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84" windowWidth="11604" windowHeight="11028" tabRatio="875" firstSheet="6"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5" i="59" l="1"/>
  <c r="AG5" i="59"/>
  <c r="AF5" i="59"/>
  <c r="AE5" i="59"/>
  <c r="AD5" i="59"/>
  <c r="Q5" i="59"/>
  <c r="P5" i="59"/>
  <c r="O5" i="59"/>
  <c r="N5" i="59"/>
  <c r="AH6" i="59" l="1"/>
  <c r="AG6" i="59"/>
  <c r="AE6" i="59"/>
  <c r="AF6" i="59" s="1"/>
  <c r="AD6" i="59"/>
  <c r="Q6" i="59"/>
  <c r="AB5" i="59" s="1"/>
  <c r="P6" i="59"/>
  <c r="AA5" i="59" s="1"/>
  <c r="O6" i="59"/>
  <c r="Y5" i="59" s="1"/>
  <c r="Z5" i="59" s="1"/>
  <c r="N6" i="59"/>
  <c r="X5" i="59" s="1"/>
  <c r="C16" i="11" l="1"/>
  <c r="C15" i="11"/>
  <c r="C14" i="11"/>
  <c r="C9" i="11"/>
  <c r="C8" i="11"/>
  <c r="D12" i="11"/>
  <c r="D13" i="11"/>
  <c r="K36" i="36" l="1"/>
  <c r="K38" i="35"/>
  <c r="K42" i="37"/>
  <c r="K49" i="34"/>
  <c r="R37" i="36" l="1"/>
  <c r="R39" i="35"/>
  <c r="R43" i="37"/>
  <c r="R50" i="34"/>
  <c r="R49" i="33"/>
  <c r="K48" i="33"/>
  <c r="R49" i="2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C12" i="11"/>
  <c r="L20" i="6"/>
  <c r="AZ5" i="3"/>
  <c r="E3" i="6"/>
  <c r="D16" i="43"/>
  <c r="C16" i="43" s="1"/>
  <c r="L19" i="6"/>
  <c r="L27" i="6"/>
  <c r="B21" i="55"/>
  <c r="B72" i="63"/>
  <c r="B20" i="55"/>
  <c r="B70" i="63"/>
  <c r="S7" i="1"/>
  <c r="S6" i="1"/>
  <c r="S8" i="1"/>
  <c r="S9" i="1"/>
  <c r="D16" i="12"/>
  <c r="D19" i="12" s="1"/>
  <c r="C19" i="12" s="1"/>
  <c r="E6" i="6"/>
  <c r="D22" i="12"/>
  <c r="C22" i="12" s="1"/>
  <c r="L38" i="9"/>
  <c r="B14" i="66"/>
  <c r="B1" i="66"/>
  <c r="C7" i="66"/>
  <c r="R9" i="1"/>
  <c r="R7" i="1"/>
  <c r="R8" i="1"/>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G31" i="6"/>
  <c r="C8" i="66"/>
  <c r="C6"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9" i="12"/>
  <c r="C15" i="43"/>
  <c r="C27" i="43"/>
  <c r="C31" i="43"/>
  <c r="C28" i="15"/>
  <c r="C15" i="12"/>
  <c r="H1" i="65"/>
  <c r="W7" i="21"/>
  <c r="Q16" i="1"/>
  <c r="F31" i="6"/>
  <c r="H51" i="46"/>
  <c r="X7" i="46"/>
  <c r="E17" i="46"/>
  <c r="N17" i="46"/>
  <c r="O17" i="46"/>
  <c r="M17" i="46"/>
  <c r="L17" i="46"/>
  <c r="R16" i="1"/>
  <c r="H22" i="46"/>
  <c r="Y11" i="46"/>
  <c r="Y13" i="46"/>
  <c r="H101" i="46"/>
  <c r="H102" i="46"/>
  <c r="G22" i="46"/>
  <c r="J22" i="46"/>
  <c r="F101" i="46"/>
  <c r="F106" i="46"/>
  <c r="D101" i="46"/>
  <c r="D106" i="46"/>
  <c r="C13" i="11"/>
  <c r="F33" i="12"/>
  <c r="C34" i="12" s="1"/>
  <c r="D33" i="12" s="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4" i="59"/>
  <c r="C13" i="59"/>
  <c r="T13" i="59"/>
  <c r="B14" i="59"/>
  <c r="B13" i="59"/>
  <c r="S13" i="59"/>
  <c r="D14" i="59"/>
  <c r="C16" i="12"/>
  <c r="E65" i="40"/>
  <c r="D67" i="40"/>
  <c r="F7" i="21"/>
  <c r="E70" i="39"/>
  <c r="D72" i="39"/>
  <c r="AB7" i="21"/>
  <c r="T48" i="21"/>
  <c r="G48" i="21"/>
  <c r="U7" i="21"/>
  <c r="V13" i="59"/>
  <c r="D13" i="59"/>
  <c r="D107" i="46"/>
  <c r="M106" i="46"/>
  <c r="M104" i="46"/>
  <c r="M102" i="46"/>
  <c r="H107" i="46"/>
  <c r="M105" i="46"/>
  <c r="C5" i="46"/>
  <c r="H105" i="46"/>
  <c r="H109" i="46"/>
  <c r="D103" i="46"/>
  <c r="D102" i="46"/>
  <c r="H104" i="46"/>
  <c r="H106" i="46"/>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12" i="59"/>
  <c r="D11" i="59"/>
  <c r="G20" i="46"/>
  <c r="E41" i="46"/>
  <c r="C41" i="46"/>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c r="B2" i="66"/>
  <c r="D24" i="6"/>
  <c r="D26" i="6"/>
  <c r="R26" i="6"/>
  <c r="D22" i="6"/>
  <c r="D11" i="6"/>
  <c r="D12" i="6"/>
  <c r="H20" i="6"/>
  <c r="H25" i="6"/>
  <c r="D9" i="6"/>
  <c r="D5" i="6"/>
  <c r="D29" i="6"/>
  <c r="H22" i="6"/>
  <c r="D15" i="6"/>
  <c r="H26" i="6"/>
  <c r="E44" i="9"/>
  <c r="F46" i="9"/>
  <c r="E46" i="9"/>
  <c r="G52" i="37"/>
  <c r="H7" i="34"/>
  <c r="J7" i="34"/>
  <c r="AA12" i="40"/>
  <c r="S12" i="40"/>
  <c r="S12" i="39"/>
  <c r="AA12" i="39"/>
  <c r="W12" i="40"/>
  <c r="AC12" i="40"/>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F72" i="39"/>
  <c r="G70" i="39"/>
  <c r="F7" i="36"/>
  <c r="S7" i="36"/>
  <c r="C20" i="46"/>
  <c r="R24" i="6"/>
  <c r="D16" i="6"/>
  <c r="D30" i="6"/>
  <c r="R22" i="6"/>
  <c r="R23" i="6"/>
  <c r="R25" i="6"/>
  <c r="D27" i="6"/>
  <c r="I19" i="6"/>
  <c r="M27" i="6"/>
  <c r="D7" i="66"/>
  <c r="D6" i="66"/>
  <c r="D8" i="66"/>
  <c r="R20" i="6"/>
  <c r="R21" i="6"/>
  <c r="A6" i="51"/>
  <c r="B7" i="63"/>
  <c r="A6" i="64"/>
  <c r="A20" i="64"/>
  <c r="A20" i="51"/>
  <c r="B15" i="63"/>
  <c r="N5" i="54"/>
  <c r="B43" i="63"/>
  <c r="T13" i="1"/>
  <c r="M16" i="1"/>
  <c r="T9" i="1"/>
  <c r="T11" i="1"/>
  <c r="T12" i="1"/>
  <c r="P14" i="1"/>
  <c r="P16" i="1"/>
  <c r="C13" i="12"/>
  <c r="C17" i="12" s="1"/>
  <c r="O14" i="1"/>
  <c r="O16" i="1"/>
  <c r="T7" i="1"/>
  <c r="T10" i="1"/>
  <c r="T6" i="1"/>
  <c r="T8" i="1"/>
  <c r="T16" i="1"/>
  <c r="AA7" i="36"/>
  <c r="R36" i="36"/>
  <c r="H48" i="35"/>
  <c r="E52" i="33"/>
  <c r="F52" i="33"/>
  <c r="E53" i="33"/>
  <c r="F53" i="33"/>
  <c r="I53" i="33"/>
  <c r="J53" i="33"/>
  <c r="W7" i="34"/>
  <c r="AC7" i="34"/>
  <c r="V49" i="34"/>
  <c r="I49" i="34"/>
  <c r="S7" i="34"/>
  <c r="AA7" i="34"/>
  <c r="R49" i="34"/>
  <c r="H7" i="36"/>
  <c r="C49" i="33"/>
  <c r="B3" i="33" s="1"/>
  <c r="B2" i="33" s="1"/>
  <c r="C48" i="33"/>
  <c r="AB7" i="34"/>
  <c r="T49" i="34"/>
  <c r="G49" i="34"/>
  <c r="U7" i="34"/>
  <c r="H52" i="37"/>
  <c r="J7" i="36"/>
  <c r="H70" i="39"/>
  <c r="G72" i="39"/>
  <c r="C48" i="21"/>
  <c r="C49" i="21"/>
  <c r="B3" i="21" s="1"/>
  <c r="B2" i="21" s="1"/>
  <c r="H65" i="40"/>
  <c r="G67" i="40"/>
  <c r="E53" i="21"/>
  <c r="F53" i="21"/>
  <c r="E52" i="21"/>
  <c r="F52" i="21"/>
  <c r="I53" i="21"/>
  <c r="J53" i="21"/>
  <c r="D31" i="6"/>
  <c r="I6" i="6"/>
  <c r="I27" i="6"/>
  <c r="S19" i="6"/>
  <c r="S27" i="6"/>
  <c r="H19" i="6"/>
  <c r="L16" i="1"/>
  <c r="C13" i="43"/>
  <c r="C14" i="43" s="1"/>
  <c r="N16" i="1"/>
  <c r="C29" i="43"/>
  <c r="W7" i="36"/>
  <c r="AC7" i="36"/>
  <c r="V36" i="36"/>
  <c r="I36" i="36"/>
  <c r="I52" i="37"/>
  <c r="G54" i="34"/>
  <c r="H54" i="34"/>
  <c r="G53" i="34"/>
  <c r="H53" i="34"/>
  <c r="E49" i="34"/>
  <c r="I53" i="34"/>
  <c r="J53" i="34"/>
  <c r="I54" i="34"/>
  <c r="J54" i="34"/>
  <c r="AB7" i="36"/>
  <c r="T36" i="36"/>
  <c r="G36" i="36"/>
  <c r="U7" i="36"/>
  <c r="I48" i="35"/>
  <c r="E36" i="36"/>
  <c r="H67" i="40"/>
  <c r="I65" i="40"/>
  <c r="I70" i="39"/>
  <c r="H72" i="39"/>
  <c r="I5" i="6"/>
  <c r="H27" i="6"/>
  <c r="R19" i="6"/>
  <c r="R27" i="6"/>
  <c r="E40" i="36"/>
  <c r="F40" i="36"/>
  <c r="E41" i="36"/>
  <c r="F41" i="36"/>
  <c r="J48" i="35"/>
  <c r="G41" i="36"/>
  <c r="H41" i="36"/>
  <c r="G40" i="36"/>
  <c r="H40" i="36"/>
  <c r="E54" i="34"/>
  <c r="F54" i="34"/>
  <c r="E53" i="34"/>
  <c r="F53" i="34"/>
  <c r="I40" i="36"/>
  <c r="J40" i="36"/>
  <c r="I41" i="36"/>
  <c r="J41" i="36"/>
  <c r="C37" i="36"/>
  <c r="B3" i="36" s="1"/>
  <c r="B2" i="36" s="1"/>
  <c r="C36" i="36"/>
  <c r="C50" i="34"/>
  <c r="B3" i="34"/>
  <c r="B2" i="34" s="1"/>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E38" i="35"/>
  <c r="G42" i="35"/>
  <c r="H42" i="35"/>
  <c r="G43" i="35"/>
  <c r="H43" i="35"/>
  <c r="N70" i="39"/>
  <c r="N72" i="39"/>
  <c r="M72" i="39"/>
  <c r="F9" i="39"/>
  <c r="S9" i="39" s="1"/>
  <c r="J9" i="39"/>
  <c r="W9" i="39" s="1"/>
  <c r="H9" i="39"/>
  <c r="U9" i="39" s="1"/>
  <c r="N65" i="40"/>
  <c r="N67" i="40"/>
  <c r="M67" i="40"/>
  <c r="F9" i="40"/>
  <c r="S9" i="40" s="1"/>
  <c r="AA7" i="37"/>
  <c r="R42" i="37"/>
  <c r="S7" i="37"/>
  <c r="E43" i="35"/>
  <c r="F43" i="35"/>
  <c r="E42" i="35"/>
  <c r="F42" i="35"/>
  <c r="I43" i="35"/>
  <c r="J43" i="35"/>
  <c r="C39" i="35"/>
  <c r="B3" i="35" s="1"/>
  <c r="B2" i="35" s="1"/>
  <c r="C38" i="35"/>
  <c r="H7" i="37"/>
  <c r="J7" i="37"/>
  <c r="J9" i="40"/>
  <c r="AC9" i="40" s="1"/>
  <c r="V44" i="40" s="1"/>
  <c r="I44" i="40" s="1"/>
  <c r="H9" i="40"/>
  <c r="U9" i="40" s="1"/>
  <c r="W7" i="37"/>
  <c r="AC7" i="37"/>
  <c r="V42" i="37"/>
  <c r="I42" i="37"/>
  <c r="AB7" i="37"/>
  <c r="T42" i="37"/>
  <c r="G42" i="37"/>
  <c r="U7" i="37"/>
  <c r="E42" i="37"/>
  <c r="C43" i="37"/>
  <c r="B3" i="37"/>
  <c r="B2" i="37" s="1"/>
  <c r="C42" i="37"/>
  <c r="I46" i="37"/>
  <c r="J46" i="37"/>
  <c r="I47" i="37"/>
  <c r="J47" i="37"/>
  <c r="E47" i="37"/>
  <c r="F47" i="37"/>
  <c r="E46" i="37"/>
  <c r="F46" i="37"/>
  <c r="G46" i="37"/>
  <c r="H46" i="37"/>
  <c r="G47" i="37"/>
  <c r="H47" i="37"/>
  <c r="F9" i="67"/>
  <c r="M27" i="15"/>
  <c r="M8" i="15"/>
  <c r="J3" i="65"/>
  <c r="M29" i="15"/>
  <c r="M24" i="44"/>
  <c r="I3" i="65"/>
  <c r="I4" i="65"/>
  <c r="J7" i="65"/>
  <c r="F8" i="44"/>
  <c r="M23" i="44"/>
  <c r="C16" i="44"/>
  <c r="M30" i="44"/>
  <c r="F38" i="15"/>
  <c r="D19" i="9"/>
  <c r="F41" i="15"/>
  <c r="E11" i="67"/>
  <c r="F8" i="67"/>
  <c r="F6" i="15"/>
  <c r="F10" i="67"/>
  <c r="F18" i="44"/>
  <c r="F15" i="44"/>
  <c r="M24" i="15"/>
  <c r="J15" i="15"/>
  <c r="L48" i="44"/>
  <c r="I5" i="65"/>
  <c r="F11" i="44"/>
  <c r="B14" i="67"/>
  <c r="J4" i="65"/>
  <c r="J6" i="65"/>
  <c r="L48" i="15"/>
  <c r="F38" i="44"/>
  <c r="N4" i="65"/>
  <c r="E14" i="67"/>
  <c r="F9" i="15"/>
  <c r="F36" i="15"/>
  <c r="F45" i="44"/>
  <c r="C20" i="9"/>
  <c r="F9" i="44"/>
  <c r="C14" i="15"/>
  <c r="F43" i="44"/>
  <c r="C19" i="9"/>
  <c r="F16" i="15"/>
  <c r="E8" i="67"/>
  <c r="B13" i="67"/>
  <c r="F26" i="15"/>
  <c r="M25" i="44"/>
  <c r="M10" i="44"/>
  <c r="M23" i="15"/>
  <c r="E9" i="67"/>
  <c r="B11" i="67"/>
  <c r="E12" i="67"/>
  <c r="B10" i="67"/>
  <c r="M26" i="15"/>
  <c r="D20" i="9"/>
  <c r="F11" i="67"/>
  <c r="J5" i="65"/>
  <c r="M29" i="44"/>
  <c r="M26" i="44"/>
  <c r="F37" i="44"/>
  <c r="F37" i="15"/>
  <c r="F7" i="15"/>
  <c r="N3" i="65"/>
  <c r="J36" i="15"/>
  <c r="J17" i="44"/>
  <c r="F42" i="15"/>
  <c r="M22" i="15"/>
  <c r="M11" i="44"/>
  <c r="M8" i="44"/>
  <c r="M21" i="15"/>
  <c r="F8" i="15"/>
  <c r="C21" i="9"/>
  <c r="F13" i="15"/>
  <c r="M6" i="15"/>
  <c r="L49" i="44"/>
  <c r="F10" i="44"/>
  <c r="B12" i="67"/>
  <c r="C19" i="44"/>
  <c r="F12" i="67"/>
  <c r="M9" i="15"/>
  <c r="M28" i="44"/>
  <c r="F46" i="44"/>
  <c r="F14" i="67"/>
  <c r="F40" i="15"/>
  <c r="F35" i="15"/>
  <c r="N5" i="65"/>
  <c r="F39" i="44"/>
  <c r="B9" i="67"/>
  <c r="F40" i="44"/>
  <c r="F13" i="67"/>
  <c r="N6" i="65"/>
  <c r="E13" i="67"/>
  <c r="M31" i="44"/>
  <c r="F43" i="15"/>
  <c r="E10" i="67"/>
  <c r="F28" i="44"/>
  <c r="M28" i="15"/>
  <c r="L47" i="15"/>
  <c r="I7" i="65"/>
  <c r="I6" i="65"/>
  <c r="B8" i="67"/>
  <c r="N7" i="65"/>
  <c r="D21" i="9"/>
  <c r="C18" i="11" l="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E9" i="52"/>
  <c r="E7" i="52"/>
  <c r="B9" i="52"/>
  <c r="E4" i="52"/>
  <c r="E13" i="52"/>
  <c r="B8" i="52"/>
  <c r="E10" i="52"/>
  <c r="B10" i="52"/>
  <c r="B6" i="52"/>
  <c r="B5" i="52"/>
  <c r="B11" i="52"/>
  <c r="B12" i="52"/>
  <c r="E8" i="52"/>
  <c r="B14" i="52"/>
  <c r="E5" i="52"/>
  <c r="AA9" i="39"/>
  <c r="R49" i="39" s="1"/>
  <c r="R50" i="39" s="1"/>
  <c r="C14" i="12"/>
  <c r="C18" i="12" s="1"/>
  <c r="AB9" i="39"/>
  <c r="T49" i="39" s="1"/>
  <c r="G49" i="39" s="1"/>
  <c r="G53" i="39" s="1"/>
  <c r="H53" i="39" s="1"/>
  <c r="Y3" i="59"/>
  <c r="Z3" i="59" s="1"/>
  <c r="AB9" i="59"/>
  <c r="AA9" i="59"/>
  <c r="D9" i="59"/>
  <c r="Y9" i="59"/>
  <c r="Z9" i="59" s="1"/>
  <c r="AA9" i="40"/>
  <c r="R44" i="40" s="1"/>
  <c r="R45" i="40" s="1"/>
  <c r="P22" i="46"/>
  <c r="P24" i="46"/>
  <c r="B68" i="40" s="1"/>
  <c r="P23" i="46"/>
  <c r="P25" i="46"/>
  <c r="B73" i="39" s="1"/>
  <c r="P21" i="46"/>
  <c r="I48" i="40"/>
  <c r="J48" i="40" s="1"/>
  <c r="E44" i="40"/>
  <c r="I49" i="40" s="1"/>
  <c r="J49" i="40" s="1"/>
  <c r="E49" i="39"/>
  <c r="AC9" i="39"/>
  <c r="V49" i="39" s="1"/>
  <c r="I49" i="39" s="1"/>
  <c r="AB9" i="40"/>
  <c r="T44" i="40" s="1"/>
  <c r="G44" i="40" s="1"/>
  <c r="W9" i="40"/>
  <c r="C20" i="12"/>
  <c r="C17" i="44"/>
  <c r="C20" i="44"/>
  <c r="L44" i="9"/>
  <c r="G20" i="9"/>
  <c r="E20" i="46"/>
  <c r="G21" i="9"/>
  <c r="C36" i="44"/>
  <c r="L43" i="9"/>
  <c r="G19" i="9"/>
  <c r="D22" i="9"/>
  <c r="Q73" i="44"/>
  <c r="C6" i="15"/>
  <c r="F65" i="15"/>
  <c r="C29" i="44"/>
  <c r="C8" i="44"/>
  <c r="F68" i="15"/>
  <c r="J1" i="65"/>
  <c r="F67" i="15"/>
  <c r="F50" i="15"/>
  <c r="C27" i="15"/>
  <c r="F64" i="15"/>
  <c r="C15" i="15"/>
  <c r="C18"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7" i="43"/>
  <c r="C18" i="43" s="1"/>
  <c r="E3" i="65"/>
  <c r="C18" i="44"/>
  <c r="E2" i="65"/>
  <c r="C16" i="15"/>
  <c r="C17" i="15"/>
  <c r="D7" i="59" l="1"/>
  <c r="C6" i="59"/>
  <c r="M19" i="44"/>
  <c r="C19" i="46"/>
  <c r="C34" i="46" s="1"/>
  <c r="G48" i="40"/>
  <c r="H48" i="40" s="1"/>
  <c r="G49" i="40"/>
  <c r="H49" i="40" s="1"/>
  <c r="I54" i="39"/>
  <c r="J54" i="39" s="1"/>
  <c r="I53" i="39"/>
  <c r="J53" i="39" s="1"/>
  <c r="E49" i="40"/>
  <c r="F49" i="40" s="1"/>
  <c r="E48" i="40"/>
  <c r="F48" i="40" s="1"/>
  <c r="E54" i="39"/>
  <c r="F54" i="39" s="1"/>
  <c r="E53" i="39"/>
  <c r="F53" i="39" s="1"/>
  <c r="C44" i="40"/>
  <c r="C45" i="40"/>
  <c r="G54" i="39"/>
  <c r="H54" i="39" s="1"/>
  <c r="C50" i="39"/>
  <c r="C49" i="39"/>
  <c r="C23" i="12"/>
  <c r="C35" i="12" s="1"/>
  <c r="C33" i="12" s="1"/>
  <c r="B40" i="1"/>
  <c r="C21" i="44"/>
  <c r="C19" i="15"/>
  <c r="F17" i="11"/>
  <c r="C17" i="11" s="1"/>
  <c r="C19" i="11" s="1"/>
  <c r="L47" i="44"/>
  <c r="Q62" i="15"/>
  <c r="Q75" i="15"/>
  <c r="G22" i="9"/>
  <c r="C32" i="9"/>
  <c r="N43" i="9"/>
  <c r="M13" i="44"/>
  <c r="J12" i="44" s="1"/>
  <c r="J7" i="44" s="1"/>
  <c r="F11" i="15"/>
  <c r="M11" i="15"/>
  <c r="J10" i="15" s="1"/>
  <c r="F13" i="44"/>
  <c r="C12" i="44" s="1"/>
  <c r="C7" i="44" s="1"/>
  <c r="C19" i="43"/>
  <c r="C25" i="43" s="1"/>
  <c r="C24" i="43" s="1"/>
  <c r="Q75" i="44"/>
  <c r="Q62" i="44"/>
  <c r="C48" i="15"/>
  <c r="C32" i="15"/>
  <c r="M28" i="46"/>
  <c r="P28" i="46"/>
  <c r="O28" i="46"/>
  <c r="N28" i="46"/>
  <c r="F1" i="44"/>
  <c r="Q54" i="44"/>
  <c r="J20" i="44"/>
  <c r="Q63" i="44"/>
  <c r="Q76" i="44"/>
  <c r="C34" i="44"/>
  <c r="F1" i="15"/>
  <c r="Q53" i="15"/>
  <c r="Q61" i="15"/>
  <c r="Q74" i="15"/>
  <c r="J6" i="15"/>
  <c r="D6" i="59" l="1"/>
  <c r="C5" i="59"/>
  <c r="T5" i="59"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B59" i="39"/>
  <c r="F59" i="39" s="1"/>
  <c r="B65" i="39"/>
  <c r="F65" i="39" s="1"/>
  <c r="B63" i="39"/>
  <c r="F63" i="39" s="1"/>
  <c r="B64" i="39"/>
  <c r="F64" i="39" s="1"/>
  <c r="B66" i="39"/>
  <c r="F66" i="39" s="1"/>
  <c r="B61" i="39"/>
  <c r="F61" i="39" s="1"/>
  <c r="B67" i="39"/>
  <c r="F67" i="39" s="1"/>
  <c r="B60" i="39"/>
  <c r="F60" i="39" s="1"/>
  <c r="B62" i="39"/>
  <c r="F62" i="39" s="1"/>
  <c r="F68" i="39"/>
  <c r="B2" i="39" s="1"/>
  <c r="B58" i="39"/>
  <c r="F58" i="39" s="1"/>
  <c r="G39" i="46"/>
  <c r="I39" i="46" s="1"/>
  <c r="E35" i="46"/>
  <c r="E37" i="46"/>
  <c r="G33" i="46"/>
  <c r="I33" i="46" s="1"/>
  <c r="E38" i="46"/>
  <c r="B55" i="40"/>
  <c r="F55" i="40" s="1"/>
  <c r="B57" i="40"/>
  <c r="F57" i="40" s="1"/>
  <c r="B56" i="40"/>
  <c r="F56" i="40" s="1"/>
  <c r="B61" i="40"/>
  <c r="F61" i="40" s="1"/>
  <c r="B59" i="40"/>
  <c r="F59" i="40" s="1"/>
  <c r="B62" i="40"/>
  <c r="F62" i="40" s="1"/>
  <c r="B53" i="40"/>
  <c r="F53" i="40" s="1"/>
  <c r="F63" i="40"/>
  <c r="B2" i="40" s="1"/>
  <c r="B60" i="40"/>
  <c r="F60" i="40" s="1"/>
  <c r="B58" i="40"/>
  <c r="F58" i="40" s="1"/>
  <c r="B54" i="40"/>
  <c r="F54" i="40" s="1"/>
  <c r="E34" i="46"/>
  <c r="G34" i="46"/>
  <c r="I34" i="46" s="1"/>
  <c r="J18" i="15"/>
  <c r="J5" i="15"/>
  <c r="C40" i="44"/>
  <c r="J28" i="44"/>
  <c r="J31" i="44" s="1"/>
  <c r="J26" i="44"/>
  <c r="O43" i="9"/>
  <c r="C42" i="9"/>
  <c r="C35" i="9"/>
  <c r="F42" i="9" s="1"/>
  <c r="C34" i="9"/>
  <c r="O38" i="9"/>
  <c r="C33" i="9"/>
  <c r="C20" i="15"/>
  <c r="C52" i="15"/>
  <c r="C47" i="15" s="1"/>
  <c r="C10" i="15"/>
  <c r="C5" i="15" s="1"/>
  <c r="C22" i="44"/>
  <c r="C20" i="11"/>
  <c r="C21" i="11" s="1"/>
  <c r="C22" i="11" s="1"/>
  <c r="C23" i="11" s="1"/>
  <c r="B2" i="11" s="1"/>
  <c r="F21" i="43"/>
  <c r="C23" i="43" s="1"/>
  <c r="D21" i="43" s="1"/>
  <c r="F24" i="15"/>
  <c r="C24" i="15" s="1"/>
  <c r="F26" i="12"/>
  <c r="F26" i="44"/>
  <c r="C26" i="44" s="1"/>
  <c r="D5" i="59" l="1"/>
  <c r="M20" i="46"/>
  <c r="E29" i="46"/>
  <c r="B4" i="39"/>
  <c r="B5" i="39"/>
  <c r="B3" i="39"/>
  <c r="C27" i="46"/>
  <c r="B4" i="40"/>
  <c r="B5" i="40"/>
  <c r="B3" i="40"/>
  <c r="C25" i="44"/>
  <c r="C65" i="15"/>
  <c r="C59" i="15"/>
  <c r="C23" i="15"/>
  <c r="N38" i="9"/>
  <c r="K28" i="9" s="1"/>
  <c r="D42" i="9"/>
  <c r="Q5" i="54" s="1"/>
  <c r="B47" i="63" s="1"/>
  <c r="R5" i="54"/>
  <c r="B48" i="63" s="1"/>
  <c r="D14" i="66"/>
  <c r="D63" i="9"/>
  <c r="N68" i="9"/>
  <c r="B5" i="11"/>
  <c r="B3" i="11"/>
  <c r="B4" i="11"/>
  <c r="C28" i="12"/>
  <c r="C26" i="12" s="1"/>
  <c r="C31" i="12" s="1"/>
  <c r="C30" i="12" s="1"/>
  <c r="C27" i="12"/>
  <c r="D26" i="12" s="1"/>
  <c r="C32" i="12" s="1"/>
  <c r="D30" i="12" s="1"/>
  <c r="C28" i="44"/>
  <c r="C26" i="15"/>
  <c r="K26" i="9"/>
  <c r="K25" i="9"/>
  <c r="J26" i="15"/>
  <c r="J29" i="15" s="1"/>
  <c r="J24" i="15"/>
  <c r="C38" i="15"/>
  <c r="E42" i="9"/>
  <c r="P5" i="54" s="1"/>
  <c r="B46" i="63" s="1"/>
  <c r="M38" i="9"/>
  <c r="K27" i="9" s="1"/>
  <c r="C22" i="43"/>
  <c r="C21" i="43" s="1"/>
  <c r="C28" i="43" s="1"/>
  <c r="C30" i="43" s="1"/>
  <c r="C32" i="43" s="1"/>
  <c r="B2" i="43" s="1"/>
  <c r="Q58" i="44"/>
  <c r="Q67" i="44"/>
  <c r="Q49" i="44"/>
  <c r="Q55" i="44" s="1"/>
  <c r="F7" i="67"/>
  <c r="E4" i="67" l="1"/>
  <c r="C26" i="46"/>
  <c r="B2" i="46" s="1"/>
  <c r="D77" i="9"/>
  <c r="N75" i="9" s="1"/>
  <c r="D73" i="9"/>
  <c r="N73" i="9" s="1"/>
  <c r="C36" i="12"/>
  <c r="B2" i="12" s="1"/>
  <c r="B3" i="12" s="1"/>
  <c r="C31" i="44"/>
  <c r="C15" i="44" s="1"/>
  <c r="C29" i="15"/>
  <c r="Q50" i="15" s="1"/>
  <c r="C111" i="9"/>
  <c r="C104" i="9" s="1"/>
  <c r="C96" i="9"/>
  <c r="C91" i="9" s="1"/>
  <c r="C82" i="9"/>
  <c r="C81" i="9" s="1"/>
  <c r="C85" i="9" s="1"/>
  <c r="C86" i="9" s="1"/>
  <c r="D72" i="9" s="1"/>
  <c r="C103" i="9"/>
  <c r="D70" i="9"/>
  <c r="C90" i="9"/>
  <c r="D71" i="9"/>
  <c r="D66" i="9" s="1"/>
  <c r="N72" i="9" s="1"/>
  <c r="B5" i="66"/>
  <c r="E14" i="66"/>
  <c r="F14" i="66"/>
  <c r="B4" i="43"/>
  <c r="B3" i="43"/>
  <c r="B5" i="43"/>
  <c r="B7" i="67"/>
  <c r="E7" i="67"/>
  <c r="E3" i="67" l="1"/>
  <c r="C97" i="9"/>
  <c r="C98" i="9" s="1"/>
  <c r="E98" i="9" s="1"/>
  <c r="E99" i="9" s="1"/>
  <c r="C33" i="15"/>
  <c r="C31" i="15" s="1"/>
  <c r="Q51" i="44"/>
  <c r="J21" i="44"/>
  <c r="J19" i="44" s="1"/>
  <c r="J14" i="15"/>
  <c r="J22" i="15" s="1"/>
  <c r="C56" i="15"/>
  <c r="C60" i="15" s="1"/>
  <c r="C58" i="15" s="1"/>
  <c r="J59" i="15"/>
  <c r="J60" i="15" s="1"/>
  <c r="Q49" i="15" s="1"/>
  <c r="B2" i="67"/>
  <c r="B4" i="12"/>
  <c r="C35" i="44"/>
  <c r="C33" i="44" s="1"/>
  <c r="C38" i="44"/>
  <c r="D4" i="46"/>
  <c r="B3" i="46"/>
  <c r="B4" i="46"/>
  <c r="C113" i="9"/>
  <c r="C114" i="9" s="1"/>
  <c r="E114" i="9" s="1"/>
  <c r="E115" i="9" s="1"/>
  <c r="B5" i="12"/>
  <c r="C36" i="15"/>
  <c r="J19" i="15"/>
  <c r="J17" i="15" s="1"/>
  <c r="J16" i="44"/>
  <c r="J24" i="44" s="1"/>
  <c r="C13" i="15"/>
  <c r="C37" i="15" s="1"/>
  <c r="D5" i="66"/>
  <c r="C5" i="66"/>
  <c r="C39" i="44"/>
  <c r="Q72" i="44"/>
  <c r="C43" i="44"/>
  <c r="C99" i="9" l="1"/>
  <c r="J35" i="15"/>
  <c r="J13" i="15"/>
  <c r="J23" i="15" s="1"/>
  <c r="J16" i="15" s="1"/>
  <c r="J25" i="15" s="1"/>
  <c r="C32" i="44"/>
  <c r="C42" i="44" s="1"/>
  <c r="Q71" i="44" s="1"/>
  <c r="Q70" i="44" s="1"/>
  <c r="C63" i="15"/>
  <c r="C55" i="15"/>
  <c r="C64" i="15" s="1"/>
  <c r="L46" i="15"/>
  <c r="C30" i="15"/>
  <c r="C39" i="15" s="1"/>
  <c r="J15" i="44"/>
  <c r="J25" i="44" s="1"/>
  <c r="J18" i="44" s="1"/>
  <c r="J27" i="44" s="1"/>
  <c r="C115" i="9"/>
  <c r="D76" i="9" s="1"/>
  <c r="D74" i="9" s="1"/>
  <c r="N74" i="9" s="1"/>
  <c r="O77" i="9" s="1"/>
  <c r="O78" i="9" s="1"/>
  <c r="Q71" i="15"/>
  <c r="B3" i="67"/>
  <c r="B4" i="67"/>
  <c r="C40" i="15" l="1"/>
  <c r="Q57" i="15" s="1"/>
  <c r="Q70" i="15"/>
  <c r="Q69" i="15" s="1"/>
  <c r="C44" i="44"/>
  <c r="C45" i="44" s="1"/>
  <c r="J39" i="15"/>
  <c r="J40" i="15" s="1"/>
  <c r="C57" i="15"/>
  <c r="C66" i="15" s="1"/>
  <c r="C67" i="15" s="1"/>
  <c r="C70" i="15" s="1"/>
  <c r="Q77" i="9"/>
  <c r="O79" i="9"/>
  <c r="O81" i="9" s="1"/>
  <c r="L51" i="15"/>
  <c r="Q48" i="15" l="1"/>
  <c r="Q54" i="15" s="1"/>
  <c r="B2" i="15"/>
  <c r="B3" i="15" s="1"/>
  <c r="Q66" i="15"/>
  <c r="J42" i="15"/>
  <c r="J43" i="15" s="1"/>
  <c r="C43" i="15"/>
  <c r="B2" i="44"/>
  <c r="B3" i="44" s="1"/>
  <c r="L52" i="44"/>
  <c r="Q68" i="15"/>
  <c r="L57" i="15"/>
  <c r="L60" i="15" s="1"/>
  <c r="Q67" i="15" s="1"/>
  <c r="Q76" i="15" s="1"/>
  <c r="C46" i="15"/>
  <c r="O80" i="9"/>
  <c r="B4" i="44" l="1"/>
  <c r="B5" i="44"/>
  <c r="L58" i="44"/>
  <c r="L61" i="44" s="1"/>
  <c r="Q69" i="44"/>
  <c r="Q58" i="15"/>
  <c r="Q63" i="15" s="1"/>
  <c r="Q68" i="44" l="1"/>
  <c r="Q77" i="44" s="1"/>
  <c r="Q59" i="44"/>
  <c r="Q64"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<sst xmlns="http://schemas.openxmlformats.org/spreadsheetml/2006/main" count="6816" uniqueCount="3005">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</sst>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4" customWidth="1"/>
    <col min="2" max="2" width="78.21875" style="2605" customWidth="1"/>
    <col min="3" max="18" width="9" style="2599"/>
    <col min="19" max="19" width="17.88671875" style="2599" customWidth="1"/>
    <col min="20" max="51" width="9" style="2599"/>
    <col min="52" max="52" width="13.21875" style="2599" customWidth="1"/>
    <col min="53" max="53" width="13.44140625" style="2599" bestFit="1" customWidth="1"/>
    <col min="54" max="54" width="11.6640625" style="2599" bestFit="1" customWidth="1"/>
    <col min="55" max="55" width="13.44140625" style="2599" bestFit="1" customWidth="1"/>
    <col min="56" max="16384" width="9" style="2599"/>
  </cols>
  <sheetData>
    <row r="1" spans="1:55" s="2610" customFormat="1" ht="16.2" thickBot="1">
      <c r="A1" s="2608" t="s">
        <v>2637</v>
      </c>
      <c r="B1" s="2609" t="s">
        <v>2734</v>
      </c>
    </row>
    <row r="2" spans="1:55" s="2613" customFormat="1" ht="16.2" thickTop="1">
      <c r="A2" s="2611" t="s">
        <v>2641</v>
      </c>
      <c r="B2" s="2612" t="str">
        <f>'预评函-封皮'!B37</f>
        <v>出让国有建设用地使用权预评估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6.2" thickBot="1">
      <c r="A5" s="2617" t="s">
        <v>2644</v>
      </c>
      <c r="B5" s="2618" t="str">
        <f>'预评函-封皮'!B49</f>
        <v>康正预评字号</v>
      </c>
    </row>
    <row r="6" spans="1:55" s="2619" customFormat="1" ht="16.2" thickTop="1">
      <c r="A6" s="2611" t="s">
        <v>2686</v>
      </c>
      <c r="B6" s="2612" t="str">
        <f>'预评函-1'!A4</f>
        <v>受贵公司委托，我公司对出让国有建设用地使用权进行了预评估。</v>
      </c>
      <c r="AM6" s="2620"/>
    </row>
    <row r="7" spans="1:55" s="2594" customFormat="1">
      <c r="A7" s="2595" t="s">
        <v>2638</v>
      </c>
      <c r="B7" s="2596" t="e">
        <f>'预评函-1'!A6</f>
        <v>#DIV/0!</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（评估专业人员勘察现场之日）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e">
        <f>'预评函-1'!A20</f>
        <v>#DIV/0!</v>
      </c>
    </row>
    <row r="16" spans="1:55" s="2594" customFormat="1">
      <c r="A16" s="2595" t="s">
        <v>2650</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6.2"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6" t="s">
        <v>2656</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t="e">
        <f>'预评函-2'!N5</f>
        <v>#DIV/0!</v>
      </c>
    </row>
    <row r="44" spans="1:2">
      <c r="A44" s="2595" t="s">
        <v>2721</v>
      </c>
      <c r="B44" s="2596" t="str">
        <f>'预评函-2'!O3</f>
        <v>规划建筑面积/㎡</v>
      </c>
    </row>
    <row r="45" spans="1:2">
      <c r="A45" s="2595" t="s">
        <v>2703</v>
      </c>
      <c r="B45" s="2596">
        <f>'预评函-2'!O5</f>
        <v>0</v>
      </c>
    </row>
    <row r="46" spans="1:2">
      <c r="A46" s="2595" t="s">
        <v>2704</v>
      </c>
      <c r="B46" s="2596" t="e">
        <f ca="1">'预评函-2'!P5</f>
        <v>#REF!</v>
      </c>
    </row>
    <row r="47" spans="1:2">
      <c r="A47" s="2595" t="s">
        <v>2705</v>
      </c>
      <c r="B47" s="2596" t="e">
        <f ca="1">'预评函-2'!Q5</f>
        <v>#REF!</v>
      </c>
    </row>
    <row r="48" spans="1:2">
      <c r="A48" s="2595" t="s">
        <v>2706</v>
      </c>
      <c r="B48" s="2596" t="e">
        <f ca="1">'预评函-2'!R5</f>
        <v>#REF!</v>
      </c>
    </row>
    <row r="49" spans="1:2">
      <c r="A49" s="2595" t="s">
        <v>2722</v>
      </c>
      <c r="B49" s="2596" t="str">
        <f>'预评函-2'!A6</f>
        <v>抵押价格</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6.2" thickBot="1">
      <c r="A54" s="2617" t="s">
        <v>2709</v>
      </c>
      <c r="B54" s="2618" t="str">
        <f>'预评函-2'!R8</f>
        <v>——</v>
      </c>
    </row>
    <row r="55" spans="1:2" ht="16.2"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6.2" thickBot="1">
      <c r="A58" s="2617" t="s">
        <v>2710</v>
      </c>
      <c r="B58" s="2618" t="str">
        <f>'预评函-3'!A5</f>
        <v>4.影响价格的其他限定条件：无。</v>
      </c>
    </row>
    <row r="59" spans="1:2" ht="16.2"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6.2" thickBot="1">
      <c r="A68" s="2617" t="s">
        <v>2673</v>
      </c>
      <c r="B68" s="2621">
        <f>'预评函-3'!D30</f>
        <v>42558</v>
      </c>
    </row>
    <row r="69" spans="1:2" ht="16.2"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6.2" thickBot="1">
      <c r="A72" s="2617" t="s">
        <v>2672</v>
      </c>
      <c r="B72" s="2623">
        <f>'预评函-3'!B21</f>
        <v>0</v>
      </c>
    </row>
    <row r="73" spans="1:2" ht="16.2"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6.2"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D2" sqref="D2"/>
    </sheetView>
  </sheetViews>
  <sheetFormatPr defaultColWidth="10" defaultRowHeight="15.6"/>
  <cols>
    <col min="1" max="1" width="15.33203125" style="1613" customWidth="1"/>
    <col min="2" max="2" width="11.33203125" style="1613" customWidth="1"/>
    <col min="3" max="3" width="12.6640625" style="1613" customWidth="1"/>
    <col min="4" max="4" width="10" style="1613" customWidth="1"/>
    <col min="5" max="5" width="12.44140625" style="1613" customWidth="1"/>
    <col min="6" max="6" width="11.33203125" style="1613" customWidth="1"/>
    <col min="7" max="7" width="12.33203125" style="1613" customWidth="1"/>
    <col min="8" max="8" width="10" style="1613" customWidth="1"/>
    <col min="9" max="9" width="12.441406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6.2" thickBot="1">
      <c r="A1" s="1586" t="s">
        <v>1926</v>
      </c>
      <c r="B1" s="3325" t="str">
        <f>IF(B10="北京市","北京市",C10)&amp;F10&amp;B16&amp;"国有建设用地使用权"&amp;B9&amp;"预评估"</f>
        <v>出让国有建设用地使用权预评估</v>
      </c>
      <c r="C1" s="3326"/>
      <c r="D1" s="3326"/>
      <c r="E1" s="3326"/>
      <c r="F1" s="3326"/>
      <c r="G1" s="3326"/>
      <c r="H1" s="3326"/>
      <c r="I1" s="3327"/>
      <c r="J1" s="3074"/>
      <c r="K1" s="2310" t="str">
        <f>IF(B10="北京市","北京市",C10)&amp;F10&amp;B16&amp;"国有建设用地使用权"&amp;B9</f>
        <v>出让国有建设用地使用权</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c r="C3" s="2997" t="s">
        <v>1984</v>
      </c>
      <c r="D3" s="1589"/>
      <c r="E3" s="3074"/>
      <c r="F3" s="3074"/>
      <c r="G3" s="3074"/>
      <c r="H3" s="3075"/>
      <c r="I3" s="3076"/>
      <c r="J3" s="3074"/>
      <c r="K3" s="3057"/>
      <c r="L3" s="3053"/>
      <c r="M3" s="3053"/>
      <c r="N3" s="3054"/>
      <c r="O3" s="3055"/>
      <c r="P3" s="3054"/>
      <c r="Q3" s="3054"/>
      <c r="R3" s="3054"/>
      <c r="S3" s="3054"/>
      <c r="T3" s="3054"/>
      <c r="U3" s="3054"/>
    </row>
    <row r="4" spans="1:21" ht="31.8"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6.2"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7.6">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31" t="s">
        <v>1933</v>
      </c>
      <c r="E8" s="1757"/>
      <c r="F8" s="1599"/>
      <c r="G8" s="3075"/>
      <c r="H8" s="3075"/>
      <c r="I8" s="3078"/>
      <c r="J8" s="3074"/>
      <c r="K8" s="3057"/>
      <c r="L8" s="3053"/>
      <c r="M8" s="3053"/>
      <c r="N8" s="3054"/>
      <c r="O8" s="3055"/>
      <c r="P8" s="3054"/>
      <c r="Q8" s="3054"/>
      <c r="R8" s="3054"/>
      <c r="S8" s="3054"/>
      <c r="T8" s="3054"/>
      <c r="U8" s="3054"/>
    </row>
    <row r="9" spans="1:21" ht="16.2" thickBot="1">
      <c r="A9" s="2999" t="s">
        <v>1932</v>
      </c>
      <c r="B9" s="1600"/>
      <c r="C9" s="1601"/>
      <c r="D9" s="3332"/>
      <c r="E9" s="1600"/>
      <c r="F9" s="1664"/>
      <c r="G9" s="3079"/>
      <c r="H9" s="3079"/>
      <c r="I9" s="3080"/>
      <c r="J9" s="3074"/>
      <c r="K9" s="3057"/>
      <c r="L9" s="3053"/>
      <c r="M9" s="3053"/>
      <c r="N9" s="3054"/>
      <c r="O9" s="3055"/>
      <c r="P9" s="3054"/>
      <c r="Q9" s="3054"/>
      <c r="R9" s="3054"/>
      <c r="S9" s="3054"/>
      <c r="T9" s="3054"/>
      <c r="U9" s="3054"/>
    </row>
    <row r="10" spans="1:21" ht="16.2" thickTop="1">
      <c r="A10" s="3000" t="s">
        <v>1988</v>
      </c>
      <c r="B10" s="1640"/>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28"/>
      <c r="C12" s="3329"/>
      <c r="D12" s="3330"/>
      <c r="E12" s="1620" t="s">
        <v>2050</v>
      </c>
      <c r="F12" s="3346" t="s">
        <v>2869</v>
      </c>
      <c r="G12" s="3347"/>
      <c r="H12" s="3347"/>
      <c r="I12" s="3348"/>
      <c r="J12" s="3074"/>
      <c r="K12" s="3057"/>
      <c r="L12" s="3053"/>
      <c r="M12" s="3053"/>
      <c r="N12" s="3054"/>
      <c r="O12" s="3055"/>
      <c r="P12" s="3054"/>
      <c r="Q12" s="3054"/>
      <c r="R12" s="3054"/>
      <c r="S12" s="3054"/>
      <c r="T12" s="3054"/>
      <c r="U12" s="3054"/>
    </row>
    <row r="13" spans="1:21">
      <c r="A13" s="1611" t="s">
        <v>2048</v>
      </c>
      <c r="B13" s="3328"/>
      <c r="C13" s="3329"/>
      <c r="D13" s="3330"/>
      <c r="E13" s="1620" t="s">
        <v>2050</v>
      </c>
      <c r="F13" s="3346" t="s">
        <v>2870</v>
      </c>
      <c r="G13" s="3347"/>
      <c r="H13" s="3347"/>
      <c r="I13" s="3348"/>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2952</v>
      </c>
      <c r="C16" s="1620" t="s">
        <v>1937</v>
      </c>
      <c r="D16" s="2488" t="s">
        <v>1938</v>
      </c>
      <c r="E16" s="1643"/>
      <c r="F16" s="1643"/>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c r="F17" s="1621"/>
      <c r="G17" s="1621"/>
      <c r="H17" s="1621"/>
      <c r="I17" s="1621"/>
      <c r="J17" s="3074"/>
      <c r="K17" s="3052" t="str">
        <f>CONCATENATE(K16,L16,M16,N16,O16,P16,Q16,R16,S16,T16,,U16)</f>
        <v/>
      </c>
      <c r="L17" s="3053"/>
      <c r="M17" s="3053"/>
      <c r="N17" s="3054"/>
      <c r="O17" s="3055"/>
      <c r="P17" s="3054"/>
      <c r="Q17" s="3054"/>
      <c r="R17" s="3054"/>
      <c r="S17" s="3054"/>
      <c r="T17" s="3054"/>
      <c r="U17" s="3054"/>
    </row>
    <row r="18" spans="1:21">
      <c r="A18" s="1680"/>
      <c r="B18" s="1607"/>
      <c r="C18" s="3003" t="s">
        <v>1945</v>
      </c>
      <c r="D18" s="1608"/>
      <c r="E18" s="1608"/>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43"/>
      <c r="E20" s="3344"/>
      <c r="F20" s="3344"/>
      <c r="G20" s="3344"/>
      <c r="H20" s="3344"/>
      <c r="I20" s="3345"/>
      <c r="J20" s="3074"/>
      <c r="K20" s="3057"/>
      <c r="L20" s="3053"/>
      <c r="M20" s="3053"/>
      <c r="N20" s="3054"/>
      <c r="O20" s="3055"/>
      <c r="P20" s="3054"/>
      <c r="Q20" s="3054"/>
      <c r="R20" s="3054"/>
      <c r="S20" s="3054"/>
      <c r="T20" s="3054"/>
      <c r="U20" s="3054"/>
    </row>
    <row r="21" spans="1:21">
      <c r="A21" s="1680" t="s">
        <v>1947</v>
      </c>
      <c r="B21" s="1681" t="s">
        <v>1948</v>
      </c>
      <c r="C21" s="1676">
        <f>'数据-汇总表'!E3</f>
        <v>0</v>
      </c>
      <c r="D21" s="1677" t="s">
        <v>1949</v>
      </c>
      <c r="E21" s="3333" t="s">
        <v>1987</v>
      </c>
      <c r="F21" s="3334"/>
      <c r="G21" s="3334"/>
      <c r="H21" s="3334"/>
      <c r="I21" s="3335"/>
      <c r="J21" s="3074"/>
      <c r="K21" s="3057"/>
      <c r="L21" s="3053"/>
      <c r="M21" s="3053"/>
      <c r="N21" s="3054"/>
      <c r="O21" s="3055"/>
      <c r="P21" s="3054"/>
      <c r="Q21" s="3054"/>
      <c r="R21" s="3054"/>
      <c r="S21" s="3054"/>
      <c r="T21" s="3054"/>
      <c r="U21" s="3054"/>
    </row>
    <row r="22" spans="1:21">
      <c r="A22" s="2802" t="s">
        <v>943</v>
      </c>
      <c r="B22" s="1588" t="s">
        <v>1950</v>
      </c>
      <c r="C22" s="1610" t="e">
        <f>'数据-汇总表'!D3</f>
        <v>#DIV/0!</v>
      </c>
      <c r="D22" s="1611" t="s">
        <v>1949</v>
      </c>
      <c r="E22" s="3333" t="s">
        <v>2871</v>
      </c>
      <c r="F22" s="3334"/>
      <c r="G22" s="3334"/>
      <c r="H22" s="3334"/>
      <c r="I22" s="3335"/>
      <c r="J22" s="3074"/>
      <c r="K22" s="3057"/>
      <c r="L22" s="3053"/>
      <c r="M22" s="3053"/>
      <c r="N22" s="3054"/>
      <c r="O22" s="3055"/>
      <c r="P22" s="3054"/>
      <c r="Q22" s="3054"/>
      <c r="R22" s="3054"/>
      <c r="S22" s="3054"/>
      <c r="T22" s="3054"/>
      <c r="U22" s="3054"/>
    </row>
    <row r="23" spans="1:21" ht="47.4"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36" t="s">
        <v>1955</v>
      </c>
      <c r="C24" s="3337"/>
      <c r="D24" s="3338" t="s">
        <v>1956</v>
      </c>
      <c r="E24" s="3339"/>
      <c r="F24" s="1629" t="s">
        <v>1957</v>
      </c>
      <c r="G24" s="3074"/>
      <c r="H24" s="3074"/>
      <c r="I24" s="3078"/>
      <c r="J24" s="3074"/>
      <c r="K24" s="3324"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31.2">
      <c r="A25" s="1668"/>
      <c r="B25" s="1665" t="s">
        <v>2313</v>
      </c>
      <c r="C25" s="1630" t="s">
        <v>1959</v>
      </c>
      <c r="D25" s="1631"/>
      <c r="E25" s="1632" t="s">
        <v>943</v>
      </c>
      <c r="F25" s="1633"/>
      <c r="G25" s="3074"/>
      <c r="H25" s="3074"/>
      <c r="I25" s="3078"/>
      <c r="J25" s="3074"/>
      <c r="K25" s="3324"/>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47.4" thickBot="1">
      <c r="A26" s="1669"/>
      <c r="B26" s="1666" t="s">
        <v>1960</v>
      </c>
      <c r="C26" s="1630" t="s">
        <v>2314</v>
      </c>
      <c r="D26" s="3075"/>
      <c r="E26" s="3075"/>
      <c r="F26" s="3081"/>
      <c r="G26" s="3074"/>
      <c r="H26" s="3074"/>
      <c r="I26" s="3078"/>
      <c r="J26" s="3074"/>
      <c r="K26" s="3324"/>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6.2"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6.2" thickTop="1">
      <c r="A31" s="3310" t="s">
        <v>1990</v>
      </c>
      <c r="B31" s="1681" t="s">
        <v>1991</v>
      </c>
      <c r="C31" s="3349"/>
      <c r="D31" s="3350"/>
      <c r="E31" s="3074"/>
      <c r="F31" s="3074"/>
      <c r="G31" s="3074"/>
      <c r="H31" s="3074"/>
      <c r="I31" s="3078"/>
      <c r="J31" s="3074"/>
      <c r="K31" s="3060"/>
      <c r="L31" s="3054"/>
      <c r="M31" s="3054"/>
      <c r="N31" s="3054"/>
      <c r="O31" s="3054"/>
      <c r="P31" s="3054"/>
      <c r="Q31" s="3054"/>
      <c r="R31" s="3054"/>
      <c r="S31" s="3054"/>
      <c r="T31" s="3054"/>
      <c r="U31" s="3054"/>
    </row>
    <row r="32" spans="1:21">
      <c r="A32" s="3310"/>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10"/>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11"/>
      <c r="B34" s="1588" t="s">
        <v>1994</v>
      </c>
      <c r="C34" s="3312"/>
      <c r="D34" s="3313"/>
      <c r="E34" s="3074"/>
      <c r="F34" s="3074"/>
      <c r="G34" s="3074"/>
      <c r="H34" s="3074"/>
      <c r="I34" s="3078"/>
      <c r="J34" s="3074"/>
      <c r="K34" s="3060"/>
      <c r="L34" s="3054"/>
      <c r="M34" s="3054"/>
      <c r="N34" s="3054"/>
      <c r="O34" s="3054"/>
      <c r="P34" s="3054"/>
      <c r="Q34" s="3054"/>
      <c r="R34" s="3054"/>
      <c r="S34" s="3054"/>
      <c r="T34" s="3054"/>
      <c r="U34" s="3054"/>
    </row>
    <row r="35" spans="1:28">
      <c r="A35" s="3314" t="s">
        <v>839</v>
      </c>
      <c r="B35" s="1643"/>
      <c r="C35" s="1690" t="str">
        <f>IF(B35="场地平整","——","具体情况：")</f>
        <v>具体情况：</v>
      </c>
      <c r="D35" s="3316"/>
      <c r="E35" s="3317"/>
      <c r="F35" s="3317"/>
      <c r="G35" s="3317"/>
      <c r="H35" s="3317"/>
      <c r="I35" s="3318"/>
      <c r="J35" s="3074"/>
      <c r="K35" s="3061"/>
      <c r="L35" s="3053"/>
      <c r="M35" s="3053"/>
      <c r="N35" s="3054"/>
      <c r="O35" s="3055"/>
      <c r="P35" s="3054"/>
      <c r="Q35" s="3054"/>
      <c r="R35" s="3054"/>
      <c r="S35" s="3054"/>
      <c r="T35" s="3054"/>
      <c r="U35" s="3054"/>
    </row>
    <row r="36" spans="1:28">
      <c r="A36" s="3310"/>
      <c r="B36" s="3319" t="s">
        <v>2043</v>
      </c>
      <c r="C36" s="3320"/>
      <c r="D36" s="1706"/>
      <c r="E36" s="3321"/>
      <c r="F36" s="3321"/>
      <c r="G36" s="1611" t="str">
        <f>IF(B35="场地未平整","估价结果处理","")</f>
        <v/>
      </c>
      <c r="H36" s="3322"/>
      <c r="I36" s="3322"/>
      <c r="J36" s="3074"/>
      <c r="K36" s="3061"/>
      <c r="L36" s="3053"/>
      <c r="M36" s="3053"/>
      <c r="N36" s="3054"/>
      <c r="O36" s="3055"/>
      <c r="P36" s="3054"/>
      <c r="Q36" s="3054"/>
      <c r="R36" s="3054"/>
      <c r="S36" s="3054"/>
      <c r="T36" s="3054"/>
      <c r="U36" s="3054"/>
    </row>
    <row r="37" spans="1:28" ht="31.2">
      <c r="A37" s="3310"/>
      <c r="B37" s="3340"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10"/>
      <c r="B38" s="3341"/>
      <c r="C38" s="1596" t="s">
        <v>842</v>
      </c>
      <c r="D38" s="1705">
        <f>ROUNDDOWN(MIN(('数据-取费表'!$B$2-D37)/365,D34),1)</f>
        <v>0</v>
      </c>
      <c r="E38" s="1648" t="s">
        <v>843</v>
      </c>
      <c r="F38" s="3074"/>
      <c r="G38" s="3074"/>
      <c r="H38" s="3074"/>
      <c r="I38" s="3078"/>
      <c r="J38" s="3074"/>
      <c r="K38" s="3061"/>
      <c r="L38" s="3054"/>
      <c r="M38" s="3054"/>
      <c r="N38" s="3054"/>
      <c r="O38" s="3054"/>
      <c r="P38" s="3054"/>
      <c r="Q38" s="3054"/>
      <c r="R38" s="3054"/>
      <c r="S38" s="3054"/>
      <c r="T38" s="3054"/>
      <c r="U38" s="3054"/>
    </row>
    <row r="39" spans="1:28">
      <c r="A39" s="3311"/>
      <c r="B39" s="3342"/>
      <c r="C39" s="1618" t="str">
        <f>IF(D38&lt;1,"不存在土地闲置",IF(B35="宗地内已开工建设","已开工，不存在土地闲置","估价对象已涉嫌土地闲置"))</f>
        <v>不存在土地闲置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23" t="s">
        <v>1974</v>
      </c>
      <c r="T40" s="1652" t="str">
        <f>NUMBERSTRING(7-K40,1)&amp;"通"</f>
        <v>七通</v>
      </c>
      <c r="U40" s="3054"/>
    </row>
    <row r="41" spans="1:28">
      <c r="A41" s="1590"/>
      <c r="B41" s="3315" t="s">
        <v>1712</v>
      </c>
      <c r="C41" s="3315"/>
      <c r="D41" s="3315"/>
      <c r="E41" s="3315"/>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23"/>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46.8">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2">
      <c r="A3" s="21"/>
      <c r="B3" s="22">
        <f>IF(C3="否",G5-AT5,G5)</f>
        <v>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3.2">
      <c r="A5" s="26" t="s">
        <v>168</v>
      </c>
      <c r="B5" s="977"/>
      <c r="C5" s="977"/>
      <c r="D5" s="984"/>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3.2">
      <c r="A9" s="45"/>
      <c r="B9" s="45"/>
      <c r="C9" s="45"/>
      <c r="D9" s="45"/>
      <c r="E9" s="45"/>
      <c r="F9" s="45"/>
      <c r="G9" s="55"/>
      <c r="H9" s="58" t="s">
        <v>188</v>
      </c>
      <c r="I9" s="2732"/>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3.2">
      <c r="A10" s="45"/>
      <c r="B10" s="45"/>
      <c r="C10" s="45"/>
      <c r="D10" s="45"/>
      <c r="E10" s="45"/>
      <c r="F10" s="45"/>
      <c r="G10" s="55"/>
      <c r="H10" s="62"/>
      <c r="I10" s="2732"/>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3.2">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3.2">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3.2">
      <c r="A13" s="2727"/>
      <c r="B13" s="2727"/>
      <c r="C13" s="2727"/>
      <c r="D13" s="2728"/>
      <c r="E13" s="27" t="e">
        <f t="shared" ref="E13:E20" si="6">IF($C$3="是",ROUND($A$3*G13/$B$3,2),ROUND($A$3*(G13-AT13)/$B$3,2))</f>
        <v>#DIV/0!</v>
      </c>
      <c r="F13" s="81"/>
      <c r="G13" s="82">
        <f t="shared" ref="G13:G20" si="7">H13+AC13+AT13</f>
        <v>0</v>
      </c>
      <c r="H13" s="33">
        <f t="shared" ref="H13:H20" si="8">SUMIF(I$12:AB$12,"总值",I13:AB13)</f>
        <v>0</v>
      </c>
      <c r="I13" s="2731"/>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27"/>
      <c r="B14" s="2727"/>
      <c r="C14" s="2729"/>
      <c r="D14" s="2728"/>
      <c r="E14" s="27" t="e">
        <f t="shared" si="6"/>
        <v>#DIV/0!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7"/>
      <c r="B15" s="2727"/>
      <c r="C15" s="2729"/>
      <c r="D15" s="2728"/>
      <c r="E15" s="27" t="e">
        <f t="shared" si="6"/>
        <v>#DIV/0!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7"/>
      <c r="B16" s="2727"/>
      <c r="C16" s="2729"/>
      <c r="D16" s="2728"/>
      <c r="E16" s="27" t="e">
        <f t="shared" si="6"/>
        <v>#DIV/0!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27"/>
      <c r="B17" s="2727"/>
      <c r="C17" s="2729"/>
      <c r="D17" s="2728"/>
      <c r="E17" s="27" t="e">
        <f t="shared" si="6"/>
        <v>#DIV/0!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30"/>
      <c r="E18" s="87" t="e">
        <f t="shared" si="6"/>
        <v>#DIV/0!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7"/>
      <c r="C19" s="1343"/>
      <c r="D19" s="80"/>
      <c r="E19" s="87" t="e">
        <f t="shared" si="6"/>
        <v>#DIV/0!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7"/>
      <c r="C20" s="1343"/>
      <c r="D20" s="80"/>
      <c r="E20" s="87" t="e">
        <f t="shared" si="6"/>
        <v>#DIV/0!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42"/>
      <c r="C21" s="1343"/>
      <c r="D21" s="80"/>
      <c r="E21" s="87" t="e">
        <f t="shared" ref="E21:E112" si="33">IF($C$3="是",ROUND($A$3*G21/$B$3,2),ROUND($A$3*(G21-AT21)/$B$3,2))</f>
        <v>#DIV/0!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42"/>
      <c r="C22" s="1343"/>
      <c r="D22" s="80"/>
      <c r="E22" s="87" t="e">
        <f t="shared" si="33"/>
        <v>#DIV/0!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42"/>
      <c r="C23" s="1343"/>
      <c r="D23" s="80"/>
      <c r="E23" s="87" t="e">
        <f t="shared" si="33"/>
        <v>#DIV/0!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42"/>
      <c r="C24" s="1343"/>
      <c r="D24" s="80"/>
      <c r="E24" s="87" t="e">
        <f t="shared" si="33"/>
        <v>#DIV/0!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42"/>
      <c r="C25" s="1343"/>
      <c r="D25" s="80"/>
      <c r="E25" s="87" t="e">
        <f t="shared" si="33"/>
        <v>#DIV/0!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42"/>
      <c r="C26" s="1343"/>
      <c r="D26" s="80"/>
      <c r="E26" s="87" t="e">
        <f t="shared" si="33"/>
        <v>#DIV/0!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42"/>
      <c r="C27" s="1343"/>
      <c r="D27" s="80"/>
      <c r="E27" s="87" t="e">
        <f t="shared" si="33"/>
        <v>#DIV/0!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42"/>
      <c r="C28" s="1343"/>
      <c r="D28" s="80"/>
      <c r="E28" s="87" t="e">
        <f t="shared" si="33"/>
        <v>#DIV/0!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4"/>
      <c r="C29" s="1345"/>
      <c r="D29" s="80"/>
      <c r="E29" s="87" t="e">
        <f t="shared" si="33"/>
        <v>#DIV/0!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42"/>
      <c r="C30" s="1343"/>
      <c r="D30" s="80"/>
      <c r="E30" s="87" t="e">
        <f t="shared" si="33"/>
        <v>#DIV/0!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42"/>
      <c r="C31" s="1343"/>
      <c r="D31" s="80"/>
      <c r="E31" s="87" t="e">
        <f t="shared" si="33"/>
        <v>#DIV/0!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42"/>
      <c r="C32" s="1343"/>
      <c r="D32" s="80"/>
      <c r="E32" s="87" t="e">
        <f t="shared" si="33"/>
        <v>#DIV/0!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42"/>
      <c r="C33" s="1343"/>
      <c r="D33" s="80"/>
      <c r="E33" s="87" t="e">
        <f t="shared" si="33"/>
        <v>#DIV/0!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42"/>
      <c r="C34" s="1343"/>
      <c r="D34" s="80"/>
      <c r="E34" s="87" t="e">
        <f t="shared" si="33"/>
        <v>#DIV/0!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42"/>
      <c r="C35" s="1343"/>
      <c r="D35" s="80"/>
      <c r="E35" s="87" t="e">
        <f t="shared" si="33"/>
        <v>#DIV/0!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42"/>
      <c r="C36" s="1343"/>
      <c r="D36" s="80"/>
      <c r="E36" s="87" t="e">
        <f t="shared" si="33"/>
        <v>#DIV/0!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42"/>
      <c r="C37" s="1343"/>
      <c r="D37" s="80"/>
      <c r="E37" s="87" t="e">
        <f t="shared" si="33"/>
        <v>#DIV/0!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42"/>
      <c r="C38" s="1343"/>
      <c r="D38" s="80"/>
      <c r="E38" s="87" t="e">
        <f t="shared" si="33"/>
        <v>#DIV/0!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42"/>
      <c r="C39" s="1343"/>
      <c r="D39" s="80"/>
      <c r="E39" s="87" t="e">
        <f t="shared" si="33"/>
        <v>#DIV/0!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42"/>
      <c r="C40" s="1343"/>
      <c r="D40" s="80"/>
      <c r="E40" s="87" t="e">
        <f t="shared" si="33"/>
        <v>#DIV/0!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42"/>
      <c r="C41" s="1343"/>
      <c r="D41" s="80"/>
      <c r="E41" s="87" t="e">
        <f t="shared" si="33"/>
        <v>#DIV/0!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42"/>
      <c r="C42" s="1343"/>
      <c r="D42" s="80"/>
      <c r="E42" s="87" t="e">
        <f t="shared" si="33"/>
        <v>#DIV/0!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42"/>
      <c r="C43" s="1343"/>
      <c r="D43" s="80"/>
      <c r="E43" s="87" t="e">
        <f t="shared" si="33"/>
        <v>#DIV/0!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42"/>
      <c r="C44" s="1343"/>
      <c r="D44" s="80"/>
      <c r="E44" s="87" t="e">
        <f t="shared" si="33"/>
        <v>#DIV/0!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42"/>
      <c r="C45" s="1343"/>
      <c r="D45" s="80"/>
      <c r="E45" s="87" t="e">
        <f t="shared" si="33"/>
        <v>#DIV/0!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42"/>
      <c r="C46" s="1343"/>
      <c r="D46" s="80"/>
      <c r="E46" s="87" t="e">
        <f t="shared" si="33"/>
        <v>#DIV/0!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42"/>
      <c r="C47" s="1343"/>
      <c r="D47" s="80"/>
      <c r="E47" s="87" t="e">
        <f t="shared" si="33"/>
        <v>#DIV/0!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42"/>
      <c r="C48" s="1343"/>
      <c r="D48" s="80"/>
      <c r="E48" s="87" t="e">
        <f t="shared" si="33"/>
        <v>#DIV/0!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42"/>
      <c r="C49" s="1343"/>
      <c r="D49" s="80"/>
      <c r="E49" s="87" t="e">
        <f t="shared" si="33"/>
        <v>#DIV/0!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42"/>
      <c r="C50" s="1343"/>
      <c r="D50" s="80"/>
      <c r="E50" s="87" t="e">
        <f t="shared" si="33"/>
        <v>#DIV/0!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42"/>
      <c r="C51" s="1343"/>
      <c r="D51" s="80"/>
      <c r="E51" s="87" t="e">
        <f t="shared" si="33"/>
        <v>#DIV/0!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42"/>
      <c r="C52" s="1343"/>
      <c r="D52" s="80"/>
      <c r="E52" s="87" t="e">
        <f t="shared" si="33"/>
        <v>#DIV/0!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42"/>
      <c r="C53" s="1343"/>
      <c r="D53" s="80"/>
      <c r="E53" s="87" t="e">
        <f t="shared" si="33"/>
        <v>#DIV/0!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42"/>
      <c r="C54" s="1343"/>
      <c r="D54" s="80"/>
      <c r="E54" s="87" t="e">
        <f t="shared" si="33"/>
        <v>#DIV/0!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4"/>
      <c r="C55" s="1345"/>
      <c r="D55" s="80"/>
      <c r="E55" s="87" t="e">
        <f t="shared" si="33"/>
        <v>#DIV/0!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42"/>
      <c r="C113" s="1343"/>
      <c r="D113" s="80"/>
      <c r="E113" s="87" t="e">
        <f t="shared" ref="E113:E144" si="87">IF($C$3="是",ROUND($A$3*G113/$B$3,2),ROUND($A$3*(G113-AT113)/$B$3,2))</f>
        <v>#DIV/0!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42"/>
      <c r="C114" s="1343"/>
      <c r="D114" s="80"/>
      <c r="E114" s="87" t="e">
        <f t="shared" si="87"/>
        <v>#DIV/0!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42"/>
      <c r="C115" s="1343"/>
      <c r="D115" s="80"/>
      <c r="E115" s="87" t="e">
        <f t="shared" si="87"/>
        <v>#DIV/0!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42"/>
      <c r="C116" s="1343"/>
      <c r="D116" s="80"/>
      <c r="E116" s="87" t="e">
        <f t="shared" si="87"/>
        <v>#DIV/0!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42"/>
      <c r="C117" s="1343"/>
      <c r="D117" s="80"/>
      <c r="E117" s="87" t="e">
        <f t="shared" si="87"/>
        <v>#DIV/0!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42"/>
      <c r="C118" s="1343"/>
      <c r="D118" s="80"/>
      <c r="E118" s="87" t="e">
        <f t="shared" si="87"/>
        <v>#DIV/0!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42"/>
      <c r="C119" s="1343"/>
      <c r="D119" s="80"/>
      <c r="E119" s="87" t="e">
        <f t="shared" si="87"/>
        <v>#DIV/0!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42"/>
      <c r="C120" s="1343"/>
      <c r="D120" s="80"/>
      <c r="E120" s="87" t="e">
        <f t="shared" si="87"/>
        <v>#DIV/0!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4"/>
      <c r="C121" s="1345"/>
      <c r="D121" s="80"/>
      <c r="E121" s="87" t="e">
        <f t="shared" si="87"/>
        <v>#DIV/0!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42"/>
      <c r="C122" s="1343"/>
      <c r="D122" s="80"/>
      <c r="E122" s="87" t="e">
        <f t="shared" si="87"/>
        <v>#DIV/0!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42"/>
      <c r="C123" s="1343"/>
      <c r="D123" s="80"/>
      <c r="E123" s="87" t="e">
        <f t="shared" si="87"/>
        <v>#DIV/0!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42"/>
      <c r="C124" s="1343"/>
      <c r="D124" s="80"/>
      <c r="E124" s="87" t="e">
        <f t="shared" si="87"/>
        <v>#DIV/0!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42"/>
      <c r="C125" s="1343"/>
      <c r="D125" s="80"/>
      <c r="E125" s="87" t="e">
        <f t="shared" si="87"/>
        <v>#DIV/0!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42"/>
      <c r="C126" s="1343"/>
      <c r="D126" s="80"/>
      <c r="E126" s="87" t="e">
        <f t="shared" si="87"/>
        <v>#DIV/0!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42"/>
      <c r="C127" s="1343"/>
      <c r="D127" s="80"/>
      <c r="E127" s="87" t="e">
        <f t="shared" si="87"/>
        <v>#DIV/0!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42"/>
      <c r="C128" s="1343"/>
      <c r="D128" s="80"/>
      <c r="E128" s="87" t="e">
        <f t="shared" si="87"/>
        <v>#DIV/0!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42"/>
      <c r="C129" s="1343"/>
      <c r="D129" s="80"/>
      <c r="E129" s="87" t="e">
        <f t="shared" si="87"/>
        <v>#DIV/0!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42"/>
      <c r="C130" s="1343"/>
      <c r="D130" s="80"/>
      <c r="E130" s="87" t="e">
        <f t="shared" si="87"/>
        <v>#DIV/0!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42"/>
      <c r="C131" s="1343"/>
      <c r="D131" s="80"/>
      <c r="E131" s="87" t="e">
        <f t="shared" si="87"/>
        <v>#DIV/0!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42"/>
      <c r="C132" s="1343"/>
      <c r="D132" s="80"/>
      <c r="E132" s="87" t="e">
        <f t="shared" si="87"/>
        <v>#DIV/0!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42"/>
      <c r="C133" s="1343"/>
      <c r="D133" s="80"/>
      <c r="E133" s="87" t="e">
        <f t="shared" si="87"/>
        <v>#DIV/0!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42"/>
      <c r="C134" s="1343"/>
      <c r="D134" s="80"/>
      <c r="E134" s="87" t="e">
        <f t="shared" si="87"/>
        <v>#DIV/0!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42"/>
      <c r="C135" s="1343"/>
      <c r="D135" s="80"/>
      <c r="E135" s="87" t="e">
        <f t="shared" si="87"/>
        <v>#DIV/0!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42"/>
      <c r="C136" s="1343"/>
      <c r="D136" s="80"/>
      <c r="E136" s="87" t="e">
        <f t="shared" si="87"/>
        <v>#DIV/0!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42"/>
      <c r="C137" s="1343"/>
      <c r="D137" s="80"/>
      <c r="E137" s="87" t="e">
        <f t="shared" si="87"/>
        <v>#DIV/0!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42"/>
      <c r="C138" s="1343"/>
      <c r="D138" s="80"/>
      <c r="E138" s="87" t="e">
        <f t="shared" si="87"/>
        <v>#DIV/0!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42"/>
      <c r="C139" s="1343"/>
      <c r="D139" s="80"/>
      <c r="E139" s="87" t="e">
        <f t="shared" si="87"/>
        <v>#DIV/0!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42"/>
      <c r="C140" s="1343"/>
      <c r="D140" s="80"/>
      <c r="E140" s="87" t="e">
        <f t="shared" si="87"/>
        <v>#DIV/0!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42"/>
      <c r="C141" s="1343"/>
      <c r="D141" s="80"/>
      <c r="E141" s="87" t="e">
        <f t="shared" si="87"/>
        <v>#DIV/0!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42"/>
      <c r="C142" s="1343"/>
      <c r="D142" s="80"/>
      <c r="E142" s="87" t="e">
        <f t="shared" si="87"/>
        <v>#DIV/0!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42"/>
      <c r="C143" s="1343"/>
      <c r="D143" s="80"/>
      <c r="E143" s="87" t="e">
        <f t="shared" si="87"/>
        <v>#DIV/0!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42"/>
      <c r="C144" s="1343"/>
      <c r="D144" s="80"/>
      <c r="E144" s="87" t="e">
        <f t="shared" si="87"/>
        <v>#DIV/0!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42"/>
      <c r="C145" s="1343"/>
      <c r="D145" s="80"/>
      <c r="E145" s="87" t="e">
        <f t="shared" ref="E145:E176" si="116">IF($C$3="是",ROUND($A$3*G145/$B$3,2),ROUND($A$3*(G145-AT145)/$B$3,2))</f>
        <v>#DIV/0!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42"/>
      <c r="C146" s="1343"/>
      <c r="D146" s="80"/>
      <c r="E146" s="87" t="e">
        <f t="shared" si="116"/>
        <v>#DIV/0!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4"/>
      <c r="C147" s="1345"/>
      <c r="D147" s="80"/>
      <c r="E147" s="87" t="e">
        <f t="shared" si="116"/>
        <v>#DIV/0!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42"/>
      <c r="C205" s="1343"/>
      <c r="D205" s="80"/>
      <c r="E205" s="87" t="e">
        <f t="shared" ref="E205:E296" si="149">IF($C$3="是",ROUND($A$3*G205/$B$3,2),ROUND($A$3*(G205-AT205)/$B$3,2))</f>
        <v>#DIV/0!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42"/>
      <c r="C206" s="1343"/>
      <c r="D206" s="80"/>
      <c r="E206" s="87" t="e">
        <f t="shared" si="149"/>
        <v>#DIV/0!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42"/>
      <c r="C207" s="1343"/>
      <c r="D207" s="80"/>
      <c r="E207" s="87" t="e">
        <f t="shared" si="149"/>
        <v>#DIV/0!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42"/>
      <c r="C208" s="1343"/>
      <c r="D208" s="80"/>
      <c r="E208" s="87" t="e">
        <f t="shared" si="149"/>
        <v>#DIV/0!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42"/>
      <c r="C209" s="1343"/>
      <c r="D209" s="80"/>
      <c r="E209" s="87" t="e">
        <f t="shared" si="149"/>
        <v>#DIV/0!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42"/>
      <c r="C210" s="1343"/>
      <c r="D210" s="80"/>
      <c r="E210" s="87" t="e">
        <f t="shared" si="149"/>
        <v>#DIV/0!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42"/>
      <c r="C211" s="1343"/>
      <c r="D211" s="80"/>
      <c r="E211" s="87" t="e">
        <f t="shared" si="149"/>
        <v>#DIV/0!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42"/>
      <c r="C212" s="1343"/>
      <c r="D212" s="80"/>
      <c r="E212" s="87" t="e">
        <f t="shared" si="149"/>
        <v>#DIV/0!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4"/>
      <c r="C213" s="1345"/>
      <c r="D213" s="80"/>
      <c r="E213" s="87" t="e">
        <f t="shared" si="149"/>
        <v>#DIV/0!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42"/>
      <c r="C214" s="1343"/>
      <c r="D214" s="80"/>
      <c r="E214" s="87" t="e">
        <f t="shared" si="149"/>
        <v>#DIV/0!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42"/>
      <c r="C215" s="1343"/>
      <c r="D215" s="80"/>
      <c r="E215" s="87" t="e">
        <f t="shared" si="149"/>
        <v>#DIV/0!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42"/>
      <c r="C216" s="1343"/>
      <c r="D216" s="80"/>
      <c r="E216" s="87" t="e">
        <f t="shared" si="149"/>
        <v>#DIV/0!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42"/>
      <c r="C217" s="1343"/>
      <c r="D217" s="80"/>
      <c r="E217" s="87" t="e">
        <f t="shared" si="149"/>
        <v>#DIV/0!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42"/>
      <c r="C218" s="1343"/>
      <c r="D218" s="80"/>
      <c r="E218" s="87" t="e">
        <f t="shared" si="149"/>
        <v>#DIV/0!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42"/>
      <c r="C219" s="1343"/>
      <c r="D219" s="80"/>
      <c r="E219" s="87" t="e">
        <f t="shared" si="149"/>
        <v>#DIV/0!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42"/>
      <c r="C220" s="1343"/>
      <c r="D220" s="80"/>
      <c r="E220" s="87" t="e">
        <f t="shared" si="149"/>
        <v>#DIV/0!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42"/>
      <c r="C221" s="1343"/>
      <c r="D221" s="80"/>
      <c r="E221" s="87" t="e">
        <f t="shared" si="149"/>
        <v>#DIV/0!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42"/>
      <c r="C222" s="1343"/>
      <c r="D222" s="80"/>
      <c r="E222" s="87" t="e">
        <f t="shared" si="149"/>
        <v>#DIV/0!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42"/>
      <c r="C223" s="1343"/>
      <c r="D223" s="80"/>
      <c r="E223" s="87" t="e">
        <f t="shared" si="149"/>
        <v>#DIV/0!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42"/>
      <c r="C224" s="1343"/>
      <c r="D224" s="80"/>
      <c r="E224" s="87" t="e">
        <f t="shared" si="149"/>
        <v>#DIV/0!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42"/>
      <c r="C225" s="1343"/>
      <c r="D225" s="80"/>
      <c r="E225" s="87" t="e">
        <f t="shared" si="149"/>
        <v>#DIV/0!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42"/>
      <c r="C226" s="1343"/>
      <c r="D226" s="80"/>
      <c r="E226" s="87" t="e">
        <f t="shared" si="149"/>
        <v>#DIV/0!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42"/>
      <c r="C227" s="1343"/>
      <c r="D227" s="80"/>
      <c r="E227" s="87" t="e">
        <f t="shared" si="149"/>
        <v>#DIV/0!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42"/>
      <c r="C228" s="1343"/>
      <c r="D228" s="80"/>
      <c r="E228" s="87" t="e">
        <f t="shared" si="149"/>
        <v>#DIV/0!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42"/>
      <c r="C229" s="1343"/>
      <c r="D229" s="80"/>
      <c r="E229" s="87" t="e">
        <f t="shared" si="149"/>
        <v>#DIV/0!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42"/>
      <c r="C230" s="1343"/>
      <c r="D230" s="80"/>
      <c r="E230" s="87" t="e">
        <f t="shared" si="149"/>
        <v>#DIV/0!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42"/>
      <c r="C231" s="1343"/>
      <c r="D231" s="80"/>
      <c r="E231" s="87" t="e">
        <f t="shared" si="149"/>
        <v>#DIV/0!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42"/>
      <c r="C232" s="1343"/>
      <c r="D232" s="80"/>
      <c r="E232" s="87" t="e">
        <f t="shared" si="149"/>
        <v>#DIV/0!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42"/>
      <c r="C233" s="1343"/>
      <c r="D233" s="80"/>
      <c r="E233" s="87" t="e">
        <f t="shared" si="149"/>
        <v>#DIV/0!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42"/>
      <c r="C234" s="1343"/>
      <c r="D234" s="80"/>
      <c r="E234" s="87" t="e">
        <f t="shared" si="149"/>
        <v>#DIV/0!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42"/>
      <c r="C235" s="1343"/>
      <c r="D235" s="80"/>
      <c r="E235" s="87" t="e">
        <f t="shared" si="149"/>
        <v>#DIV/0!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42"/>
      <c r="C236" s="1343"/>
      <c r="D236" s="80"/>
      <c r="E236" s="87" t="e">
        <f t="shared" si="149"/>
        <v>#DIV/0!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42"/>
      <c r="C237" s="1343"/>
      <c r="D237" s="80"/>
      <c r="E237" s="87" t="e">
        <f t="shared" si="149"/>
        <v>#DIV/0!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42"/>
      <c r="C238" s="1343"/>
      <c r="D238" s="80"/>
      <c r="E238" s="87" t="e">
        <f t="shared" si="149"/>
        <v>#DIV/0!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4"/>
      <c r="C239" s="1345"/>
      <c r="D239" s="80"/>
      <c r="E239" s="87" t="e">
        <f t="shared" si="149"/>
        <v>#DIV/0!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42"/>
      <c r="C297" s="1343"/>
      <c r="D297" s="80"/>
      <c r="E297" s="87" t="e">
        <f t="shared" ref="E297:E328" si="203">IF($C$3="是",ROUND($A$3*G297/$B$3,2),ROUND($A$3*(G297-AT297)/$B$3,2))</f>
        <v>#DIV/0!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42"/>
      <c r="C298" s="1343"/>
      <c r="D298" s="80"/>
      <c r="E298" s="87" t="e">
        <f t="shared" si="203"/>
        <v>#DIV/0!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42"/>
      <c r="C299" s="1343"/>
      <c r="D299" s="80"/>
      <c r="E299" s="87" t="e">
        <f t="shared" si="203"/>
        <v>#DIV/0!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42"/>
      <c r="C300" s="1343"/>
      <c r="D300" s="80"/>
      <c r="E300" s="87" t="e">
        <f t="shared" si="203"/>
        <v>#DIV/0!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42"/>
      <c r="C301" s="1343"/>
      <c r="D301" s="80"/>
      <c r="E301" s="87" t="e">
        <f t="shared" si="203"/>
        <v>#DIV/0!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42"/>
      <c r="C302" s="1343"/>
      <c r="D302" s="80"/>
      <c r="E302" s="87" t="e">
        <f t="shared" si="203"/>
        <v>#DIV/0!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42"/>
      <c r="C303" s="1343"/>
      <c r="D303" s="80"/>
      <c r="E303" s="87" t="e">
        <f t="shared" si="203"/>
        <v>#DIV/0!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42"/>
      <c r="C304" s="1343"/>
      <c r="D304" s="80"/>
      <c r="E304" s="87" t="e">
        <f t="shared" si="203"/>
        <v>#DIV/0!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4"/>
      <c r="C305" s="1345"/>
      <c r="D305" s="80"/>
      <c r="E305" s="87" t="e">
        <f t="shared" si="203"/>
        <v>#DIV/0!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42"/>
      <c r="C306" s="1343"/>
      <c r="D306" s="80"/>
      <c r="E306" s="87" t="e">
        <f t="shared" si="203"/>
        <v>#DIV/0!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42"/>
      <c r="C307" s="1343"/>
      <c r="D307" s="80"/>
      <c r="E307" s="87" t="e">
        <f t="shared" si="203"/>
        <v>#DIV/0!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42"/>
      <c r="C308" s="1343"/>
      <c r="D308" s="80"/>
      <c r="E308" s="87" t="e">
        <f t="shared" si="203"/>
        <v>#DIV/0!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42"/>
      <c r="C309" s="1343"/>
      <c r="D309" s="80"/>
      <c r="E309" s="87" t="e">
        <f t="shared" si="203"/>
        <v>#DIV/0!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42"/>
      <c r="C310" s="1343"/>
      <c r="D310" s="80"/>
      <c r="E310" s="87" t="e">
        <f t="shared" si="203"/>
        <v>#DIV/0!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42"/>
      <c r="C311" s="1343"/>
      <c r="D311" s="80"/>
      <c r="E311" s="87" t="e">
        <f t="shared" si="203"/>
        <v>#DIV/0!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42"/>
      <c r="C312" s="1343"/>
      <c r="D312" s="80"/>
      <c r="E312" s="87" t="e">
        <f t="shared" si="203"/>
        <v>#DIV/0!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42"/>
      <c r="C313" s="1343"/>
      <c r="D313" s="80"/>
      <c r="E313" s="87" t="e">
        <f t="shared" si="203"/>
        <v>#DIV/0!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42"/>
      <c r="C314" s="1343"/>
      <c r="D314" s="80"/>
      <c r="E314" s="87" t="e">
        <f t="shared" si="203"/>
        <v>#DIV/0!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42"/>
      <c r="C315" s="1343"/>
      <c r="D315" s="80"/>
      <c r="E315" s="87" t="e">
        <f t="shared" si="203"/>
        <v>#DIV/0!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42"/>
      <c r="C316" s="1343"/>
      <c r="D316" s="80"/>
      <c r="E316" s="87" t="e">
        <f t="shared" si="203"/>
        <v>#DIV/0!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42"/>
      <c r="C317" s="1343"/>
      <c r="D317" s="80"/>
      <c r="E317" s="87" t="e">
        <f t="shared" si="203"/>
        <v>#DIV/0!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42"/>
      <c r="C318" s="1343"/>
      <c r="D318" s="80"/>
      <c r="E318" s="87" t="e">
        <f t="shared" si="203"/>
        <v>#DIV/0!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42"/>
      <c r="C319" s="1343"/>
      <c r="D319" s="80"/>
      <c r="E319" s="87" t="e">
        <f t="shared" si="203"/>
        <v>#DIV/0!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42"/>
      <c r="C320" s="1343"/>
      <c r="D320" s="80"/>
      <c r="E320" s="87" t="e">
        <f t="shared" si="203"/>
        <v>#DIV/0!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42"/>
      <c r="C321" s="1343"/>
      <c r="D321" s="80"/>
      <c r="E321" s="87" t="e">
        <f t="shared" si="203"/>
        <v>#DIV/0!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42"/>
      <c r="C322" s="1343"/>
      <c r="D322" s="80"/>
      <c r="E322" s="87" t="e">
        <f t="shared" si="203"/>
        <v>#DIV/0!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42"/>
      <c r="C323" s="1343"/>
      <c r="D323" s="80"/>
      <c r="E323" s="87" t="e">
        <f t="shared" si="203"/>
        <v>#DIV/0!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42"/>
      <c r="C324" s="1343"/>
      <c r="D324" s="80"/>
      <c r="E324" s="87" t="e">
        <f t="shared" si="203"/>
        <v>#DIV/0!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42"/>
      <c r="C325" s="1343"/>
      <c r="D325" s="80"/>
      <c r="E325" s="87" t="e">
        <f t="shared" si="203"/>
        <v>#DIV/0!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42"/>
      <c r="C326" s="1343"/>
      <c r="D326" s="80"/>
      <c r="E326" s="87" t="e">
        <f t="shared" si="203"/>
        <v>#DIV/0!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42"/>
      <c r="C327" s="1343"/>
      <c r="D327" s="80"/>
      <c r="E327" s="87" t="e">
        <f t="shared" si="203"/>
        <v>#DIV/0!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42"/>
      <c r="C328" s="1343"/>
      <c r="D328" s="80"/>
      <c r="E328" s="87" t="e">
        <f t="shared" si="203"/>
        <v>#DIV/0!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42"/>
      <c r="C329" s="1343"/>
      <c r="D329" s="80"/>
      <c r="E329" s="87" t="e">
        <f t="shared" ref="E329:E360" si="232">IF($C$3="是",ROUND($A$3*G329/$B$3,2),ROUND($A$3*(G329-AT329)/$B$3,2))</f>
        <v>#DIV/0!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42"/>
      <c r="C330" s="1343"/>
      <c r="D330" s="80"/>
      <c r="E330" s="87" t="e">
        <f t="shared" si="232"/>
        <v>#DIV/0!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4"/>
      <c r="C331" s="1345"/>
      <c r="D331" s="80"/>
      <c r="E331" s="87" t="e">
        <f t="shared" si="232"/>
        <v>#DIV/0!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42"/>
      <c r="C389" s="1343"/>
      <c r="D389" s="80"/>
      <c r="E389" s="87" t="e">
        <f t="shared" ref="E389:E480" si="265">IF($C$3="是",ROUND($A$3*G389/$B$3,2),ROUND($A$3*(G389-AT389)/$B$3,2))</f>
        <v>#DIV/0!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42"/>
      <c r="C390" s="1343"/>
      <c r="D390" s="80"/>
      <c r="E390" s="87" t="e">
        <f t="shared" si="265"/>
        <v>#DIV/0!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42"/>
      <c r="C391" s="1343"/>
      <c r="D391" s="80"/>
      <c r="E391" s="87" t="e">
        <f t="shared" si="265"/>
        <v>#DIV/0!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42"/>
      <c r="C392" s="1343"/>
      <c r="D392" s="80"/>
      <c r="E392" s="87" t="e">
        <f t="shared" si="265"/>
        <v>#DIV/0!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42"/>
      <c r="C393" s="1343"/>
      <c r="D393" s="80"/>
      <c r="E393" s="87" t="e">
        <f t="shared" si="265"/>
        <v>#DIV/0!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42"/>
      <c r="C394" s="1343"/>
      <c r="D394" s="80"/>
      <c r="E394" s="87" t="e">
        <f t="shared" si="265"/>
        <v>#DIV/0!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42"/>
      <c r="C395" s="1343"/>
      <c r="D395" s="80"/>
      <c r="E395" s="87" t="e">
        <f t="shared" si="265"/>
        <v>#DIV/0!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42"/>
      <c r="C396" s="1343"/>
      <c r="D396" s="80"/>
      <c r="E396" s="87" t="e">
        <f t="shared" si="265"/>
        <v>#DIV/0!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4"/>
      <c r="C397" s="1345"/>
      <c r="D397" s="80"/>
      <c r="E397" s="87" t="e">
        <f t="shared" si="265"/>
        <v>#DIV/0!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42"/>
      <c r="C398" s="1343"/>
      <c r="D398" s="80"/>
      <c r="E398" s="87" t="e">
        <f t="shared" si="265"/>
        <v>#DIV/0!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42"/>
      <c r="C399" s="1343"/>
      <c r="D399" s="80"/>
      <c r="E399" s="87" t="e">
        <f t="shared" si="265"/>
        <v>#DIV/0!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42"/>
      <c r="C400" s="1343"/>
      <c r="D400" s="80"/>
      <c r="E400" s="87" t="e">
        <f t="shared" si="265"/>
        <v>#DIV/0!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42"/>
      <c r="C401" s="1343"/>
      <c r="D401" s="80"/>
      <c r="E401" s="87" t="e">
        <f t="shared" si="265"/>
        <v>#DIV/0!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42"/>
      <c r="C402" s="1343"/>
      <c r="D402" s="80"/>
      <c r="E402" s="87" t="e">
        <f t="shared" si="265"/>
        <v>#DIV/0!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42"/>
      <c r="C403" s="1343"/>
      <c r="D403" s="80"/>
      <c r="E403" s="87" t="e">
        <f t="shared" si="265"/>
        <v>#DIV/0!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42"/>
      <c r="C404" s="1343"/>
      <c r="D404" s="80"/>
      <c r="E404" s="87" t="e">
        <f t="shared" si="265"/>
        <v>#DIV/0!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42"/>
      <c r="C405" s="1343"/>
      <c r="D405" s="80"/>
      <c r="E405" s="87" t="e">
        <f t="shared" si="265"/>
        <v>#DIV/0!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42"/>
      <c r="C406" s="1343"/>
      <c r="D406" s="80"/>
      <c r="E406" s="87" t="e">
        <f t="shared" si="265"/>
        <v>#DIV/0!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42"/>
      <c r="C407" s="1343"/>
      <c r="D407" s="80"/>
      <c r="E407" s="87" t="e">
        <f t="shared" si="265"/>
        <v>#DIV/0!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42"/>
      <c r="C408" s="1343"/>
      <c r="D408" s="80"/>
      <c r="E408" s="87" t="e">
        <f t="shared" si="265"/>
        <v>#DIV/0!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42"/>
      <c r="C409" s="1343"/>
      <c r="D409" s="80"/>
      <c r="E409" s="87" t="e">
        <f t="shared" si="265"/>
        <v>#DIV/0!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42"/>
      <c r="C410" s="1343"/>
      <c r="D410" s="80"/>
      <c r="E410" s="87" t="e">
        <f t="shared" si="265"/>
        <v>#DIV/0!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42"/>
      <c r="C411" s="1343"/>
      <c r="D411" s="80"/>
      <c r="E411" s="87" t="e">
        <f t="shared" si="265"/>
        <v>#DIV/0!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42"/>
      <c r="C412" s="1343"/>
      <c r="D412" s="80"/>
      <c r="E412" s="87" t="e">
        <f t="shared" si="265"/>
        <v>#DIV/0!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42"/>
      <c r="C413" s="1343"/>
      <c r="D413" s="80"/>
      <c r="E413" s="87" t="e">
        <f t="shared" si="265"/>
        <v>#DIV/0!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42"/>
      <c r="C414" s="1343"/>
      <c r="D414" s="80"/>
      <c r="E414" s="87" t="e">
        <f t="shared" si="265"/>
        <v>#DIV/0!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42"/>
      <c r="C415" s="1343"/>
      <c r="D415" s="80"/>
      <c r="E415" s="87" t="e">
        <f t="shared" si="265"/>
        <v>#DIV/0!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42"/>
      <c r="C416" s="1343"/>
      <c r="D416" s="80"/>
      <c r="E416" s="87" t="e">
        <f t="shared" si="265"/>
        <v>#DIV/0!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42"/>
      <c r="C417" s="1343"/>
      <c r="D417" s="80"/>
      <c r="E417" s="87" t="e">
        <f t="shared" si="265"/>
        <v>#DIV/0!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42"/>
      <c r="C418" s="1343"/>
      <c r="D418" s="80"/>
      <c r="E418" s="87" t="e">
        <f t="shared" si="265"/>
        <v>#DIV/0!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42"/>
      <c r="C419" s="1343"/>
      <c r="D419" s="80"/>
      <c r="E419" s="87" t="e">
        <f t="shared" si="265"/>
        <v>#DIV/0!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42"/>
      <c r="C420" s="1343"/>
      <c r="D420" s="80"/>
      <c r="E420" s="87" t="e">
        <f t="shared" si="265"/>
        <v>#DIV/0!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42"/>
      <c r="C421" s="1343"/>
      <c r="D421" s="80"/>
      <c r="E421" s="87" t="e">
        <f t="shared" si="265"/>
        <v>#DIV/0!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42"/>
      <c r="C422" s="1343"/>
      <c r="D422" s="80"/>
      <c r="E422" s="87" t="e">
        <f t="shared" si="265"/>
        <v>#DIV/0!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4"/>
      <c r="C423" s="1345"/>
      <c r="D423" s="80"/>
      <c r="E423" s="87" t="e">
        <f t="shared" si="265"/>
        <v>#DIV/0!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42"/>
      <c r="C481" s="1343"/>
      <c r="D481" s="80"/>
      <c r="E481" s="87" t="e">
        <f t="shared" ref="E481:E504" si="319">IF($C$3="是",ROUND($A$3*G481/$B$3,2),ROUND($A$3*(G481-AT481)/$B$3,2))</f>
        <v>#DIV/0!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42"/>
      <c r="C482" s="1343"/>
      <c r="D482" s="80"/>
      <c r="E482" s="87" t="e">
        <f t="shared" si="319"/>
        <v>#DIV/0!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42"/>
      <c r="C483" s="1343"/>
      <c r="D483" s="80"/>
      <c r="E483" s="87" t="e">
        <f t="shared" si="319"/>
        <v>#DIV/0!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42"/>
      <c r="C484" s="1343"/>
      <c r="D484" s="80"/>
      <c r="E484" s="87" t="e">
        <f t="shared" si="319"/>
        <v>#DIV/0!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42"/>
      <c r="C485" s="1343"/>
      <c r="D485" s="80"/>
      <c r="E485" s="87" t="e">
        <f t="shared" si="319"/>
        <v>#DIV/0!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42"/>
      <c r="C486" s="1343"/>
      <c r="D486" s="80"/>
      <c r="E486" s="87" t="e">
        <f t="shared" si="319"/>
        <v>#DIV/0!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42"/>
      <c r="C487" s="1343"/>
      <c r="D487" s="80"/>
      <c r="E487" s="87" t="e">
        <f t="shared" si="319"/>
        <v>#DIV/0!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42"/>
      <c r="C488" s="1343"/>
      <c r="D488" s="80"/>
      <c r="E488" s="87" t="e">
        <f t="shared" si="319"/>
        <v>#DIV/0!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4"/>
      <c r="C489" s="1345"/>
      <c r="D489" s="80"/>
      <c r="E489" s="87" t="e">
        <f t="shared" si="319"/>
        <v>#DIV/0!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42"/>
      <c r="C490" s="1343"/>
      <c r="D490" s="80"/>
      <c r="E490" s="87" t="e">
        <f t="shared" si="319"/>
        <v>#DIV/0!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42"/>
      <c r="C491" s="1343"/>
      <c r="D491" s="80"/>
      <c r="E491" s="87" t="e">
        <f t="shared" si="319"/>
        <v>#DIV/0!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42"/>
      <c r="C492" s="1343"/>
      <c r="D492" s="80"/>
      <c r="E492" s="87" t="e">
        <f t="shared" si="319"/>
        <v>#DIV/0!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42"/>
      <c r="C493" s="1343"/>
      <c r="D493" s="80"/>
      <c r="E493" s="87" t="e">
        <f t="shared" si="319"/>
        <v>#DIV/0!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42"/>
      <c r="C494" s="1343"/>
      <c r="D494" s="80"/>
      <c r="E494" s="87" t="e">
        <f t="shared" si="319"/>
        <v>#DIV/0!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42"/>
      <c r="C495" s="1343"/>
      <c r="D495" s="80"/>
      <c r="E495" s="87" t="e">
        <f t="shared" si="319"/>
        <v>#DIV/0!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42"/>
      <c r="C496" s="1343"/>
      <c r="D496" s="80"/>
      <c r="E496" s="87" t="e">
        <f t="shared" si="319"/>
        <v>#DIV/0!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42"/>
      <c r="C497" s="1343"/>
      <c r="D497" s="80"/>
      <c r="E497" s="87" t="e">
        <f t="shared" si="319"/>
        <v>#DIV/0!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42"/>
      <c r="C498" s="1343"/>
      <c r="D498" s="80"/>
      <c r="E498" s="87" t="e">
        <f t="shared" si="319"/>
        <v>#DIV/0!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42"/>
      <c r="C499" s="1343"/>
      <c r="D499" s="80"/>
      <c r="E499" s="87" t="e">
        <f t="shared" si="319"/>
        <v>#DIV/0!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42"/>
      <c r="C500" s="1343"/>
      <c r="D500" s="80"/>
      <c r="E500" s="87" t="e">
        <f t="shared" si="319"/>
        <v>#DIV/0!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42"/>
      <c r="C501" s="1343"/>
      <c r="D501" s="80"/>
      <c r="E501" s="87" t="e">
        <f t="shared" si="319"/>
        <v>#DIV/0!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42"/>
      <c r="C502" s="1343"/>
      <c r="D502" s="80"/>
      <c r="E502" s="87" t="e">
        <f t="shared" si="319"/>
        <v>#DIV/0!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42"/>
      <c r="C503" s="1343"/>
      <c r="D503" s="80"/>
      <c r="E503" s="87" t="e">
        <f t="shared" si="319"/>
        <v>#DIV/0!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42"/>
      <c r="C504" s="1343"/>
      <c r="D504" s="80"/>
      <c r="E504" s="87" t="e">
        <f t="shared" si="319"/>
        <v>#DIV/0!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42"/>
      <c r="C505" s="1343"/>
      <c r="D505" s="80"/>
      <c r="E505" s="87" t="e">
        <f t="shared" ref="E505:E536" si="323">IF($C$3="是",ROUND($A$3*G505/$B$3,2),ROUND($A$3*(G505-AT505)/$B$3,2))</f>
        <v>#DIV/0!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42"/>
      <c r="C506" s="1343"/>
      <c r="D506" s="80"/>
      <c r="E506" s="87" t="e">
        <f t="shared" si="323"/>
        <v>#DIV/0!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42"/>
      <c r="C507" s="1343"/>
      <c r="D507" s="80"/>
      <c r="E507" s="87" t="e">
        <f t="shared" si="323"/>
        <v>#DIV/0!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42"/>
      <c r="C508" s="1343"/>
      <c r="D508" s="80"/>
      <c r="E508" s="87" t="e">
        <f t="shared" si="323"/>
        <v>#DIV/0!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42"/>
      <c r="C509" s="1343"/>
      <c r="D509" s="80"/>
      <c r="E509" s="87" t="e">
        <f t="shared" si="323"/>
        <v>#DIV/0!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42"/>
      <c r="C510" s="1343"/>
      <c r="D510" s="80"/>
      <c r="E510" s="87" t="e">
        <f t="shared" si="323"/>
        <v>#DIV/0!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42"/>
      <c r="C511" s="1343"/>
      <c r="D511" s="80"/>
      <c r="E511" s="87" t="e">
        <f t="shared" si="323"/>
        <v>#DIV/0!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42"/>
      <c r="C512" s="1343"/>
      <c r="D512" s="80"/>
      <c r="E512" s="87" t="e">
        <f t="shared" si="323"/>
        <v>#DIV/0!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42"/>
      <c r="C513" s="1343"/>
      <c r="D513" s="80"/>
      <c r="E513" s="87" t="e">
        <f t="shared" si="323"/>
        <v>#DIV/0!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42"/>
      <c r="C514" s="1343"/>
      <c r="D514" s="80"/>
      <c r="E514" s="87" t="e">
        <f t="shared" si="323"/>
        <v>#DIV/0!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4"/>
      <c r="C515" s="1345"/>
      <c r="D515" s="80"/>
      <c r="E515" s="87" t="e">
        <f t="shared" si="323"/>
        <v>#DIV/0!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1" t="s">
        <v>0</v>
      </c>
      <c r="B1" s="3351" t="s">
        <v>4</v>
      </c>
      <c r="C1" s="3351" t="s">
        <v>5</v>
      </c>
      <c r="D1" s="3352" t="s">
        <v>40</v>
      </c>
      <c r="E1" s="3352" t="s">
        <v>41</v>
      </c>
      <c r="F1" s="3352"/>
      <c r="G1" s="3352"/>
      <c r="H1" s="3352"/>
      <c r="I1" s="3352"/>
      <c r="J1" s="3352"/>
      <c r="K1" s="3352"/>
      <c r="L1" s="3352"/>
      <c r="M1" s="3352"/>
    </row>
    <row r="2" spans="1:13" ht="27" customHeight="1">
      <c r="A2" s="3351"/>
      <c r="B2" s="3351"/>
      <c r="C2" s="3351"/>
      <c r="D2" s="3352"/>
      <c r="E2" s="3352" t="s">
        <v>24</v>
      </c>
      <c r="F2" s="3352" t="s">
        <v>25</v>
      </c>
      <c r="G2" s="3352"/>
      <c r="H2" s="3352"/>
      <c r="I2" s="3352"/>
      <c r="J2" s="3352" t="s">
        <v>26</v>
      </c>
      <c r="K2" s="3352"/>
      <c r="L2" s="3352"/>
      <c r="M2" s="3352"/>
    </row>
    <row r="3" spans="1:13" ht="46.8">
      <c r="A3" s="3351"/>
      <c r="B3" s="3351"/>
      <c r="C3" s="3351"/>
      <c r="D3" s="3352"/>
      <c r="E3" s="335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2" t="s">
        <v>42</v>
      </c>
      <c r="B9" s="3352"/>
      <c r="C9" s="33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J37" sqref="J37"/>
    </sheetView>
  </sheetViews>
  <sheetFormatPr defaultColWidth="9.21875" defaultRowHeight="13.8"/>
  <cols>
    <col min="1" max="1" width="8.21875" style="1899" customWidth="1"/>
    <col min="2" max="2" width="10.21875" style="1899" customWidth="1"/>
    <col min="3" max="3" width="18.44140625" style="1899" customWidth="1"/>
    <col min="4" max="4" width="11.109375" style="1899" customWidth="1"/>
    <col min="5" max="5" width="13.33203125" style="1899" customWidth="1"/>
    <col min="6" max="8" width="11.44140625" style="1899" customWidth="1"/>
    <col min="9" max="9" width="10.33203125" style="1899" customWidth="1"/>
    <col min="10" max="10" width="3.109375" style="1899" customWidth="1"/>
    <col min="11" max="16" width="11.6640625" style="1899" customWidth="1"/>
    <col min="17" max="17" width="3.33203125" style="1899" customWidth="1"/>
    <col min="18" max="16384" width="9.21875" style="1899"/>
  </cols>
  <sheetData>
    <row r="1" spans="1:16" ht="17.399999999999999">
      <c r="A1" s="104" t="s">
        <v>202</v>
      </c>
      <c r="B1" s="1898"/>
      <c r="C1" s="1898"/>
      <c r="D1" s="1898"/>
      <c r="E1" s="1898"/>
      <c r="F1" s="1898"/>
      <c r="G1" s="1898"/>
      <c r="H1" s="1898"/>
      <c r="I1" s="1898"/>
      <c r="J1" s="1898"/>
      <c r="K1" s="1898"/>
      <c r="L1" s="1898"/>
      <c r="M1" s="1898"/>
      <c r="N1" s="1898"/>
      <c r="O1" s="1898"/>
      <c r="P1" s="1898"/>
    </row>
    <row r="2" spans="1:16" ht="14.4">
      <c r="A2" s="3362" t="s">
        <v>203</v>
      </c>
      <c r="B2" s="3362"/>
      <c r="C2" s="3362"/>
      <c r="D2" s="1889" t="s">
        <v>204</v>
      </c>
      <c r="E2" s="106" t="s">
        <v>205</v>
      </c>
      <c r="F2" s="3083"/>
      <c r="G2" s="1181"/>
      <c r="H2" s="1182"/>
      <c r="I2" s="1183" t="s">
        <v>849</v>
      </c>
      <c r="J2" s="3083"/>
      <c r="K2" s="3083"/>
      <c r="L2" s="3083"/>
      <c r="M2" s="3083"/>
      <c r="N2" s="3083"/>
      <c r="O2" s="3083"/>
      <c r="P2" s="3083"/>
    </row>
    <row r="3" spans="1:16" ht="15" thickBot="1">
      <c r="A3" s="3363" t="s">
        <v>206</v>
      </c>
      <c r="B3" s="3363"/>
      <c r="C3" s="3363"/>
      <c r="D3" s="107" t="e">
        <f>'数据-基础表'!AY6</f>
        <v>#DIV/0!</v>
      </c>
      <c r="E3" s="107">
        <f>'数据-基础表'!AZ5</f>
        <v>0</v>
      </c>
      <c r="F3" s="3083"/>
      <c r="G3" s="278" t="s">
        <v>850</v>
      </c>
      <c r="H3" s="273" t="s">
        <v>851</v>
      </c>
      <c r="I3" s="1890" t="e">
        <f>ROUND('数据-基础表'!B3/'数据-基础表'!A3,2)</f>
        <v>#DIV/0!</v>
      </c>
      <c r="J3" s="3083"/>
      <c r="K3" s="3083"/>
      <c r="L3" s="3083"/>
      <c r="M3" s="3083"/>
      <c r="N3" s="3083"/>
      <c r="O3" s="3083"/>
      <c r="P3" s="3083"/>
    </row>
    <row r="4" spans="1:16" ht="14.4">
      <c r="A4" s="3364"/>
      <c r="B4" s="3365"/>
      <c r="C4" s="3366"/>
      <c r="D4" s="108" t="s">
        <v>204</v>
      </c>
      <c r="E4" s="109" t="s">
        <v>205</v>
      </c>
      <c r="F4" s="3083"/>
      <c r="G4" s="1184"/>
      <c r="H4" s="273" t="s">
        <v>852</v>
      </c>
      <c r="I4" s="1890" t="e">
        <f>ROUND(SUMIF('数据-基础表'!I9:AS9,"地上",'数据-基础表'!I5:AS5)/'数据-基础表'!A3,2)</f>
        <v>#DIV/0!</v>
      </c>
      <c r="J4" s="3083"/>
      <c r="K4" s="3083"/>
      <c r="L4" s="3083"/>
      <c r="M4" s="3083"/>
      <c r="N4" s="3083"/>
      <c r="O4" s="3083"/>
      <c r="P4" s="3083"/>
    </row>
    <row r="5" spans="1:16" ht="14.4">
      <c r="A5" s="110" t="s">
        <v>207</v>
      </c>
      <c r="B5" s="3367" t="s">
        <v>230</v>
      </c>
      <c r="C5" s="3367"/>
      <c r="D5" s="111" t="e">
        <f>ROUND($D$3*E5/$E$3,2)</f>
        <v>#DIV/0!</v>
      </c>
      <c r="E5" s="112">
        <f>SUMIF('数据-基础表'!$11:$11,"住宅",'数据-基础表'!$5:$5)</f>
        <v>0</v>
      </c>
      <c r="F5" s="3083"/>
      <c r="G5" s="278" t="s">
        <v>853</v>
      </c>
      <c r="H5" s="273" t="s">
        <v>851</v>
      </c>
      <c r="I5" s="1890" t="e">
        <f>ROUND(E31/D31,2)</f>
        <v>#DIV/0!</v>
      </c>
      <c r="J5" s="3083"/>
      <c r="K5" s="3083"/>
      <c r="L5" s="3083"/>
      <c r="M5" s="3083"/>
      <c r="N5" s="3083"/>
      <c r="O5" s="3083"/>
      <c r="P5" s="3083"/>
    </row>
    <row r="6" spans="1:16" ht="15" thickBot="1">
      <c r="A6" s="113"/>
      <c r="B6" s="3367" t="s">
        <v>208</v>
      </c>
      <c r="C6" s="3367"/>
      <c r="D6" s="111" t="e">
        <f>ROUND($D$3*E6/$E$3,2)</f>
        <v>#DIV/0!</v>
      </c>
      <c r="E6" s="112">
        <f>E3-E5</f>
        <v>0</v>
      </c>
      <c r="F6" s="3083"/>
      <c r="G6" s="1184"/>
      <c r="H6" s="273" t="s">
        <v>852</v>
      </c>
      <c r="I6" s="1890" t="e">
        <f>ROUND(F31/D31,2)</f>
        <v>#DIV/0!</v>
      </c>
      <c r="J6" s="3083"/>
      <c r="K6" s="3083"/>
      <c r="L6" s="3083"/>
      <c r="M6" s="3083"/>
      <c r="N6" s="3083"/>
      <c r="O6" s="3083"/>
      <c r="P6" s="3083"/>
    </row>
    <row r="7" spans="1:16" ht="14.4">
      <c r="A7" s="3359"/>
      <c r="B7" s="3360"/>
      <c r="C7" s="3361"/>
      <c r="D7" s="108" t="s">
        <v>204</v>
      </c>
      <c r="E7" s="114" t="s">
        <v>231</v>
      </c>
      <c r="F7" s="3083"/>
      <c r="G7" s="1139" t="s">
        <v>1636</v>
      </c>
      <c r="H7" s="1140"/>
      <c r="I7" s="1760">
        <v>4</v>
      </c>
      <c r="J7" s="3083"/>
      <c r="K7" s="3083"/>
      <c r="L7" s="3083"/>
      <c r="M7" s="3083"/>
      <c r="N7" s="3083"/>
      <c r="O7" s="3083"/>
      <c r="P7" s="3083"/>
    </row>
    <row r="8" spans="1:16" ht="14.4">
      <c r="A8" s="110" t="s">
        <v>209</v>
      </c>
      <c r="B8" s="115" t="s">
        <v>210</v>
      </c>
      <c r="C8" s="111" t="s">
        <v>211</v>
      </c>
      <c r="D8" s="111" t="e">
        <f t="shared" ref="D8:D15" si="0">ROUND($D$3*E8/$E$3,2)</f>
        <v>#DIV/0!</v>
      </c>
      <c r="E8" s="116">
        <f>SUMIF('数据-基础表'!BB10:BK10,"地上",'数据-基础表'!BB5:BK5)</f>
        <v>0</v>
      </c>
      <c r="F8" s="3083"/>
      <c r="G8" s="3084"/>
      <c r="H8" s="3084"/>
      <c r="I8" s="3083"/>
      <c r="J8" s="3083"/>
      <c r="K8" s="3083"/>
      <c r="L8" s="3083"/>
      <c r="M8" s="3083"/>
      <c r="N8" s="3083"/>
      <c r="O8" s="3083"/>
      <c r="P8" s="3083"/>
    </row>
    <row r="9" spans="1:16" ht="14.4">
      <c r="A9" s="117"/>
      <c r="B9" s="118"/>
      <c r="C9" s="111" t="s">
        <v>212</v>
      </c>
      <c r="D9" s="111" t="e">
        <f t="shared" si="0"/>
        <v>#DIV/0!</v>
      </c>
      <c r="E9" s="119">
        <v>0</v>
      </c>
      <c r="F9" s="3083"/>
      <c r="G9" s="3084"/>
      <c r="H9" s="3084"/>
      <c r="I9" s="3083"/>
      <c r="J9" s="3083"/>
      <c r="K9" s="3083"/>
      <c r="L9" s="3083"/>
      <c r="M9" s="3083"/>
      <c r="N9" s="3083"/>
      <c r="O9" s="3083"/>
      <c r="P9" s="3083"/>
    </row>
    <row r="10" spans="1:16" ht="14.4">
      <c r="A10" s="117"/>
      <c r="B10" s="118"/>
      <c r="C10" s="111" t="s">
        <v>213</v>
      </c>
      <c r="D10" s="111" t="e">
        <f t="shared" si="0"/>
        <v>#DIV/0!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ht="14.4">
      <c r="A11" s="117"/>
      <c r="B11" s="118"/>
      <c r="C11" s="2211" t="s">
        <v>2315</v>
      </c>
      <c r="D11" s="111" t="e">
        <f t="shared" si="0"/>
        <v>#DIV/0!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ht="14.4">
      <c r="A12" s="117"/>
      <c r="B12" s="118"/>
      <c r="C12" s="111" t="s">
        <v>214</v>
      </c>
      <c r="D12" s="111" t="e">
        <f t="shared" si="0"/>
        <v>#DIV/0!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ht="14.4">
      <c r="A13" s="117"/>
      <c r="B13" s="118"/>
      <c r="C13" s="2211" t="s">
        <v>2322</v>
      </c>
      <c r="D13" s="111" t="e">
        <f t="shared" si="0"/>
        <v>#DIV/0!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ht="14.4">
      <c r="A14" s="117"/>
      <c r="B14" s="118"/>
      <c r="C14" s="111" t="s">
        <v>232</v>
      </c>
      <c r="D14" s="111" t="e">
        <f t="shared" si="0"/>
        <v>#DIV/0!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t="e">
        <f t="shared" si="0"/>
        <v>#DIV/0!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 thickBot="1">
      <c r="A16" s="113"/>
      <c r="B16" s="118"/>
      <c r="C16" s="115" t="s">
        <v>215</v>
      </c>
      <c r="D16" s="115" t="e">
        <f>SUM(D8:D15)</f>
        <v>#DIV/0!</v>
      </c>
      <c r="E16" s="120">
        <f>SUM(E8:E15)</f>
        <v>0</v>
      </c>
      <c r="F16" s="3083"/>
      <c r="G16" s="3084"/>
      <c r="H16" s="956" t="s">
        <v>219</v>
      </c>
      <c r="I16" s="957"/>
      <c r="J16" s="1898"/>
      <c r="K16" s="3353" t="s">
        <v>2548</v>
      </c>
      <c r="L16" s="3354"/>
      <c r="M16" s="3354"/>
      <c r="N16" s="3354"/>
      <c r="O16" s="3354"/>
      <c r="P16" s="3355"/>
    </row>
    <row r="17" spans="1:19" ht="14.4">
      <c r="A17" s="121" t="s">
        <v>216</v>
      </c>
      <c r="B17" s="122" t="s">
        <v>217</v>
      </c>
      <c r="C17" s="2178" t="s">
        <v>2301</v>
      </c>
      <c r="D17" s="108" t="s">
        <v>204</v>
      </c>
      <c r="E17" s="124" t="s">
        <v>205</v>
      </c>
      <c r="F17" s="125"/>
      <c r="G17" s="1319"/>
      <c r="H17" s="958" t="s">
        <v>218</v>
      </c>
      <c r="I17" s="959" t="s">
        <v>2300</v>
      </c>
      <c r="J17" s="1898"/>
      <c r="K17" s="3356" t="s">
        <v>2549</v>
      </c>
      <c r="L17" s="3357"/>
      <c r="M17" s="3358"/>
      <c r="N17" s="3356" t="s">
        <v>2550</v>
      </c>
      <c r="O17" s="3357"/>
      <c r="P17" s="3358"/>
      <c r="R17" s="2179" t="s">
        <v>2299</v>
      </c>
      <c r="S17" s="142"/>
    </row>
    <row r="18" spans="1:19" ht="14.4">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ht="14.4">
      <c r="A19" s="133"/>
      <c r="B19" s="115" t="s">
        <v>225</v>
      </c>
      <c r="C19" s="2738"/>
      <c r="D19" s="111" t="e">
        <f t="shared" ref="D19:D26" si="1">ROUND($D$3*E19/$E$3,2)</f>
        <v>#DIV/0!</v>
      </c>
      <c r="E19" s="134">
        <f t="shared" ref="E19:E26" si="2">SUM(F19:G19)</f>
        <v>0</v>
      </c>
      <c r="F19" s="3085"/>
      <c r="G19" s="3086"/>
      <c r="H19" s="962" t="e">
        <f>ROUND($D$3*I19/$E$3,2)</f>
        <v>#DIV/0!</v>
      </c>
      <c r="I19" s="116" t="e">
        <f>IF($I$17="自定义",P19,M19)</f>
        <v>#DIV/0!</v>
      </c>
      <c r="J19" s="1898"/>
      <c r="K19" s="2452" t="e">
        <f t="shared" ref="K19:K26" si="3">ROUND(E$28*E19/E$27,2)</f>
        <v>#DIV/0!</v>
      </c>
      <c r="L19" s="273">
        <f t="shared" ref="L19:L26" si="4">ROUND(IF(COUNTIF(C19,"*住宅*")&gt;0,E$29*E19/E$32,0),2)</f>
        <v>0</v>
      </c>
      <c r="M19" s="2453" t="e">
        <f>K19+L19</f>
        <v>#DIV/0!</v>
      </c>
      <c r="N19" s="2454"/>
      <c r="O19" s="2455"/>
      <c r="P19" s="2456">
        <f>N19+O19</f>
        <v>0</v>
      </c>
      <c r="R19" s="273" t="e">
        <f t="shared" ref="R19:S26" si="5">D19+H19</f>
        <v>#DIV/0!</v>
      </c>
      <c r="S19" s="2181" t="e">
        <f t="shared" si="5"/>
        <v>#DIV/0!</v>
      </c>
    </row>
    <row r="20" spans="1:19" ht="14.4">
      <c r="A20" s="137"/>
      <c r="B20" s="115" t="s">
        <v>226</v>
      </c>
      <c r="C20" s="2738"/>
      <c r="D20" s="111" t="e">
        <f t="shared" si="1"/>
        <v>#DIV/0!</v>
      </c>
      <c r="E20" s="134">
        <f t="shared" si="2"/>
        <v>0</v>
      </c>
      <c r="F20" s="3085"/>
      <c r="G20" s="3086"/>
      <c r="H20" s="962" t="e">
        <f t="shared" ref="H20:H26" si="6">ROUND($D$3*I20/$E$3,2)</f>
        <v>#DIV/0!</v>
      </c>
      <c r="I20" s="116" t="e">
        <f t="shared" ref="I20:I26" si="7">IF($I$17="自定义",P20,M20)</f>
        <v>#DIV/0!</v>
      </c>
      <c r="J20" s="1898"/>
      <c r="K20" s="2452" t="e">
        <f t="shared" si="3"/>
        <v>#DIV/0!</v>
      </c>
      <c r="L20" s="273">
        <f t="shared" si="4"/>
        <v>0</v>
      </c>
      <c r="M20" s="2453" t="e">
        <f t="shared" ref="M20:M26" si="8">K20+L20</f>
        <v>#DIV/0!</v>
      </c>
      <c r="N20" s="2454"/>
      <c r="O20" s="2455"/>
      <c r="P20" s="2456">
        <f t="shared" ref="P20:P26" si="9">N20+O20</f>
        <v>0</v>
      </c>
      <c r="R20" s="273" t="e">
        <f t="shared" si="5"/>
        <v>#DIV/0!</v>
      </c>
      <c r="S20" s="2181" t="e">
        <f t="shared" si="5"/>
        <v>#DIV/0!</v>
      </c>
    </row>
    <row r="21" spans="1:19" ht="14.4">
      <c r="A21" s="137"/>
      <c r="B21" s="115" t="s">
        <v>226</v>
      </c>
      <c r="C21" s="2738"/>
      <c r="D21" s="111" t="e">
        <f t="shared" si="1"/>
        <v>#DIV/0!</v>
      </c>
      <c r="E21" s="134">
        <f t="shared" si="2"/>
        <v>0</v>
      </c>
      <c r="F21" s="3085"/>
      <c r="G21" s="3086"/>
      <c r="H21" s="962" t="e">
        <f t="shared" si="6"/>
        <v>#DIV/0!</v>
      </c>
      <c r="I21" s="116" t="e">
        <f t="shared" si="7"/>
        <v>#DIV/0!</v>
      </c>
      <c r="J21" s="1898"/>
      <c r="K21" s="2452" t="e">
        <f t="shared" si="3"/>
        <v>#DIV/0!</v>
      </c>
      <c r="L21" s="273">
        <f t="shared" si="4"/>
        <v>0</v>
      </c>
      <c r="M21" s="2453" t="e">
        <f t="shared" si="8"/>
        <v>#DIV/0!</v>
      </c>
      <c r="N21" s="2454"/>
      <c r="O21" s="2455"/>
      <c r="P21" s="2456">
        <f t="shared" si="9"/>
        <v>0</v>
      </c>
      <c r="R21" s="273" t="e">
        <f t="shared" si="5"/>
        <v>#DIV/0!</v>
      </c>
      <c r="S21" s="2181" t="e">
        <f t="shared" si="5"/>
        <v>#DIV/0!</v>
      </c>
    </row>
    <row r="22" spans="1:19" ht="14.4">
      <c r="A22" s="137"/>
      <c r="B22" s="115" t="s">
        <v>226</v>
      </c>
      <c r="C22" s="1318"/>
      <c r="D22" s="111" t="e">
        <f t="shared" si="1"/>
        <v>#DIV/0!</v>
      </c>
      <c r="E22" s="134">
        <f t="shared" si="2"/>
        <v>0</v>
      </c>
      <c r="F22" s="3087"/>
      <c r="G22" s="3088"/>
      <c r="H22" s="962" t="e">
        <f t="shared" si="6"/>
        <v>#DIV/0!</v>
      </c>
      <c r="I22" s="116" t="e">
        <f t="shared" si="7"/>
        <v>#DIV/0!</v>
      </c>
      <c r="J22" s="1898"/>
      <c r="K22" s="2452" t="e">
        <f t="shared" si="3"/>
        <v>#DIV/0!</v>
      </c>
      <c r="L22" s="273">
        <f t="shared" si="4"/>
        <v>0</v>
      </c>
      <c r="M22" s="2453" t="e">
        <f t="shared" si="8"/>
        <v>#DIV/0!</v>
      </c>
      <c r="N22" s="2454"/>
      <c r="O22" s="2455"/>
      <c r="P22" s="2456">
        <f t="shared" si="9"/>
        <v>0</v>
      </c>
      <c r="R22" s="273" t="e">
        <f t="shared" si="5"/>
        <v>#DIV/0!</v>
      </c>
      <c r="S22" s="2181" t="e">
        <f t="shared" si="5"/>
        <v>#DIV/0!</v>
      </c>
    </row>
    <row r="23" spans="1:19" ht="14.4">
      <c r="A23" s="137"/>
      <c r="B23" s="115" t="s">
        <v>226</v>
      </c>
      <c r="C23" s="138"/>
      <c r="D23" s="111" t="e">
        <f>ROUND($D$3*E23/$E$3,2)</f>
        <v>#DIV/0!</v>
      </c>
      <c r="E23" s="134">
        <f>SUM(F23:G23)</f>
        <v>0</v>
      </c>
      <c r="F23" s="3087"/>
      <c r="G23" s="3088"/>
      <c r="H23" s="962" t="e">
        <f>ROUND($D$3*I23/$E$3,2)</f>
        <v>#DIV/0!</v>
      </c>
      <c r="I23" s="116" t="e">
        <f t="shared" si="7"/>
        <v>#DIV/0!</v>
      </c>
      <c r="J23" s="1898"/>
      <c r="K23" s="2452" t="e">
        <f t="shared" si="3"/>
        <v>#DIV/0!</v>
      </c>
      <c r="L23" s="273">
        <f t="shared" si="4"/>
        <v>0</v>
      </c>
      <c r="M23" s="2453" t="e">
        <f t="shared" si="8"/>
        <v>#DIV/0!</v>
      </c>
      <c r="N23" s="2454"/>
      <c r="O23" s="2455"/>
      <c r="P23" s="2456">
        <f t="shared" si="9"/>
        <v>0</v>
      </c>
      <c r="R23" s="273" t="e">
        <f t="shared" si="5"/>
        <v>#DIV/0!</v>
      </c>
      <c r="S23" s="2181" t="e">
        <f t="shared" si="5"/>
        <v>#DIV/0!</v>
      </c>
    </row>
    <row r="24" spans="1:19" ht="14.4">
      <c r="A24" s="137"/>
      <c r="B24" s="115" t="s">
        <v>226</v>
      </c>
      <c r="C24" s="138"/>
      <c r="D24" s="111" t="e">
        <f>ROUND($D$3*E24/$E$3,2)</f>
        <v>#DIV/0!</v>
      </c>
      <c r="E24" s="134">
        <f>SUM(F24:G24)</f>
        <v>0</v>
      </c>
      <c r="F24" s="3087"/>
      <c r="G24" s="3088"/>
      <c r="H24" s="962" t="e">
        <f>ROUND($D$3*I24/$E$3,2)</f>
        <v>#DIV/0!</v>
      </c>
      <c r="I24" s="116" t="e">
        <f t="shared" si="7"/>
        <v>#DIV/0!</v>
      </c>
      <c r="J24" s="1898"/>
      <c r="K24" s="2452" t="e">
        <f t="shared" si="3"/>
        <v>#DIV/0!</v>
      </c>
      <c r="L24" s="273">
        <f t="shared" si="4"/>
        <v>0</v>
      </c>
      <c r="M24" s="2453" t="e">
        <f t="shared" si="8"/>
        <v>#DIV/0!</v>
      </c>
      <c r="N24" s="2454"/>
      <c r="O24" s="2455"/>
      <c r="P24" s="2456">
        <f t="shared" si="9"/>
        <v>0</v>
      </c>
      <c r="R24" s="273" t="e">
        <f t="shared" si="5"/>
        <v>#DIV/0!</v>
      </c>
      <c r="S24" s="2181" t="e">
        <f t="shared" si="5"/>
        <v>#DIV/0!</v>
      </c>
    </row>
    <row r="25" spans="1:19" ht="14.4">
      <c r="A25" s="137"/>
      <c r="B25" s="115" t="s">
        <v>226</v>
      </c>
      <c r="C25" s="138"/>
      <c r="D25" s="111" t="e">
        <f t="shared" si="1"/>
        <v>#DIV/0!</v>
      </c>
      <c r="E25" s="134">
        <f t="shared" si="2"/>
        <v>0</v>
      </c>
      <c r="F25" s="3087"/>
      <c r="G25" s="3088"/>
      <c r="H25" s="110" t="e">
        <f t="shared" si="6"/>
        <v>#DIV/0!</v>
      </c>
      <c r="I25" s="116" t="e">
        <f t="shared" si="7"/>
        <v>#DIV/0!</v>
      </c>
      <c r="J25" s="1898"/>
      <c r="K25" s="2452" t="e">
        <f t="shared" si="3"/>
        <v>#DIV/0!</v>
      </c>
      <c r="L25" s="273">
        <f t="shared" si="4"/>
        <v>0</v>
      </c>
      <c r="M25" s="2453" t="e">
        <f t="shared" si="8"/>
        <v>#DIV/0!</v>
      </c>
      <c r="N25" s="2454"/>
      <c r="O25" s="2455"/>
      <c r="P25" s="2456">
        <f t="shared" si="9"/>
        <v>0</v>
      </c>
      <c r="R25" s="273" t="e">
        <f t="shared" si="5"/>
        <v>#DIV/0!</v>
      </c>
      <c r="S25" s="2181" t="e">
        <f t="shared" si="5"/>
        <v>#DIV/0!</v>
      </c>
    </row>
    <row r="26" spans="1:19" ht="14.4">
      <c r="A26" s="137"/>
      <c r="B26" s="115" t="s">
        <v>226</v>
      </c>
      <c r="C26" s="140"/>
      <c r="D26" s="111" t="e">
        <f t="shared" si="1"/>
        <v>#DIV/0!</v>
      </c>
      <c r="E26" s="134">
        <f t="shared" si="2"/>
        <v>0</v>
      </c>
      <c r="F26" s="3087"/>
      <c r="G26" s="3088"/>
      <c r="H26" s="110" t="e">
        <f t="shared" si="6"/>
        <v>#DIV/0!</v>
      </c>
      <c r="I26" s="116" t="e">
        <f t="shared" si="7"/>
        <v>#DIV/0!</v>
      </c>
      <c r="J26" s="1898"/>
      <c r="K26" s="2457" t="e">
        <f t="shared" si="3"/>
        <v>#DIV/0!</v>
      </c>
      <c r="L26" s="278">
        <f t="shared" si="4"/>
        <v>0</v>
      </c>
      <c r="M26" s="144" t="e">
        <f t="shared" si="8"/>
        <v>#DIV/0!</v>
      </c>
      <c r="N26" s="2458"/>
      <c r="O26" s="2459"/>
      <c r="P26" s="2460">
        <f t="shared" si="9"/>
        <v>0</v>
      </c>
      <c r="R26" s="273" t="e">
        <f t="shared" si="5"/>
        <v>#DIV/0!</v>
      </c>
      <c r="S26" s="2181" t="e">
        <f t="shared" si="5"/>
        <v>#DIV/0!</v>
      </c>
    </row>
    <row r="27" spans="1:19" ht="1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63" t="e">
        <f>SUM(H19:H26)</f>
        <v>#DIV/0!</v>
      </c>
      <c r="I27" s="964" t="e">
        <f>SUM(I19:I26)</f>
        <v>#DIV/0!</v>
      </c>
      <c r="J27" s="1898"/>
      <c r="K27" s="2461" t="e">
        <f>SUM(K19:K26)</f>
        <v>#DIV/0!</v>
      </c>
      <c r="L27" s="2462">
        <f>SUM(L19:L26)</f>
        <v>0</v>
      </c>
      <c r="M27" s="2463" t="e">
        <f>SUM(M19:M26)</f>
        <v>#DIV/0!</v>
      </c>
      <c r="N27" s="2461">
        <f t="shared" ref="N27:O27" si="10">SUM(N19:N26)</f>
        <v>0</v>
      </c>
      <c r="O27" s="2462">
        <f t="shared" si="10"/>
        <v>0</v>
      </c>
      <c r="P27" s="2464">
        <f>SUM(P19:P26)</f>
        <v>0</v>
      </c>
      <c r="R27" s="2185" t="e">
        <f>IF(SUM(R19:R26)=$D$3,SUM(R19:R26),SUM(R19:R26)&amp;"误差"&amp;ROUND(SUM(R19:R26)-$D$3,2))</f>
        <v>#DIV/0!</v>
      </c>
      <c r="S27" s="273" t="e">
        <f>IF(SUM(S19:S26)=$E$3,SUM(S19:S26),SUM(S19:S26)&amp;"误差"&amp;ROUND(SUM(S19:S26)-E3,2))</f>
        <v>#DIV/0!</v>
      </c>
    </row>
    <row r="28" spans="1:19" ht="14.4">
      <c r="A28" s="137"/>
      <c r="B28" s="115" t="s">
        <v>227</v>
      </c>
      <c r="C28" s="135" t="s">
        <v>228</v>
      </c>
      <c r="D28" s="111" t="e">
        <f>ROUND($D$3*E28/$E$3,2)</f>
        <v>#DIV/0!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ht="14.4">
      <c r="A29" s="137"/>
      <c r="B29" s="115" t="s">
        <v>227</v>
      </c>
      <c r="C29" s="2193" t="s">
        <v>2308</v>
      </c>
      <c r="D29" s="111" t="e">
        <f>ROUND($D$3*E29/$E$3,2)</f>
        <v>#DIV/0!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ht="14.4">
      <c r="A30" s="137"/>
      <c r="B30" s="111"/>
      <c r="C30" s="145" t="s">
        <v>215</v>
      </c>
      <c r="D30" s="134" t="e">
        <f>SUM(D28:D29)</f>
        <v>#DIV/0!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t="e">
        <f>D27+D30</f>
        <v>#DIV/0!</v>
      </c>
      <c r="E31" s="1323">
        <f>E27+E30</f>
        <v>0</v>
      </c>
      <c r="F31" s="1324">
        <f>F27+F30</f>
        <v>0</v>
      </c>
      <c r="G31" s="1325">
        <f>G27+G30</f>
        <v>0</v>
      </c>
      <c r="H31" s="3083"/>
      <c r="I31" s="3083"/>
      <c r="J31" s="3083"/>
      <c r="K31" s="3083"/>
      <c r="L31" s="3083"/>
      <c r="M31" s="3083"/>
      <c r="N31" s="3083"/>
      <c r="O31" s="3083"/>
      <c r="P31" s="3083"/>
    </row>
    <row r="32" spans="1:19" ht="14.4">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C42" sqref="C42"/>
    </sheetView>
  </sheetViews>
  <sheetFormatPr defaultColWidth="13.77734375" defaultRowHeight="13.2"/>
  <cols>
    <col min="1" max="1" width="20.88671875" style="1199" customWidth="1"/>
    <col min="2" max="3" width="12" style="1186" customWidth="1"/>
    <col min="4" max="4" width="9.109375" style="1200" customWidth="1"/>
    <col min="5" max="5" width="15" style="1186" bestFit="1" customWidth="1"/>
    <col min="6" max="10" width="8.88671875" style="1186" customWidth="1"/>
    <col min="11" max="12" width="12.33203125" style="1201" customWidth="1"/>
    <col min="13" max="13" width="8.6640625" style="1186" customWidth="1"/>
    <col min="14" max="14" width="9.77734375" style="1186" customWidth="1"/>
    <col min="15" max="16" width="9.6640625" style="1186" customWidth="1"/>
    <col min="17" max="17" width="10.88671875" style="1186" customWidth="1"/>
    <col min="18" max="19" width="12.44140625" style="1186" customWidth="1"/>
    <col min="20" max="20" width="12.109375" style="1186" customWidth="1"/>
    <col min="21" max="21" width="7.44140625" style="1186" customWidth="1"/>
    <col min="22" max="22" width="6.33203125" style="1186" customWidth="1"/>
    <col min="23" max="24" width="6.77734375" style="1186" customWidth="1"/>
    <col min="25" max="25" width="8.109375" style="1186" customWidth="1"/>
    <col min="26" max="30" width="6.77734375" style="1186" customWidth="1"/>
    <col min="31" max="31" width="6.44140625" style="1186" customWidth="1"/>
    <col min="32" max="34" width="7.21875" style="1186" customWidth="1"/>
    <col min="35" max="39" width="8" style="1186" customWidth="1"/>
    <col min="40" max="41" width="13.77734375" style="1908"/>
    <col min="42" max="42" width="13.77734375" style="1908" customWidth="1"/>
    <col min="43" max="83" width="13.77734375" style="1908"/>
    <col min="84" max="16384" width="13.77734375" style="1186"/>
  </cols>
  <sheetData>
    <row r="1" spans="1:83" ht="18"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 thickBot="1">
      <c r="A2" s="147" t="s">
        <v>235</v>
      </c>
      <c r="B2" s="2218">
        <f>项目基本情况!D3</f>
        <v>0</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4.4"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7.6">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4">
      <c r="A6" s="2182">
        <f>'数据-汇总表'!C19</f>
        <v>0</v>
      </c>
      <c r="B6" s="2217" t="str">
        <f>IF(A6=0,"","经营性")</f>
        <v/>
      </c>
      <c r="C6" s="171"/>
      <c r="D6" s="2188">
        <f>SUMIF(项目基本情况!D$15:I$15,C6,项目基本情况!D$18:I$18)</f>
        <v>0</v>
      </c>
      <c r="E6" s="2189" t="str">
        <f>IF(B6="","",SUMIF(项目基本情况!D$15:I$15,C6,项目基本情况!D$17:I$17))</f>
        <v/>
      </c>
      <c r="F6" s="172">
        <f>SUMIF(项目基本情况!D$15:I$15,C6,项目基本情况!D$19:I$19)</f>
        <v>0</v>
      </c>
      <c r="G6" s="173">
        <f>IF(ISERROR(ROUND(POWER(1+H6,D6-F6)*(POWER(1+H6,F6)-1)/(POWER(1+H6,D6)-1),3)),0,ROUND(POWER(1+H6,D6-F6)*(POWER(1+H6,F6)-1)/(POWER(1+H6,D6)-1),3))</f>
        <v>0</v>
      </c>
      <c r="H6" s="2739"/>
      <c r="I6" s="2739"/>
      <c r="J6" s="174"/>
      <c r="K6" s="177">
        <f>SUMIF('数据-汇总表'!C$19:C$33,'数据-取费表'!A6,'数据-汇总表'!E$19:E$33)</f>
        <v>0</v>
      </c>
      <c r="L6" s="2740"/>
      <c r="M6" s="175">
        <f t="shared" ref="M6:M14" si="0">ROUND(K6*L6/10000,0)</f>
        <v>0</v>
      </c>
      <c r="N6" s="2741"/>
      <c r="O6" s="175">
        <f>IF($N$5="成新度","——",ROUND(M6*N6,0))</f>
        <v>0</v>
      </c>
      <c r="P6" s="176">
        <f>IF($N$5="成新度","——",M6-O6)</f>
        <v>0</v>
      </c>
      <c r="Q6" s="2742"/>
      <c r="R6" s="177">
        <f>SUMIF('数据-汇总表'!C$19:C$33,A6,'数据-汇总表'!R$19:R$33)</f>
        <v>0</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4">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4">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4">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4">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4">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4">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4">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3.8">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8.8">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91">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t="e">
        <f>ROUND(SUMPRODUCT(AP6:AP13,K6:K13)/SUMPRODUCT((AP6:AP13&gt;0)*(K6:K13)),3)</f>
        <v>#DIV/0!</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8"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4">
      <c r="A19" s="215" t="s">
        <v>264</v>
      </c>
      <c r="B19" s="216"/>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4">
      <c r="A20" s="217" t="s">
        <v>265</v>
      </c>
      <c r="B20" s="218"/>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4">
      <c r="A21" s="219" t="s">
        <v>266</v>
      </c>
      <c r="B21" s="218"/>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4">
      <c r="A22" s="217" t="s">
        <v>267</v>
      </c>
      <c r="B22" s="220">
        <f>B19+B20</f>
        <v>0</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4">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0</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4.4"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8.8">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8.8">
      <c r="A28" s="226" t="s">
        <v>2326</v>
      </c>
      <c r="B28" s="227"/>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9.4"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8.8">
      <c r="A30" s="233" t="s">
        <v>273</v>
      </c>
      <c r="B30" s="966"/>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8.8">
      <c r="A31" s="226" t="s">
        <v>274</v>
      </c>
      <c r="B31" s="228">
        <f>B30-B32</f>
        <v>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9.4" thickBot="1">
      <c r="A32" s="235" t="s">
        <v>275</v>
      </c>
      <c r="B32" s="1329"/>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4">
      <c r="A33" s="224" t="s">
        <v>278</v>
      </c>
      <c r="B33" s="1330"/>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4">
      <c r="A34" s="226" t="s">
        <v>279</v>
      </c>
      <c r="B34" s="231"/>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4">
      <c r="A35" s="226" t="s">
        <v>276</v>
      </c>
      <c r="B35" s="227"/>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4">
      <c r="A37" s="233" t="s">
        <v>280</v>
      </c>
      <c r="B37" s="234"/>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4">
      <c r="A38" s="226" t="s">
        <v>281</v>
      </c>
      <c r="B38" s="231"/>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4">
      <c r="A39" s="2342" t="s">
        <v>2438</v>
      </c>
      <c r="B39" s="790">
        <f ca="1">存贷款利率!C4</f>
        <v>0</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0</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4">
      <c r="A41" s="224" t="s">
        <v>282</v>
      </c>
      <c r="B41" s="236">
        <f>B42+B43</f>
        <v>0</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4">
      <c r="A42" s="967" t="s">
        <v>283</v>
      </c>
      <c r="B42" s="238"/>
      <c r="C42" s="3110">
        <f>IF(B2&lt;DATE(2016,5,1),0,B42)</f>
        <v>0</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4">
      <c r="A43" s="967" t="s">
        <v>284</v>
      </c>
      <c r="B43" s="239">
        <f>B42*(B44+B45+B46)+B47</f>
        <v>0</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4">
      <c r="A44" s="237" t="s">
        <v>285</v>
      </c>
      <c r="B44" s="240"/>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4">
      <c r="A45" s="237" t="s">
        <v>286</v>
      </c>
      <c r="B45" s="238"/>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4">
      <c r="A46" s="237" t="s">
        <v>287</v>
      </c>
      <c r="B46" s="238"/>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4">
      <c r="A48" s="243" t="s">
        <v>289</v>
      </c>
      <c r="B48" s="244"/>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4">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4">
      <c r="A52" s="245" t="s">
        <v>293</v>
      </c>
      <c r="B52" s="248">
        <f>SUMIF(A54:A63,B53,B54:B63)</f>
        <v>0</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8.8">
      <c r="A53" s="226" t="s">
        <v>294</v>
      </c>
      <c r="B53" s="249"/>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4">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4">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4">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4">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4">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4">
      <c r="A59" s="2775" t="s">
        <v>2879</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4">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4">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4">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24" customWidth="1"/>
    <col min="2" max="2" width="23.44140625" style="3159" customWidth="1"/>
    <col min="3" max="3" width="32.21875" style="3161" customWidth="1"/>
    <col min="4" max="4" width="2.6640625" style="3161" customWidth="1"/>
    <col min="5" max="5" width="5.88671875" style="3161" customWidth="1"/>
    <col min="6" max="6" width="23.6640625" style="3159" customWidth="1"/>
    <col min="7" max="7" width="33.33203125" style="3160" customWidth="1"/>
    <col min="8" max="8" width="11.88671875" style="3159" customWidth="1"/>
    <col min="9" max="9" width="16.77734375" style="3160" customWidth="1"/>
    <col min="10" max="10" width="2.6640625" style="3161" customWidth="1"/>
    <col min="11" max="11" width="11.88671875" style="3159" customWidth="1"/>
    <col min="12" max="12" width="16.77734375" style="3160" customWidth="1"/>
    <col min="13" max="13" width="2.6640625" style="3161" customWidth="1"/>
    <col min="14" max="14" width="11.88671875" style="3159" customWidth="1"/>
    <col min="15" max="15" width="16.77734375" style="3160" customWidth="1"/>
    <col min="16" max="16" width="2.6640625" style="3161" customWidth="1"/>
    <col min="17" max="17" width="11.88671875" style="3159" customWidth="1"/>
    <col min="18" max="18" width="16.77734375" style="3162" customWidth="1"/>
    <col min="19" max="16384" width="9" style="3124"/>
  </cols>
  <sheetData>
    <row r="1" spans="1:18" s="3118" customFormat="1" ht="18" thickBot="1">
      <c r="A1" s="3368" t="s">
        <v>1654</v>
      </c>
      <c r="B1" s="3369"/>
      <c r="C1" s="3369"/>
      <c r="D1" s="3369"/>
      <c r="E1" s="3369"/>
      <c r="F1" s="3369"/>
      <c r="G1" s="3369"/>
      <c r="H1" s="3113"/>
      <c r="I1" s="3114"/>
      <c r="J1" s="3115"/>
      <c r="K1" s="3113"/>
      <c r="L1" s="3114"/>
      <c r="M1" s="3115"/>
      <c r="N1" s="3113"/>
      <c r="O1" s="3114"/>
      <c r="P1" s="3115"/>
      <c r="Q1" s="3116"/>
      <c r="R1" s="3117"/>
    </row>
    <row r="2" spans="1:18" ht="15" thickBot="1">
      <c r="A2" s="3119"/>
      <c r="B2" s="3120"/>
      <c r="C2" s="3121" t="s">
        <v>1655</v>
      </c>
      <c r="D2" s="3122"/>
      <c r="E2" s="3119"/>
      <c r="F2" s="3123"/>
      <c r="G2" s="3121" t="s">
        <v>1656</v>
      </c>
      <c r="H2" s="3124"/>
      <c r="I2" s="3124"/>
      <c r="J2" s="3124"/>
      <c r="K2" s="3124"/>
      <c r="L2" s="3124"/>
      <c r="M2" s="3124"/>
      <c r="N2" s="3124"/>
      <c r="O2" s="3124"/>
      <c r="P2" s="3124"/>
      <c r="Q2" s="3124"/>
      <c r="R2" s="3124"/>
    </row>
    <row r="3" spans="1:18" ht="43.2">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3.2">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3.2">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3.2">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9.4"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8.8">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7.399999999999999">
      <c r="A12" s="3149"/>
      <c r="B12" s="3137"/>
      <c r="C12" s="3128"/>
      <c r="D12" s="3151"/>
      <c r="E12" s="3128"/>
      <c r="F12" s="3137"/>
      <c r="G12" s="3150"/>
      <c r="H12" s="3152"/>
      <c r="I12" s="3153"/>
      <c r="J12" s="3152"/>
      <c r="K12" s="3152"/>
      <c r="L12" s="3154"/>
      <c r="M12" s="3152"/>
      <c r="N12" s="3155"/>
      <c r="O12" s="3156"/>
      <c r="P12" s="3157"/>
      <c r="Q12" s="3155"/>
      <c r="R12" s="3117"/>
    </row>
    <row r="13" spans="1:18" ht="18" thickBot="1">
      <c r="A13" s="3158" t="s">
        <v>1663</v>
      </c>
      <c r="B13" s="3151"/>
      <c r="C13" s="3151"/>
      <c r="D13" s="3122"/>
      <c r="E13" s="3151"/>
      <c r="F13" s="3151"/>
      <c r="G13" s="3151"/>
    </row>
    <row r="14" spans="1:18" ht="15" thickBot="1">
      <c r="A14" s="3163"/>
      <c r="B14" s="3163"/>
      <c r="C14" s="3164" t="s">
        <v>1655</v>
      </c>
      <c r="D14" s="3128"/>
      <c r="E14" s="3165"/>
      <c r="F14" s="3165"/>
      <c r="G14" s="3121" t="s">
        <v>1656</v>
      </c>
    </row>
    <row r="15" spans="1:18" ht="43.2">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3.2">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3.2">
      <c r="A17" s="3171"/>
      <c r="B17" s="3172" t="s">
        <v>1660</v>
      </c>
      <c r="C17" s="3173" t="str">
        <f>C5</f>
        <v>估价对象位于XX商圈，周边办公楼项目较多，入驻率高，办公集聚程度较好</v>
      </c>
      <c r="D17" s="3137"/>
      <c r="E17" s="3174"/>
      <c r="F17" s="3175" t="s">
        <v>1665</v>
      </c>
      <c r="G17" s="3177"/>
    </row>
    <row r="18" spans="1:7" ht="43.2">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8.8">
      <c r="A19" s="3171"/>
      <c r="B19" s="3175" t="s">
        <v>1650</v>
      </c>
      <c r="C19" s="3177"/>
      <c r="D19" s="3128"/>
      <c r="E19" s="3174"/>
      <c r="F19" s="3132" t="s">
        <v>2528</v>
      </c>
      <c r="G19" s="3176" t="str">
        <f>G5</f>
        <v>估价对象所在区域公共配套设施齐备情况</v>
      </c>
    </row>
    <row r="20" spans="1:7" ht="28.8">
      <c r="A20" s="3171"/>
      <c r="B20" s="3175" t="s">
        <v>1651</v>
      </c>
      <c r="C20" s="3173" t="str">
        <f>C9</f>
        <v>区域自然环境：；人文环境；综合评价环境状况一般</v>
      </c>
      <c r="D20" s="3137"/>
      <c r="E20" s="3174"/>
      <c r="F20" s="3132" t="s">
        <v>2529</v>
      </c>
      <c r="G20" s="3176" t="str">
        <f>G6</f>
        <v>估价对象所在区域基础设施水平</v>
      </c>
    </row>
    <row r="21" spans="1:7" ht="28.8">
      <c r="A21" s="3171"/>
      <c r="B21" s="3132" t="s">
        <v>2528</v>
      </c>
      <c r="C21" s="3176" t="str">
        <f>C7</f>
        <v>估价对象所在区域公共配套设施齐备情况</v>
      </c>
      <c r="D21" s="3128"/>
      <c r="E21" s="3174"/>
      <c r="F21" s="3175" t="s">
        <v>1652</v>
      </c>
      <c r="G21" s="3178"/>
    </row>
    <row r="22" spans="1:7">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187" customWidth="1"/>
    <col min="2" max="16384" width="14.6640625" style="3187"/>
  </cols>
  <sheetData>
    <row r="1" spans="1:10" ht="15.6">
      <c r="A1" s="3186" t="s">
        <v>2824</v>
      </c>
      <c r="B1" s="3186">
        <f>SUM(B14:B23)</f>
        <v>0</v>
      </c>
      <c r="C1" s="3195"/>
      <c r="D1" s="3195"/>
      <c r="E1" s="3195"/>
      <c r="F1" s="3195"/>
      <c r="G1" s="3196"/>
      <c r="H1" s="3196"/>
      <c r="I1" s="3196"/>
      <c r="J1" s="3196"/>
    </row>
    <row r="2" spans="1:10" ht="15.6">
      <c r="A2" s="3186" t="s">
        <v>2825</v>
      </c>
      <c r="B2" s="3186" t="e">
        <f>SUM(C14:C23)</f>
        <v>#DIV/0!</v>
      </c>
      <c r="C2" s="3195"/>
      <c r="D2" s="3195"/>
      <c r="E2" s="3195"/>
      <c r="F2" s="3195"/>
      <c r="G2" s="3196"/>
      <c r="H2" s="3196"/>
      <c r="I2" s="3196"/>
      <c r="J2" s="3196"/>
    </row>
    <row r="3" spans="1:10" ht="15.6">
      <c r="A3" s="3186" t="s">
        <v>2826</v>
      </c>
      <c r="B3" s="3188">
        <f>项目基本情况!D3</f>
        <v>0</v>
      </c>
      <c r="C3" s="3195"/>
      <c r="D3" s="3195"/>
      <c r="E3" s="3195"/>
      <c r="F3" s="3195"/>
      <c r="G3" s="3196"/>
      <c r="H3" s="3196"/>
      <c r="I3" s="3196"/>
      <c r="J3" s="3196"/>
    </row>
    <row r="4" spans="1:10" ht="31.2">
      <c r="A4" s="3186" t="s">
        <v>2827</v>
      </c>
      <c r="B4" s="3186" t="s">
        <v>2828</v>
      </c>
      <c r="C4" s="3186" t="s">
        <v>2829</v>
      </c>
      <c r="D4" s="3186" t="s">
        <v>2830</v>
      </c>
      <c r="E4" s="3195"/>
      <c r="F4" s="3195"/>
      <c r="G4" s="3196"/>
      <c r="H4" s="3196"/>
      <c r="I4" s="3196"/>
      <c r="J4" s="3196"/>
    </row>
    <row r="5" spans="1:10" ht="15.6">
      <c r="A5" s="3186" t="s">
        <v>2831</v>
      </c>
      <c r="B5" s="3186" t="e">
        <f ca="1">SUM(D14:D23)</f>
        <v>#REF!</v>
      </c>
      <c r="C5" s="3186" t="e">
        <f ca="1">ROUND(B5*10000/$B$1,0)</f>
        <v>#REF!</v>
      </c>
      <c r="D5" s="3186" t="e">
        <f ca="1">ROUND(B5*10000/$B$2,0)</f>
        <v>#REF!</v>
      </c>
      <c r="E5" s="3195"/>
      <c r="F5" s="3195"/>
      <c r="G5" s="3196"/>
      <c r="H5" s="3196"/>
      <c r="I5" s="3196"/>
      <c r="J5" s="3196"/>
    </row>
    <row r="6" spans="1:10" ht="15.6">
      <c r="A6" s="3186" t="s">
        <v>2832</v>
      </c>
      <c r="B6" s="3186">
        <f>SUM(G14:G23)</f>
        <v>0</v>
      </c>
      <c r="C6" s="3186" t="e">
        <f t="shared" ref="C6:C8" si="0">ROUND(B6*10000/$B$1,0)</f>
        <v>#DIV/0!</v>
      </c>
      <c r="D6" s="3186" t="e">
        <f t="shared" ref="D6:D8" si="1">ROUND(B6*10000/$B$2,0)</f>
        <v>#DIV/0!</v>
      </c>
      <c r="E6" s="3195"/>
      <c r="F6" s="3195"/>
      <c r="G6" s="3196"/>
      <c r="H6" s="3196"/>
      <c r="I6" s="3196"/>
      <c r="J6" s="3196"/>
    </row>
    <row r="7" spans="1:10" ht="15.6">
      <c r="A7" s="3186" t="s">
        <v>2833</v>
      </c>
      <c r="B7" s="3186">
        <f>SUM(H14:H23)</f>
        <v>0</v>
      </c>
      <c r="C7" s="3186" t="e">
        <f t="shared" si="0"/>
        <v>#DIV/0!</v>
      </c>
      <c r="D7" s="3186" t="e">
        <f t="shared" si="1"/>
        <v>#DIV/0!</v>
      </c>
      <c r="E7" s="3195"/>
      <c r="F7" s="3195"/>
      <c r="G7" s="3196"/>
      <c r="H7" s="3196"/>
      <c r="I7" s="3196"/>
      <c r="J7" s="3196"/>
    </row>
    <row r="8" spans="1:10" ht="15.6">
      <c r="A8" s="3186" t="s">
        <v>2834</v>
      </c>
      <c r="B8" s="3186">
        <f>SUM(I14:I23)</f>
        <v>0</v>
      </c>
      <c r="C8" s="3186" t="e">
        <f t="shared" si="0"/>
        <v>#DIV/0!</v>
      </c>
      <c r="D8" s="3186" t="e">
        <f t="shared" si="1"/>
        <v>#DIV/0!</v>
      </c>
      <c r="E8" s="3195"/>
      <c r="F8" s="3195"/>
      <c r="G8" s="3196"/>
      <c r="H8" s="3196"/>
      <c r="I8" s="3196"/>
      <c r="J8" s="3196"/>
    </row>
    <row r="9" spans="1:10" ht="15.6">
      <c r="A9" s="3186" t="s">
        <v>2835</v>
      </c>
      <c r="B9" s="3194"/>
      <c r="C9" s="3195"/>
      <c r="D9" s="3195"/>
      <c r="E9" s="3195"/>
      <c r="F9" s="3195"/>
      <c r="G9" s="3196"/>
      <c r="H9" s="3196"/>
      <c r="I9" s="3196"/>
      <c r="J9" s="3196"/>
    </row>
    <row r="10" spans="1:10" ht="15.6">
      <c r="A10" s="3186" t="s">
        <v>2836</v>
      </c>
      <c r="B10" s="3194"/>
      <c r="C10" s="3195"/>
      <c r="D10" s="3195"/>
      <c r="E10" s="3195"/>
      <c r="F10" s="3195"/>
      <c r="G10" s="3196"/>
      <c r="H10" s="3196"/>
      <c r="I10" s="3196"/>
      <c r="J10" s="3196"/>
    </row>
    <row r="11" spans="1:10" ht="15.6">
      <c r="A11" s="3186" t="s">
        <v>2853</v>
      </c>
      <c r="B11" s="3194"/>
      <c r="C11" s="3195"/>
      <c r="D11" s="3195"/>
      <c r="E11" s="3195"/>
      <c r="F11" s="3195"/>
      <c r="G11" s="3196"/>
      <c r="H11" s="3196"/>
      <c r="I11" s="3196"/>
      <c r="J11" s="3196"/>
    </row>
    <row r="12" spans="1:10" ht="15.6">
      <c r="A12" s="3195"/>
      <c r="B12" s="3195"/>
      <c r="C12" s="3195"/>
      <c r="D12" s="3195"/>
      <c r="E12" s="3195"/>
      <c r="F12" s="3195"/>
      <c r="G12" s="3196"/>
      <c r="H12" s="3196"/>
      <c r="I12" s="3196"/>
      <c r="J12" s="3196"/>
    </row>
    <row r="13" spans="1:10" ht="31.2">
      <c r="A13" s="3189" t="s">
        <v>2852</v>
      </c>
      <c r="B13" s="3190" t="s">
        <v>2824</v>
      </c>
      <c r="C13" s="3190" t="s">
        <v>2825</v>
      </c>
      <c r="D13" s="3190" t="s">
        <v>2837</v>
      </c>
      <c r="E13" s="3186" t="s">
        <v>2851</v>
      </c>
      <c r="F13" s="3186" t="s">
        <v>2830</v>
      </c>
      <c r="G13" s="3190" t="s">
        <v>2838</v>
      </c>
      <c r="H13" s="3190" t="s">
        <v>2839</v>
      </c>
      <c r="I13" s="3190" t="s">
        <v>2840</v>
      </c>
      <c r="J13" s="3196"/>
    </row>
    <row r="14" spans="1:10" ht="15.6">
      <c r="A14" s="3191" t="s">
        <v>2850</v>
      </c>
      <c r="B14" s="3192">
        <f>结果表!L38</f>
        <v>0</v>
      </c>
      <c r="C14" s="3192" t="e">
        <f>结果表!K38</f>
        <v>#DIV/0!</v>
      </c>
      <c r="D14" s="3192" t="e">
        <f ca="1">结果表!C42</f>
        <v>#REF!</v>
      </c>
      <c r="E14" s="3192" t="e">
        <f ca="1">ROUND(D14*10000/B14,0)</f>
        <v>#REF!</v>
      </c>
      <c r="F14" s="3192" t="e">
        <f ca="1">ROUND(D14*10000/C14,0)</f>
        <v>#REF!</v>
      </c>
      <c r="G14" s="3192" t="str">
        <f>结果表!C44</f>
        <v>——</v>
      </c>
      <c r="H14" s="3192" t="str">
        <f>结果表!C45</f>
        <v>——</v>
      </c>
      <c r="I14" s="3192" t="str">
        <f>结果表!C46</f>
        <v>——</v>
      </c>
      <c r="J14" s="3196"/>
    </row>
    <row r="15" spans="1:10" ht="15.6">
      <c r="A15" s="3191" t="s">
        <v>2841</v>
      </c>
      <c r="B15" s="3193"/>
      <c r="C15" s="3193"/>
      <c r="D15" s="3193"/>
      <c r="E15" s="3192" t="e">
        <f t="shared" ref="E15:E23" si="2">ROUND(D15*10000/B15,0)</f>
        <v>#DIV/0!</v>
      </c>
      <c r="F15" s="3192" t="e">
        <f t="shared" ref="F15:F23" si="3">ROUND(D15*10000/C15,0)</f>
        <v>#DIV/0!</v>
      </c>
      <c r="G15" s="2758"/>
      <c r="H15" s="2758"/>
      <c r="I15" s="3193"/>
      <c r="J15" s="3196"/>
    </row>
    <row r="16" spans="1:10" ht="15.6">
      <c r="A16" s="3191" t="s">
        <v>2842</v>
      </c>
      <c r="B16" s="3193"/>
      <c r="C16" s="3193"/>
      <c r="D16" s="3193"/>
      <c r="E16" s="3192" t="e">
        <f t="shared" si="2"/>
        <v>#DIV/0!</v>
      </c>
      <c r="F16" s="3192" t="e">
        <f t="shared" si="3"/>
        <v>#DIV/0!</v>
      </c>
      <c r="G16" s="2758"/>
      <c r="H16" s="2758"/>
      <c r="I16" s="3193"/>
      <c r="J16" s="3196"/>
    </row>
    <row r="17" spans="1:10" ht="15.6">
      <c r="A17" s="3191" t="s">
        <v>2843</v>
      </c>
      <c r="B17" s="3193"/>
      <c r="C17" s="3193"/>
      <c r="D17" s="3193"/>
      <c r="E17" s="3192" t="e">
        <f t="shared" si="2"/>
        <v>#DIV/0!</v>
      </c>
      <c r="F17" s="3192" t="e">
        <f t="shared" si="3"/>
        <v>#DIV/0!</v>
      </c>
      <c r="G17" s="2758"/>
      <c r="H17" s="2758"/>
      <c r="I17" s="3193"/>
      <c r="J17" s="3196"/>
    </row>
    <row r="18" spans="1:10" ht="15.6">
      <c r="A18" s="3191" t="s">
        <v>2844</v>
      </c>
      <c r="B18" s="3193"/>
      <c r="C18" s="3193"/>
      <c r="D18" s="3193"/>
      <c r="E18" s="3192" t="e">
        <f t="shared" si="2"/>
        <v>#DIV/0!</v>
      </c>
      <c r="F18" s="3192" t="e">
        <f t="shared" si="3"/>
        <v>#DIV/0!</v>
      </c>
      <c r="G18" s="3193"/>
      <c r="H18" s="3193"/>
      <c r="I18" s="3193"/>
      <c r="J18" s="3196"/>
    </row>
    <row r="19" spans="1:10" ht="15.6">
      <c r="A19" s="3191" t="s">
        <v>2845</v>
      </c>
      <c r="B19" s="3193"/>
      <c r="C19" s="3193"/>
      <c r="D19" s="3193"/>
      <c r="E19" s="3192" t="e">
        <f t="shared" si="2"/>
        <v>#DIV/0!</v>
      </c>
      <c r="F19" s="3192" t="e">
        <f t="shared" si="3"/>
        <v>#DIV/0!</v>
      </c>
      <c r="G19" s="3193"/>
      <c r="H19" s="3193"/>
      <c r="I19" s="3193"/>
      <c r="J19" s="3196"/>
    </row>
    <row r="20" spans="1:10" ht="15.6">
      <c r="A20" s="3191" t="s">
        <v>2846</v>
      </c>
      <c r="B20" s="3193"/>
      <c r="C20" s="3193"/>
      <c r="D20" s="3193"/>
      <c r="E20" s="3192" t="e">
        <f t="shared" si="2"/>
        <v>#DIV/0!</v>
      </c>
      <c r="F20" s="3192" t="e">
        <f t="shared" si="3"/>
        <v>#DIV/0!</v>
      </c>
      <c r="G20" s="3193"/>
      <c r="H20" s="3193"/>
      <c r="I20" s="3193"/>
      <c r="J20" s="3196"/>
    </row>
    <row r="21" spans="1:10" ht="15.6">
      <c r="A21" s="3191" t="s">
        <v>2847</v>
      </c>
      <c r="B21" s="3193"/>
      <c r="C21" s="3193"/>
      <c r="D21" s="3193"/>
      <c r="E21" s="3192" t="e">
        <f t="shared" si="2"/>
        <v>#DIV/0!</v>
      </c>
      <c r="F21" s="3192" t="e">
        <f t="shared" si="3"/>
        <v>#DIV/0!</v>
      </c>
      <c r="G21" s="3193"/>
      <c r="H21" s="3193"/>
      <c r="I21" s="3193"/>
      <c r="J21" s="3196"/>
    </row>
    <row r="22" spans="1:10" ht="15.6">
      <c r="A22" s="3191" t="s">
        <v>2848</v>
      </c>
      <c r="B22" s="3193"/>
      <c r="C22" s="3193"/>
      <c r="D22" s="3193"/>
      <c r="E22" s="3192" t="e">
        <f t="shared" si="2"/>
        <v>#DIV/0!</v>
      </c>
      <c r="F22" s="3192" t="e">
        <f t="shared" si="3"/>
        <v>#DIV/0!</v>
      </c>
      <c r="G22" s="3193"/>
      <c r="H22" s="3193"/>
      <c r="I22" s="3193"/>
      <c r="J22" s="3196"/>
    </row>
    <row r="23" spans="1:10" ht="15.6">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6" zoomScale="70" zoomScaleNormal="100" zoomScaleSheetLayoutView="70" zoomScalePageLayoutView="80" workbookViewId="0">
      <selection activeCell="D110" sqref="D110"/>
    </sheetView>
  </sheetViews>
  <sheetFormatPr defaultColWidth="12.6640625" defaultRowHeight="21.75" customHeight="1"/>
  <cols>
    <col min="1" max="2" width="12.77734375" style="1204" bestFit="1" customWidth="1"/>
    <col min="3" max="4" width="12.6640625" style="1204" customWidth="1"/>
    <col min="5" max="9" width="12.77734375" style="120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14" t="str">
        <f>项目基本情况!K2</f>
        <v>出让国有建设用地使用权</v>
      </c>
      <c r="B2" s="3415"/>
      <c r="C2" s="3416"/>
      <c r="D2" s="3416"/>
      <c r="E2" s="3416"/>
      <c r="F2" s="3416"/>
      <c r="G2" s="3415"/>
      <c r="H2" s="3415"/>
      <c r="I2" s="3417"/>
      <c r="J2" s="1913"/>
      <c r="K2" s="1912"/>
      <c r="L2" s="1912"/>
      <c r="M2" s="1912"/>
      <c r="N2" s="1912"/>
      <c r="O2" s="1912"/>
      <c r="P2" s="1912"/>
      <c r="Q2" s="1912"/>
      <c r="R2" s="1912"/>
      <c r="S2" s="1912"/>
      <c r="T2" s="1912"/>
      <c r="U2" s="1912"/>
      <c r="V2" s="1912"/>
    </row>
    <row r="3" spans="1:22" ht="13.8">
      <c r="A3" s="3407" t="s">
        <v>298</v>
      </c>
      <c r="B3" s="3408"/>
      <c r="C3" s="3408"/>
      <c r="D3" s="3408"/>
      <c r="E3" s="3408"/>
      <c r="F3" s="3408"/>
      <c r="G3" s="3408"/>
      <c r="H3" s="3408"/>
      <c r="I3" s="3408"/>
      <c r="J3" s="1913"/>
      <c r="K3" s="1912"/>
      <c r="L3" s="1912"/>
      <c r="M3" s="1912"/>
      <c r="N3" s="1912"/>
      <c r="O3" s="1912"/>
      <c r="P3" s="1912"/>
      <c r="Q3" s="1912"/>
      <c r="R3" s="1912"/>
      <c r="S3" s="1912"/>
      <c r="T3" s="1912"/>
      <c r="U3" s="1912"/>
      <c r="V3" s="1912"/>
    </row>
    <row r="4" spans="1:22" ht="14.4">
      <c r="A4" s="256" t="s">
        <v>299</v>
      </c>
      <c r="B4" s="257" t="s">
        <v>300</v>
      </c>
      <c r="C4" s="258"/>
      <c r="D4" s="258"/>
      <c r="E4" s="3373" t="s">
        <v>301</v>
      </c>
      <c r="F4" s="3374"/>
      <c r="G4" s="3374"/>
      <c r="H4" s="3374"/>
      <c r="I4" s="3409"/>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3.8">
      <c r="A5" s="3372" t="s">
        <v>302</v>
      </c>
      <c r="B5" s="3401">
        <v>25</v>
      </c>
      <c r="C5" s="3399"/>
      <c r="D5" s="3403"/>
      <c r="E5" s="259" t="s">
        <v>303</v>
      </c>
      <c r="F5" s="260"/>
      <c r="G5" s="260"/>
      <c r="H5" s="260"/>
      <c r="I5" s="261"/>
      <c r="J5" s="1913"/>
      <c r="K5" s="1912"/>
      <c r="L5" s="1912"/>
      <c r="M5" s="1912"/>
      <c r="N5" s="1912"/>
      <c r="O5" s="1912"/>
      <c r="P5" s="1912"/>
      <c r="Q5" s="1912"/>
      <c r="R5" s="1912"/>
      <c r="S5" s="1912"/>
      <c r="T5" s="1912"/>
      <c r="U5" s="1912"/>
      <c r="V5" s="1912"/>
    </row>
    <row r="6" spans="1:22" ht="13.8">
      <c r="A6" s="3372"/>
      <c r="B6" s="3401"/>
      <c r="C6" s="3402"/>
      <c r="D6" s="3403"/>
      <c r="E6" s="259" t="s">
        <v>304</v>
      </c>
      <c r="F6" s="260"/>
      <c r="G6" s="260"/>
      <c r="H6" s="260"/>
      <c r="I6" s="261"/>
      <c r="J6" s="1913"/>
      <c r="K6" s="1912"/>
      <c r="L6" s="1912"/>
      <c r="M6" s="1912"/>
      <c r="N6" s="1912"/>
      <c r="O6" s="1912"/>
      <c r="P6" s="1912"/>
      <c r="Q6" s="1912"/>
      <c r="R6" s="1912"/>
      <c r="S6" s="1912"/>
      <c r="T6" s="1912"/>
      <c r="U6" s="1912"/>
      <c r="V6" s="1912"/>
    </row>
    <row r="7" spans="1:22" ht="13.8">
      <c r="A7" s="3372"/>
      <c r="B7" s="3401"/>
      <c r="C7" s="3400"/>
      <c r="D7" s="3403"/>
      <c r="E7" s="259" t="s">
        <v>305</v>
      </c>
      <c r="F7" s="260"/>
      <c r="G7" s="260"/>
      <c r="H7" s="260"/>
      <c r="I7" s="261"/>
      <c r="J7" s="1913"/>
      <c r="K7" s="1912"/>
      <c r="L7" s="1912"/>
      <c r="M7" s="1912"/>
      <c r="N7" s="1912"/>
      <c r="O7" s="1912"/>
      <c r="P7" s="1912"/>
      <c r="Q7" s="1912"/>
      <c r="R7" s="1912"/>
      <c r="S7" s="1912"/>
      <c r="T7" s="1912"/>
      <c r="U7" s="1912"/>
      <c r="V7" s="1912"/>
    </row>
    <row r="8" spans="1:22" ht="13.8">
      <c r="A8" s="3372" t="s">
        <v>306</v>
      </c>
      <c r="B8" s="3401">
        <v>15</v>
      </c>
      <c r="C8" s="3399"/>
      <c r="D8" s="3403"/>
      <c r="E8" s="259" t="s">
        <v>307</v>
      </c>
      <c r="F8" s="260"/>
      <c r="G8" s="260"/>
      <c r="H8" s="260"/>
      <c r="I8" s="261"/>
      <c r="J8" s="1913"/>
      <c r="K8" s="1912"/>
      <c r="L8" s="1912"/>
      <c r="M8" s="1912"/>
      <c r="N8" s="1912"/>
      <c r="O8" s="1912"/>
      <c r="P8" s="1912"/>
      <c r="Q8" s="1912"/>
      <c r="R8" s="1912"/>
      <c r="S8" s="1912"/>
      <c r="T8" s="1912"/>
      <c r="U8" s="1912"/>
      <c r="V8" s="1912"/>
    </row>
    <row r="9" spans="1:22" ht="13.8">
      <c r="A9" s="3372"/>
      <c r="B9" s="3401"/>
      <c r="C9" s="3400"/>
      <c r="D9" s="3403"/>
      <c r="E9" s="259" t="s">
        <v>308</v>
      </c>
      <c r="F9" s="260"/>
      <c r="G9" s="260"/>
      <c r="H9" s="260"/>
      <c r="I9" s="261"/>
      <c r="J9" s="1913"/>
      <c r="K9" s="1912"/>
      <c r="L9" s="1912"/>
      <c r="M9" s="1912"/>
      <c r="N9" s="1912"/>
      <c r="O9" s="1912"/>
      <c r="P9" s="1912"/>
      <c r="Q9" s="1912"/>
      <c r="R9" s="1912"/>
      <c r="S9" s="1912"/>
      <c r="T9" s="1912"/>
      <c r="U9" s="1912"/>
      <c r="V9" s="1912"/>
    </row>
    <row r="10" spans="1:22" ht="13.8">
      <c r="A10" s="3372" t="s">
        <v>309</v>
      </c>
      <c r="B10" s="3401">
        <v>15</v>
      </c>
      <c r="C10" s="3399"/>
      <c r="D10" s="3403"/>
      <c r="E10" s="259" t="s">
        <v>310</v>
      </c>
      <c r="F10" s="260"/>
      <c r="G10" s="260"/>
      <c r="H10" s="260"/>
      <c r="I10" s="261"/>
      <c r="J10" s="1913"/>
      <c r="K10" s="1912"/>
      <c r="L10" s="1912"/>
      <c r="M10" s="1912"/>
      <c r="N10" s="1912"/>
      <c r="O10" s="1912"/>
      <c r="P10" s="1912"/>
      <c r="Q10" s="1912"/>
      <c r="R10" s="1912"/>
      <c r="S10" s="1912"/>
      <c r="T10" s="1912"/>
      <c r="U10" s="1912"/>
      <c r="V10" s="1912"/>
    </row>
    <row r="11" spans="1:22" ht="13.8">
      <c r="A11" s="3372"/>
      <c r="B11" s="3401"/>
      <c r="C11" s="3400"/>
      <c r="D11" s="3403"/>
      <c r="E11" s="259" t="s">
        <v>311</v>
      </c>
      <c r="F11" s="260"/>
      <c r="G11" s="260"/>
      <c r="H11" s="260"/>
      <c r="I11" s="261"/>
      <c r="J11" s="1913"/>
      <c r="K11" s="1912"/>
      <c r="L11" s="1912"/>
      <c r="M11" s="1912"/>
      <c r="N11" s="1912"/>
      <c r="O11" s="1912"/>
      <c r="P11" s="1912"/>
      <c r="Q11" s="1912"/>
      <c r="R11" s="1912"/>
      <c r="S11" s="1912"/>
      <c r="T11" s="1912"/>
      <c r="U11" s="1912"/>
      <c r="V11" s="1912"/>
    </row>
    <row r="12" spans="1:22" ht="13.8">
      <c r="A12" s="3372" t="s">
        <v>312</v>
      </c>
      <c r="B12" s="3401">
        <v>15</v>
      </c>
      <c r="C12" s="3399"/>
      <c r="D12" s="3403"/>
      <c r="E12" s="259" t="s">
        <v>313</v>
      </c>
      <c r="F12" s="260"/>
      <c r="G12" s="260"/>
      <c r="H12" s="260"/>
      <c r="I12" s="261"/>
      <c r="J12" s="1913"/>
      <c r="K12" s="1912"/>
      <c r="L12" s="1912"/>
      <c r="M12" s="1912"/>
      <c r="N12" s="1912"/>
      <c r="O12" s="1912"/>
      <c r="P12" s="1912"/>
      <c r="Q12" s="1912"/>
      <c r="R12" s="1912"/>
      <c r="S12" s="1912"/>
      <c r="T12" s="1912"/>
      <c r="U12" s="1912"/>
      <c r="V12" s="1912"/>
    </row>
    <row r="13" spans="1:22" ht="13.8">
      <c r="A13" s="3372"/>
      <c r="B13" s="3401"/>
      <c r="C13" s="3400"/>
      <c r="D13" s="3403"/>
      <c r="E13" s="259" t="s">
        <v>314</v>
      </c>
      <c r="F13" s="260"/>
      <c r="G13" s="260"/>
      <c r="H13" s="260"/>
      <c r="I13" s="261"/>
      <c r="J13" s="1913"/>
      <c r="K13" s="1912"/>
      <c r="L13" s="1912"/>
      <c r="M13" s="1912"/>
      <c r="N13" s="1912"/>
      <c r="O13" s="1912"/>
      <c r="P13" s="1912"/>
      <c r="Q13" s="1912"/>
      <c r="R13" s="1912"/>
      <c r="S13" s="1912"/>
      <c r="T13" s="1912"/>
      <c r="U13" s="1912"/>
      <c r="V13" s="1912"/>
    </row>
    <row r="14" spans="1:22" ht="13.8">
      <c r="A14" s="3372" t="s">
        <v>315</v>
      </c>
      <c r="B14" s="3401">
        <v>30</v>
      </c>
      <c r="C14" s="3399"/>
      <c r="D14" s="3403"/>
      <c r="E14" s="259" t="s">
        <v>316</v>
      </c>
      <c r="F14" s="260"/>
      <c r="G14" s="260"/>
      <c r="H14" s="260"/>
      <c r="I14" s="261"/>
      <c r="J14" s="1913"/>
      <c r="K14" s="1912"/>
      <c r="L14" s="1912"/>
      <c r="M14" s="1912"/>
      <c r="N14" s="1912"/>
      <c r="O14" s="1912"/>
      <c r="P14" s="1912"/>
      <c r="Q14" s="1912"/>
      <c r="R14" s="1912"/>
      <c r="S14" s="1912"/>
      <c r="T14" s="1912"/>
      <c r="U14" s="1912"/>
      <c r="V14" s="1912"/>
    </row>
    <row r="15" spans="1:22" ht="13.8">
      <c r="A15" s="3372"/>
      <c r="B15" s="3401"/>
      <c r="C15" s="3402"/>
      <c r="D15" s="3403"/>
      <c r="E15" s="259" t="s">
        <v>317</v>
      </c>
      <c r="F15" s="260"/>
      <c r="G15" s="260"/>
      <c r="H15" s="260"/>
      <c r="I15" s="261"/>
      <c r="J15" s="1913"/>
      <c r="K15" s="1912"/>
      <c r="L15" s="1912"/>
      <c r="M15" s="1912"/>
      <c r="N15" s="1912"/>
      <c r="O15" s="1912"/>
      <c r="P15" s="1912"/>
      <c r="Q15" s="1912"/>
      <c r="R15" s="1912"/>
      <c r="S15" s="1912"/>
      <c r="T15" s="1912"/>
      <c r="U15" s="1912"/>
      <c r="V15" s="1912"/>
    </row>
    <row r="16" spans="1:22" ht="13.8">
      <c r="A16" s="3372"/>
      <c r="B16" s="3401"/>
      <c r="C16" s="3400"/>
      <c r="D16" s="3403"/>
      <c r="E16" s="259" t="s">
        <v>318</v>
      </c>
      <c r="F16" s="260"/>
      <c r="G16" s="260"/>
      <c r="H16" s="260"/>
      <c r="I16" s="261"/>
      <c r="J16" s="1913"/>
      <c r="K16" s="1912"/>
      <c r="L16" s="1912"/>
      <c r="M16" s="1912"/>
      <c r="N16" s="1912"/>
      <c r="O16" s="1912"/>
      <c r="P16" s="1912"/>
      <c r="Q16" s="1912"/>
      <c r="R16" s="1912"/>
      <c r="S16" s="1912"/>
      <c r="T16" s="1912"/>
      <c r="U16" s="1912"/>
      <c r="V16" s="1912"/>
    </row>
    <row r="17" spans="1:26" ht="14.4">
      <c r="A17" s="262" t="s">
        <v>319</v>
      </c>
      <c r="B17" s="142"/>
      <c r="C17" s="263">
        <f>SUM(C5:C16)</f>
        <v>0</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 customHeight="1" thickBot="1">
      <c r="A18" s="264" t="s">
        <v>320</v>
      </c>
      <c r="B18" s="105"/>
      <c r="C18" s="265" t="e">
        <f>ROUND(C17/SUM(C17:D17),2)</f>
        <v>#DIV/0!</v>
      </c>
      <c r="D18" s="265" t="e">
        <f>1-C18</f>
        <v>#DIV/0!</v>
      </c>
      <c r="E18" s="3404" t="s">
        <v>2965</v>
      </c>
      <c r="F18" s="3405"/>
      <c r="G18" s="3405"/>
      <c r="H18" s="3405"/>
      <c r="I18" s="3405"/>
      <c r="J18" s="1912"/>
      <c r="K18" s="1912"/>
      <c r="L18" s="1912"/>
      <c r="M18" s="1912"/>
      <c r="N18" s="1912"/>
      <c r="O18" s="1912"/>
      <c r="P18" s="1912"/>
      <c r="Q18" s="1912"/>
      <c r="R18" s="1912"/>
      <c r="S18" s="1912"/>
      <c r="T18" s="1912"/>
      <c r="U18" s="1912"/>
      <c r="V18" s="1912"/>
    </row>
    <row r="19" spans="1:26" ht="14.4">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912"/>
      <c r="K19" s="1912"/>
      <c r="L19" s="1912"/>
      <c r="M19" s="1912"/>
      <c r="N19" s="1912"/>
      <c r="O19" s="1912"/>
      <c r="P19" s="1912"/>
      <c r="Q19" s="1912"/>
      <c r="R19" s="1912"/>
      <c r="S19" s="1912"/>
      <c r="T19" s="1912"/>
      <c r="U19" s="1912"/>
      <c r="V19" s="1912"/>
    </row>
    <row r="20" spans="1:26" ht="14.4">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205" t="s">
        <v>326</v>
      </c>
      <c r="I21" s="309"/>
      <c r="J21" s="1912"/>
      <c r="K21" s="1912"/>
      <c r="L21" s="1912"/>
      <c r="M21" s="1912"/>
      <c r="N21" s="1912"/>
      <c r="O21" s="1912"/>
      <c r="P21" s="1912"/>
      <c r="Q21" s="1912"/>
      <c r="R21" s="1912"/>
      <c r="S21" s="1912"/>
      <c r="T21" s="1912"/>
      <c r="U21" s="1912"/>
      <c r="V21" s="1912"/>
    </row>
    <row r="22" spans="1:26" ht="15" thickBot="1">
      <c r="A22" s="126" t="s">
        <v>328</v>
      </c>
      <c r="B22" s="1206"/>
      <c r="C22" s="1207"/>
      <c r="D22" s="281" t="e">
        <f ca="1">IF(C19&lt;D19,D19/C19-1,C19/D19-1)</f>
        <v>#REF!</v>
      </c>
      <c r="E22" s="282"/>
      <c r="F22" s="283"/>
      <c r="G22" s="284" t="e">
        <f ca="1">ROUND(G19/('数据-汇总表'!D3/666.67),0)</f>
        <v>#REF!</v>
      </c>
      <c r="H22" s="285" t="s">
        <v>329</v>
      </c>
      <c r="I22" s="309"/>
      <c r="J22" s="1912"/>
      <c r="K22" s="1912"/>
      <c r="L22" s="1912"/>
      <c r="M22" s="1912"/>
      <c r="N22" s="1912"/>
      <c r="O22" s="1912"/>
      <c r="P22" s="1912"/>
      <c r="Q22" s="1912"/>
      <c r="R22" s="1912"/>
      <c r="S22" s="1912"/>
      <c r="T22" s="1912"/>
      <c r="U22" s="1912"/>
      <c r="V22" s="1912"/>
    </row>
    <row r="23" spans="1:26" ht="13.8"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78"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7.399999999999999">
      <c r="A25" s="3379"/>
      <c r="B25" s="1275" t="s">
        <v>331</v>
      </c>
      <c r="C25" s="288">
        <f>IF(B30=0,0,C30)</f>
        <v>0</v>
      </c>
      <c r="D25" s="289"/>
      <c r="E25" s="309"/>
      <c r="F25" s="309"/>
      <c r="G25" s="309"/>
      <c r="H25" s="309"/>
      <c r="I25" s="309"/>
      <c r="J25" s="1912"/>
      <c r="K25" s="1209" t="e">
        <f ca="1">项目基本情况!B16&amp;"国有建设用地使用权价格："&amp;O38&amp;"万元"</f>
        <v>#REF!</v>
      </c>
      <c r="L25" s="1210"/>
      <c r="M25" s="1210"/>
      <c r="N25" s="1210"/>
      <c r="O25" s="1211"/>
      <c r="P25" s="1912"/>
      <c r="Q25" s="1912"/>
      <c r="R25" s="1912"/>
      <c r="S25" s="1912"/>
      <c r="T25" s="1912"/>
      <c r="U25" s="1912"/>
      <c r="V25" s="1912"/>
    </row>
    <row r="26" spans="1:26" s="1208" customFormat="1" ht="17.399999999999999">
      <c r="A26" s="291" t="s">
        <v>332</v>
      </c>
      <c r="B26" s="292" t="s">
        <v>333</v>
      </c>
      <c r="C26" s="292" t="s">
        <v>334</v>
      </c>
      <c r="D26" s="293" t="s">
        <v>335</v>
      </c>
      <c r="E26" s="309"/>
      <c r="F26" s="309"/>
      <c r="G26" s="309"/>
      <c r="H26" s="309"/>
      <c r="I26" s="309"/>
      <c r="J26" s="1912"/>
      <c r="K26" s="1212" t="e">
        <f ca="1">"大写金额：人民币"&amp;NUMBERSTRING(INT(O38*10000),2)&amp;"元整"</f>
        <v>#REF!</v>
      </c>
      <c r="L26" s="1206"/>
      <c r="M26" s="1206"/>
      <c r="N26" s="1206"/>
      <c r="O26" s="1205"/>
      <c r="P26" s="1912"/>
      <c r="Q26" s="1912"/>
      <c r="R26" s="1912"/>
      <c r="S26" s="1912"/>
      <c r="T26" s="1912"/>
      <c r="U26" s="1912"/>
      <c r="V26" s="1912"/>
      <c r="W26" s="290"/>
      <c r="X26" s="290"/>
      <c r="Y26" s="290"/>
      <c r="Z26" s="290"/>
    </row>
    <row r="27" spans="1:26" ht="17.399999999999999">
      <c r="A27" s="291"/>
      <c r="B27" s="292"/>
      <c r="C27" s="292"/>
      <c r="D27" s="293"/>
      <c r="E27" s="309"/>
      <c r="F27" s="309"/>
      <c r="G27" s="309"/>
      <c r="H27" s="309"/>
      <c r="I27" s="309"/>
      <c r="J27" s="1912"/>
      <c r="K27" s="1212" t="e">
        <f ca="1">"单位面积地价："&amp;M38&amp;"元/平方米"</f>
        <v>#REF!</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e">
        <f ca="1">"楼面地价："&amp;N38&amp;"元/平方米"</f>
        <v>#REF!</v>
      </c>
      <c r="L28" s="1206"/>
      <c r="M28" s="1206"/>
      <c r="N28" s="1206"/>
      <c r="O28" s="1205"/>
      <c r="P28" s="1912"/>
      <c r="V28" s="1912"/>
    </row>
    <row r="29" spans="1:26" ht="17.399999999999999">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 thickBot="1">
      <c r="A30" s="2801" t="s">
        <v>336</v>
      </c>
      <c r="B30" s="307"/>
      <c r="C30" s="307"/>
      <c r="D30" s="308"/>
      <c r="E30" s="3004" t="s">
        <v>2966</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406" t="s">
        <v>2967</v>
      </c>
      <c r="B31" s="3406"/>
      <c r="C31" s="3406"/>
      <c r="D31" s="3406"/>
      <c r="E31" s="3406"/>
      <c r="F31" s="3406"/>
      <c r="G31" s="3406"/>
      <c r="H31" s="3406"/>
      <c r="I31" s="3406"/>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8.600000000000001" thickTop="1" thickBot="1">
      <c r="A32" s="272" t="s">
        <v>337</v>
      </c>
      <c r="B32" s="3005" t="s">
        <v>1679</v>
      </c>
      <c r="C32" s="264" t="e">
        <f ca="1">G19-C24</f>
        <v>#REF!</v>
      </c>
      <c r="D32" s="3006"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 thickBot="1">
      <c r="A33" s="296" t="s">
        <v>340</v>
      </c>
      <c r="B33" s="1333" t="s">
        <v>1681</v>
      </c>
      <c r="C33" s="262" t="e">
        <f ca="1">ROUND(C32*10000/'数据-汇总表'!E3,0)</f>
        <v>#REF!</v>
      </c>
      <c r="D33" s="1334" t="s">
        <v>1682</v>
      </c>
      <c r="E33" s="3378"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 thickBot="1">
      <c r="A34" s="298"/>
      <c r="B34" s="1335" t="s">
        <v>1683</v>
      </c>
      <c r="C34" s="262" t="e">
        <f ca="1">ROUND(C32*10000/'数据-汇总表'!D3,0)</f>
        <v>#REF!</v>
      </c>
      <c r="D34" s="1336" t="s">
        <v>1682</v>
      </c>
      <c r="E34" s="3422"/>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 thickBot="1">
      <c r="A35" s="282"/>
      <c r="B35" s="1337"/>
      <c r="C35" s="1338" t="e">
        <f ca="1">ROUND(C32/('数据-汇总表'!D3/666.67),0)</f>
        <v>#REF!</v>
      </c>
      <c r="D35" s="1339" t="s">
        <v>1684</v>
      </c>
      <c r="E35" s="3423"/>
      <c r="F35" s="299" t="s">
        <v>342</v>
      </c>
      <c r="G35" s="970"/>
      <c r="H35" s="969" t="s">
        <v>343</v>
      </c>
      <c r="I35" s="309"/>
      <c r="J35" s="1912"/>
      <c r="K35" s="3396" t="s">
        <v>350</v>
      </c>
      <c r="L35" s="3396" t="s">
        <v>351</v>
      </c>
      <c r="M35" s="1218" t="s">
        <v>352</v>
      </c>
      <c r="N35" s="3396" t="s">
        <v>353</v>
      </c>
      <c r="O35" s="3396" t="s">
        <v>354</v>
      </c>
      <c r="P35" s="1912"/>
      <c r="V35" s="1912"/>
    </row>
    <row r="36" spans="1:26" ht="16.5" customHeight="1">
      <c r="A36" s="301" t="s">
        <v>344</v>
      </c>
      <c r="B36" s="302" t="s">
        <v>333</v>
      </c>
      <c r="C36" s="303" t="s">
        <v>345</v>
      </c>
      <c r="D36" s="303" t="s">
        <v>346</v>
      </c>
      <c r="E36" s="304" t="s">
        <v>347</v>
      </c>
      <c r="F36" s="309"/>
      <c r="G36" s="309"/>
      <c r="H36" s="309"/>
      <c r="I36" s="309"/>
      <c r="J36" s="1914"/>
      <c r="K36" s="3397"/>
      <c r="L36" s="3397"/>
      <c r="M36" s="1220" t="s">
        <v>355</v>
      </c>
      <c r="N36" s="3397"/>
      <c r="O36" s="3397"/>
      <c r="P36" s="1912"/>
      <c r="V36" s="1912"/>
    </row>
    <row r="37" spans="1:26" ht="16.5" customHeight="1" thickBot="1">
      <c r="A37" s="1214" t="s">
        <v>348</v>
      </c>
      <c r="B37" s="305"/>
      <c r="C37" s="292"/>
      <c r="D37" s="292"/>
      <c r="E37" s="293"/>
      <c r="F37" s="309"/>
      <c r="G37" s="309"/>
      <c r="H37" s="309"/>
      <c r="I37" s="309"/>
      <c r="J37" s="1914"/>
      <c r="K37" s="3398"/>
      <c r="L37" s="3398"/>
      <c r="M37" s="1221"/>
      <c r="N37" s="3398"/>
      <c r="O37" s="3398"/>
      <c r="P37" s="1912"/>
      <c r="V37" s="1912"/>
    </row>
    <row r="38" spans="1:26" ht="16.5" customHeight="1" thickBot="1">
      <c r="A38" s="1214" t="s">
        <v>349</v>
      </c>
      <c r="B38" s="305"/>
      <c r="C38" s="292"/>
      <c r="D38" s="292"/>
      <c r="E38" s="293"/>
      <c r="F38" s="309"/>
      <c r="G38" s="309"/>
      <c r="H38" s="309"/>
      <c r="I38" s="309"/>
      <c r="J38" s="1914"/>
      <c r="K38" s="1222" t="e">
        <f>'数据-汇总表'!D3</f>
        <v>#DIV/0!</v>
      </c>
      <c r="L38" s="1223">
        <f>'数据-汇总表'!E3</f>
        <v>0</v>
      </c>
      <c r="M38" s="1223" t="e">
        <f ca="1">C34</f>
        <v>#REF!</v>
      </c>
      <c r="N38" s="1223" t="e">
        <f ca="1">C33</f>
        <v>#REF!</v>
      </c>
      <c r="O38" s="1224" t="e">
        <f ca="1">C32</f>
        <v>#REF!</v>
      </c>
      <c r="P38" s="1912"/>
      <c r="V38" s="1912"/>
    </row>
    <row r="39" spans="1:26" ht="16.5" customHeight="1" thickBot="1">
      <c r="A39" s="1219"/>
      <c r="B39" s="306"/>
      <c r="C39" s="307"/>
      <c r="D39" s="307"/>
      <c r="E39" s="308"/>
      <c r="F39" s="309"/>
      <c r="G39" s="309"/>
      <c r="H39" s="309"/>
      <c r="I39" s="309"/>
      <c r="J39" s="1914"/>
      <c r="K39" s="3436" t="str">
        <f>MID(A44,3,LEN(A44)-2)</f>
        <v/>
      </c>
      <c r="L39" s="3437"/>
      <c r="M39" s="3437"/>
      <c r="N39" s="3438"/>
      <c r="O39" s="1341" t="str">
        <f>C44</f>
        <v>——</v>
      </c>
      <c r="P39" s="1912"/>
      <c r="V39" s="1912"/>
    </row>
    <row r="40" spans="1:26" ht="18" thickBot="1">
      <c r="A40" s="104" t="s">
        <v>864</v>
      </c>
      <c r="B40" s="309"/>
      <c r="C40" s="309"/>
      <c r="D40" s="309"/>
      <c r="E40" s="309"/>
      <c r="F40" s="309"/>
      <c r="G40" s="309"/>
      <c r="H40" s="309"/>
      <c r="I40" s="309"/>
      <c r="J40" s="1914"/>
      <c r="K40" s="3436" t="str">
        <f t="shared" ref="K40:K41" si="0">MID(A45,3,LEN(A45)-2)</f>
        <v/>
      </c>
      <c r="L40" s="3437"/>
      <c r="M40" s="3437"/>
      <c r="N40" s="3438"/>
      <c r="O40" s="1341" t="str">
        <f>C45</f>
        <v>——</v>
      </c>
      <c r="P40" s="1912"/>
      <c r="V40" s="1912"/>
    </row>
    <row r="41" spans="1:26" ht="16.2" thickBot="1">
      <c r="A41" s="310" t="s">
        <v>356</v>
      </c>
      <c r="B41" s="311"/>
      <c r="C41" s="312" t="s">
        <v>357</v>
      </c>
      <c r="D41" s="313" t="s">
        <v>358</v>
      </c>
      <c r="E41" s="313" t="s">
        <v>359</v>
      </c>
      <c r="F41" s="314" t="s">
        <v>360</v>
      </c>
      <c r="G41" s="309"/>
      <c r="H41" s="309"/>
      <c r="I41" s="309"/>
      <c r="J41" s="1914"/>
      <c r="K41" s="3436" t="str">
        <f t="shared" si="0"/>
        <v/>
      </c>
      <c r="L41" s="3437"/>
      <c r="M41" s="3437"/>
      <c r="N41" s="3438"/>
      <c r="O41" s="1341" t="str">
        <f>C46</f>
        <v>——</v>
      </c>
      <c r="P41" s="1912"/>
      <c r="V41" s="1912"/>
    </row>
    <row r="42" spans="1:26" ht="31.2">
      <c r="A42" s="3380" t="s">
        <v>2056</v>
      </c>
      <c r="B42" s="3381"/>
      <c r="C42" s="262" t="e">
        <f ca="1">C32</f>
        <v>#REF!</v>
      </c>
      <c r="D42" s="315" t="e">
        <f ca="1">C33</f>
        <v>#REF!</v>
      </c>
      <c r="E42" s="315" t="e">
        <f ca="1">C34</f>
        <v>#REF!</v>
      </c>
      <c r="F42" s="316" t="e">
        <f ca="1">C35</f>
        <v>#REF!</v>
      </c>
      <c r="G42" s="309"/>
      <c r="H42" s="309"/>
      <c r="I42" s="317"/>
      <c r="J42" s="1914"/>
      <c r="K42" s="1225" t="s">
        <v>361</v>
      </c>
      <c r="L42" s="1931" t="s">
        <v>362</v>
      </c>
      <c r="M42" s="1226" t="s">
        <v>363</v>
      </c>
      <c r="N42" s="1932" t="s">
        <v>364</v>
      </c>
      <c r="O42" s="1933" t="s">
        <v>365</v>
      </c>
      <c r="P42" s="1912"/>
      <c r="V42" s="1912"/>
    </row>
    <row r="43" spans="1:26" ht="17.399999999999999">
      <c r="A43" s="3391" t="s">
        <v>2711</v>
      </c>
      <c r="B43" s="3392"/>
      <c r="C43" s="262">
        <f>IF(H33="正常操作",G33+G34+G35,G34+G35)</f>
        <v>0</v>
      </c>
      <c r="D43" s="315" t="s">
        <v>43</v>
      </c>
      <c r="E43" s="315" t="s">
        <v>44</v>
      </c>
      <c r="F43" s="316" t="s">
        <v>44</v>
      </c>
      <c r="G43" s="2584" t="s">
        <v>943</v>
      </c>
      <c r="H43" s="309"/>
      <c r="I43" s="317"/>
      <c r="J43" s="1914"/>
      <c r="K43" s="1227">
        <f>C4</f>
        <v>0</v>
      </c>
      <c r="L43" s="1228" t="e">
        <f ca="1">IF(L42="估价结果/万元",C19,C20)</f>
        <v>#REF!</v>
      </c>
      <c r="M43" s="1229" t="e">
        <f>C18</f>
        <v>#DIV/0!</v>
      </c>
      <c r="N43" s="1230" t="e">
        <f ca="1">IF(N42="测算结果/万元",G19,G20)</f>
        <v>#REF!</v>
      </c>
      <c r="O43" s="1231" t="e">
        <f ca="1">IF(O42="最终结果/万元",C32,C33)</f>
        <v>#REF!</v>
      </c>
      <c r="P43" s="1912"/>
      <c r="V43" s="1912"/>
    </row>
    <row r="44" spans="1:26" ht="18" thickBot="1">
      <c r="A44" s="3380" t="str">
        <f>IF(OR(项目基本情况!E8="抵押价格",项目基本情况!E8="已注销及未注销"),"3.抵押价格","——")</f>
        <v>——</v>
      </c>
      <c r="B44" s="3381"/>
      <c r="C44" s="262" t="str">
        <f>IF(A44="——","——",C42-C43)</f>
        <v>——</v>
      </c>
      <c r="D44" s="315" t="e">
        <f>ROUND(C44*10000/'数据-汇总表'!E3,0)</f>
        <v>#VALUE!</v>
      </c>
      <c r="E44" s="315" t="e">
        <f>ROUND(C44*10000/'数据-汇总表'!D3,0)</f>
        <v>#VALUE!</v>
      </c>
      <c r="F44" s="316" t="e">
        <f>ROUND(C44/('数据-汇总表'!D3/666.67),0)</f>
        <v>#VALUE!</v>
      </c>
      <c r="G44" s="309"/>
      <c r="H44" s="309"/>
      <c r="I44" s="317"/>
      <c r="J44" s="1914"/>
      <c r="K44" s="1232">
        <f>D4</f>
        <v>0</v>
      </c>
      <c r="L44" s="1233" t="e">
        <f ca="1">IF(L42="估价结果/万元",D19,D20)</f>
        <v>#REF!</v>
      </c>
      <c r="M44" s="1234" t="e">
        <f>D18</f>
        <v>#DIV/0!</v>
      </c>
      <c r="N44" s="1235"/>
      <c r="O44" s="1236"/>
      <c r="P44" s="1912"/>
      <c r="V44" s="1912"/>
    </row>
    <row r="45" spans="1:26" ht="13.8">
      <c r="A45" s="3386" t="str">
        <f>IF(项目基本情况!E8="已注销及未注销","4.抵押担保权已注销时的抵押价格",IF(项目基本情况!E8="已注销","3.抵押担保权已注销时的抵押价格","——"))</f>
        <v>——</v>
      </c>
      <c r="B45" s="3387"/>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4.4" thickBot="1">
      <c r="A46" s="3382" t="str">
        <f>IF(项目基本情况!E9="抵押净值",IF(A45="——","4.抵押净值","5.抵押净值"),"——")</f>
        <v>——</v>
      </c>
      <c r="B46" s="3383"/>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6">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3.2">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3.2">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3.2">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3.2">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3.2">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3.2">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3.2">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3.2">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3.2">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3.2">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3.2">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3.2">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3.2">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3.2">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7.399999999999999">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0" t="s">
        <v>374</v>
      </c>
      <c r="B63" s="3431"/>
      <c r="C63" s="3432"/>
      <c r="D63" s="339" t="e">
        <f ca="1">ROUND(C42*F63,0)</f>
        <v>#REF!</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88" t="s">
        <v>378</v>
      </c>
      <c r="B64" s="3389"/>
      <c r="C64" s="3389"/>
      <c r="D64" s="3389"/>
      <c r="E64" s="3389"/>
      <c r="F64" s="3389"/>
      <c r="G64" s="3390"/>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6.4">
      <c r="A66" s="3384" t="s">
        <v>386</v>
      </c>
      <c r="B66" s="3385"/>
      <c r="C66" s="3385"/>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445" t="s">
        <v>385</v>
      </c>
      <c r="M66" s="3446"/>
      <c r="N66" s="2313"/>
      <c r="O66" s="2314"/>
      <c r="P66" s="2315"/>
      <c r="Q66" s="1912"/>
      <c r="R66" s="1912"/>
      <c r="S66" s="1912"/>
      <c r="T66" s="1912"/>
      <c r="U66" s="1912"/>
      <c r="V66" s="1912"/>
    </row>
    <row r="67" spans="1:22" ht="25.5" customHeight="1">
      <c r="A67" s="350" t="s">
        <v>389</v>
      </c>
      <c r="B67" s="3375" t="s">
        <v>390</v>
      </c>
      <c r="C67" s="3375"/>
      <c r="D67" s="351">
        <v>0</v>
      </c>
      <c r="E67" s="41" t="s">
        <v>391</v>
      </c>
      <c r="F67" s="62" t="s">
        <v>21</v>
      </c>
      <c r="G67" s="3433"/>
      <c r="H67" s="3007" t="s">
        <v>2968</v>
      </c>
      <c r="I67" s="3009"/>
      <c r="J67" s="1919"/>
      <c r="K67" s="1891">
        <v>2</v>
      </c>
      <c r="L67" s="3439" t="s">
        <v>388</v>
      </c>
      <c r="M67" s="3439"/>
      <c r="N67" s="1279">
        <f>'数据-取费表'!B2</f>
        <v>0</v>
      </c>
      <c r="O67" s="1279"/>
      <c r="P67" s="1279"/>
      <c r="Q67" s="1912"/>
      <c r="R67" s="1912"/>
      <c r="S67" s="1912"/>
      <c r="T67" s="1912"/>
      <c r="U67" s="1912"/>
      <c r="V67" s="1912"/>
    </row>
    <row r="68" spans="1:22" ht="25.5" customHeight="1">
      <c r="A68" s="352"/>
      <c r="B68" s="3375" t="s">
        <v>393</v>
      </c>
      <c r="C68" s="3375"/>
      <c r="D68" s="353"/>
      <c r="E68" s="77"/>
      <c r="F68" s="354"/>
      <c r="G68" s="3434"/>
      <c r="H68" s="3008" t="s">
        <v>2969</v>
      </c>
      <c r="I68" s="3009"/>
      <c r="J68" s="1919"/>
      <c r="K68" s="1891">
        <v>3</v>
      </c>
      <c r="L68" s="3439" t="s">
        <v>392</v>
      </c>
      <c r="M68" s="3439"/>
      <c r="N68" s="1247" t="e">
        <f ca="1">C42</f>
        <v>#REF!</v>
      </c>
      <c r="O68" s="1247"/>
      <c r="P68" s="1247"/>
      <c r="Q68" s="1912"/>
      <c r="R68" s="1912"/>
      <c r="S68" s="1912"/>
      <c r="T68" s="1912"/>
      <c r="U68" s="1912"/>
      <c r="V68" s="1912"/>
    </row>
    <row r="69" spans="1:22" ht="23.4" customHeight="1">
      <c r="A69" s="355"/>
      <c r="B69" s="3375" t="s">
        <v>394</v>
      </c>
      <c r="C69" s="3375"/>
      <c r="D69" s="356"/>
      <c r="E69" s="73"/>
      <c r="F69" s="354"/>
      <c r="G69" s="3435"/>
      <c r="H69" s="3008" t="s">
        <v>2970</v>
      </c>
      <c r="I69" s="3009"/>
      <c r="J69" s="1919"/>
      <c r="K69" s="1248">
        <v>4</v>
      </c>
      <c r="L69" s="3449" t="s">
        <v>2863</v>
      </c>
      <c r="M69" s="3450"/>
      <c r="N69" s="1249" t="str">
        <f>C44</f>
        <v>——</v>
      </c>
      <c r="O69" s="1249"/>
      <c r="P69" s="1249"/>
      <c r="Q69" s="1912"/>
      <c r="R69" s="1912"/>
      <c r="S69" s="1912"/>
      <c r="T69" s="1912"/>
      <c r="U69" s="1912"/>
      <c r="V69" s="1912"/>
    </row>
    <row r="70" spans="1:22" ht="24" customHeight="1">
      <c r="A70" s="357" t="s">
        <v>395</v>
      </c>
      <c r="B70" s="3375" t="s">
        <v>396</v>
      </c>
      <c r="C70" s="3375"/>
      <c r="D70" s="356" t="e">
        <f ca="1">ROUND(D63*'数据-取费表'!B41/(1+'数据-取费表'!C42),0)</f>
        <v>#REF!</v>
      </c>
      <c r="E70" s="17" t="s">
        <v>397</v>
      </c>
      <c r="F70" s="358">
        <f>'数据-取费表'!B41</f>
        <v>0</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376" t="s">
        <v>3000</v>
      </c>
      <c r="C71" s="3377"/>
      <c r="D71" s="356" t="e">
        <f ca="1">ROUND(D63*'数据-取费表'!B41/(1+'数据-取费表'!C42),0)</f>
        <v>#REF!</v>
      </c>
      <c r="E71" s="17" t="s">
        <v>397</v>
      </c>
      <c r="F71" s="358">
        <f>'数据-取费表'!B41</f>
        <v>0</v>
      </c>
      <c r="G71" s="359"/>
      <c r="H71" s="309"/>
      <c r="I71" s="1246"/>
      <c r="J71" s="1919"/>
      <c r="K71" s="2765" t="s">
        <v>398</v>
      </c>
      <c r="L71" s="3451" t="s">
        <v>399</v>
      </c>
      <c r="M71" s="3451"/>
      <c r="N71" s="2765" t="s">
        <v>400</v>
      </c>
      <c r="O71" s="2765" t="s">
        <v>401</v>
      </c>
      <c r="P71" s="2765" t="s">
        <v>402</v>
      </c>
      <c r="Q71" s="1912"/>
      <c r="R71" s="1912"/>
      <c r="S71" s="1912"/>
      <c r="T71" s="1912"/>
      <c r="U71" s="1912"/>
      <c r="V71" s="1912"/>
    </row>
    <row r="72" spans="1:22" ht="12" customHeight="1">
      <c r="A72" s="357" t="s">
        <v>405</v>
      </c>
      <c r="B72" s="3376" t="s">
        <v>3001</v>
      </c>
      <c r="C72" s="3377"/>
      <c r="D72" s="356" t="e">
        <f ca="1">C86</f>
        <v>#REF!</v>
      </c>
      <c r="E72" s="73" t="s">
        <v>406</v>
      </c>
      <c r="F72" s="358">
        <f>'数据-取费表'!B41</f>
        <v>0</v>
      </c>
      <c r="G72" s="359"/>
      <c r="H72" s="1252"/>
      <c r="I72" s="1246"/>
      <c r="J72" s="1919"/>
      <c r="K72" s="1891">
        <v>1</v>
      </c>
      <c r="L72" s="3426" t="s">
        <v>404</v>
      </c>
      <c r="M72" s="3426"/>
      <c r="N72" s="1250" t="b">
        <f>D66</f>
        <v>0</v>
      </c>
      <c r="O72" s="1774" t="str">
        <f>E66</f>
        <v>销售额×税（费）率</v>
      </c>
      <c r="P72" s="1251">
        <f>F66</f>
        <v>0</v>
      </c>
      <c r="Q72" s="1912"/>
      <c r="R72" s="1912"/>
      <c r="S72" s="1912"/>
      <c r="T72" s="1912"/>
      <c r="U72" s="1912"/>
      <c r="V72" s="1912"/>
    </row>
    <row r="73" spans="1:22" ht="24" customHeight="1">
      <c r="A73" s="3421" t="s">
        <v>408</v>
      </c>
      <c r="B73" s="3385"/>
      <c r="C73" s="3385"/>
      <c r="D73" s="360" t="e">
        <f ca="1">IF(H73="个人住宅",0,ROUND(D63*I73,0))</f>
        <v>#REF!</v>
      </c>
      <c r="E73" s="17" t="s">
        <v>409</v>
      </c>
      <c r="F73" s="358" t="str">
        <f>IF(H73="正常",I73,"免征")</f>
        <v>免征</v>
      </c>
      <c r="G73" s="359"/>
      <c r="H73" s="189"/>
      <c r="I73" s="358">
        <f>'数据-取费表'!B49</f>
        <v>0</v>
      </c>
      <c r="J73" s="1919"/>
      <c r="K73" s="1891">
        <v>2</v>
      </c>
      <c r="L73" s="3426" t="s">
        <v>407</v>
      </c>
      <c r="M73" s="3426"/>
      <c r="N73" s="1250" t="e">
        <f t="shared" ref="N73:P74" ca="1" si="1">D73</f>
        <v>#REF!</v>
      </c>
      <c r="O73" s="1774" t="str">
        <f t="shared" si="1"/>
        <v>销售额×税（费）率</v>
      </c>
      <c r="P73" s="1251" t="str">
        <f t="shared" si="1"/>
        <v>免征</v>
      </c>
      <c r="Q73" s="1912"/>
      <c r="R73" s="1912"/>
      <c r="S73" s="1912"/>
      <c r="T73" s="1912"/>
      <c r="U73" s="1912"/>
      <c r="V73" s="1912"/>
    </row>
    <row r="74" spans="1:22" ht="25.2">
      <c r="A74" s="3421" t="s">
        <v>411</v>
      </c>
      <c r="B74" s="3385"/>
      <c r="C74" s="3385"/>
      <c r="D74" s="360" t="e">
        <f ca="1">IF(H74="个人住宅",D75,D76)</f>
        <v>#REF!</v>
      </c>
      <c r="E74" s="17" t="s">
        <v>412</v>
      </c>
      <c r="F74" s="358" t="str">
        <f>IF(H74="正常",F76,"免征")</f>
        <v>免征</v>
      </c>
      <c r="G74" s="971" t="s">
        <v>413</v>
      </c>
      <c r="H74" s="361"/>
      <c r="I74" s="42"/>
      <c r="J74" s="1919"/>
      <c r="K74" s="1891">
        <v>3</v>
      </c>
      <c r="L74" s="3426" t="s">
        <v>410</v>
      </c>
      <c r="M74" s="3426"/>
      <c r="N74" s="1250" t="e">
        <f t="shared" ca="1" si="1"/>
        <v>#REF!</v>
      </c>
      <c r="O74" s="1774" t="str">
        <f t="shared" si="1"/>
        <v>增值额×税（费）率</v>
      </c>
      <c r="P74" s="1253" t="str">
        <f t="shared" si="1"/>
        <v>免征</v>
      </c>
      <c r="Q74" s="1912"/>
      <c r="R74" s="1912"/>
      <c r="S74" s="1912"/>
      <c r="T74" s="1912"/>
      <c r="U74" s="1912"/>
      <c r="V74" s="1912"/>
    </row>
    <row r="75" spans="1:22" ht="13.2">
      <c r="A75" s="357" t="s">
        <v>414</v>
      </c>
      <c r="B75" s="3373" t="s">
        <v>415</v>
      </c>
      <c r="C75" s="3409"/>
      <c r="D75" s="362">
        <v>0</v>
      </c>
      <c r="E75" s="41" t="s">
        <v>416</v>
      </c>
      <c r="F75" s="363"/>
      <c r="G75" s="359"/>
      <c r="H75" s="42"/>
      <c r="I75" s="42"/>
      <c r="J75" s="1919"/>
      <c r="K75" s="2759">
        <f>IF(H77="非个人房产","",4)</f>
        <v>4</v>
      </c>
      <c r="L75" s="3426" t="str">
        <f>IF(H77="非个人房产","——","个人所得税")</f>
        <v>个人所得税</v>
      </c>
      <c r="M75" s="3426"/>
      <c r="N75" s="1254">
        <f>D77</f>
        <v>0</v>
      </c>
      <c r="O75" s="1787" t="str">
        <f>E77</f>
        <v>差额计税</v>
      </c>
      <c r="P75" s="1255">
        <f>F77</f>
        <v>0.01</v>
      </c>
      <c r="Q75" s="1912"/>
      <c r="R75" s="1912"/>
      <c r="S75" s="1912"/>
      <c r="T75" s="1912"/>
      <c r="U75" s="1912"/>
      <c r="V75" s="1912"/>
    </row>
    <row r="76" spans="1:22" ht="25.2">
      <c r="A76" s="357" t="s">
        <v>395</v>
      </c>
      <c r="B76" s="3373" t="s">
        <v>418</v>
      </c>
      <c r="C76" s="3374"/>
      <c r="D76" s="360" t="e">
        <f ca="1">IF(H76="转让取得",C99,C115)</f>
        <v>#REF!</v>
      </c>
      <c r="E76" s="17" t="s">
        <v>419</v>
      </c>
      <c r="F76" s="53" t="s">
        <v>21</v>
      </c>
      <c r="G76" s="359"/>
      <c r="H76" s="361"/>
      <c r="I76" s="42"/>
      <c r="J76" s="1919"/>
      <c r="K76" s="2759" t="str">
        <f>IF(项目基本情况!K6="上海银行",IF(K75="",4,K75+1),"")</f>
        <v/>
      </c>
      <c r="L76" s="3441" t="str">
        <f>IF(项目基本情况!K6="上海银行","其他处置费用","")</f>
        <v/>
      </c>
      <c r="M76" s="3442"/>
      <c r="N76" s="1250" t="str">
        <f>IF(项目基本情况!K6="上海银行",N89,"")</f>
        <v/>
      </c>
      <c r="O76" s="3443" t="str">
        <f>IF(项目基本情况!K6="上海银行","包含处置中涉及的律师、诉讼、拍卖、评估等费用","")</f>
        <v/>
      </c>
      <c r="P76" s="3444"/>
      <c r="Q76" s="1912"/>
      <c r="R76" s="1912"/>
      <c r="S76" s="1912"/>
      <c r="T76" s="1912"/>
      <c r="U76" s="1912"/>
      <c r="V76" s="1912"/>
    </row>
    <row r="77" spans="1:22" ht="24.6" thickBot="1">
      <c r="A77" s="3428" t="s">
        <v>421</v>
      </c>
      <c r="B77" s="3429"/>
      <c r="C77" s="3429"/>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27">
        <f>IF(AND(K75="",K76=""),4,IF(项目基本情况!K6="上海银行",K76+1,K75+1))</f>
        <v>5</v>
      </c>
      <c r="L77" s="3426" t="s">
        <v>2864</v>
      </c>
      <c r="M77" s="2764" t="s">
        <v>417</v>
      </c>
      <c r="N77" s="1256"/>
      <c r="O77" s="1257">
        <f ca="1">SUMIF(N72:N76,"&lt;9e307")</f>
        <v>0</v>
      </c>
      <c r="P77" s="1258"/>
      <c r="Q77" s="2762" t="e">
        <f ca="1">O77/N69</f>
        <v>#VALUE!</v>
      </c>
      <c r="R77" s="1912"/>
      <c r="S77" s="1912"/>
      <c r="T77" s="1912"/>
      <c r="U77" s="1912"/>
      <c r="V77" s="1912"/>
    </row>
    <row r="78" spans="1:22" ht="12" customHeight="1">
      <c r="A78" s="1259"/>
      <c r="B78" s="309"/>
      <c r="C78" s="309"/>
      <c r="D78" s="309"/>
      <c r="E78" s="42"/>
      <c r="F78" s="42"/>
      <c r="G78" s="42"/>
      <c r="H78" s="991"/>
      <c r="I78" s="309"/>
      <c r="J78" s="1919"/>
      <c r="K78" s="3427"/>
      <c r="L78" s="3426"/>
      <c r="M78" s="2764" t="s">
        <v>420</v>
      </c>
      <c r="N78" s="1256"/>
      <c r="O78" s="1257" t="str">
        <f ca="1">NUMBERSTRING(INT(O77*10000),2)&amp;"元整"</f>
        <v>零元整</v>
      </c>
      <c r="P78" s="1258"/>
      <c r="Q78" s="1912"/>
      <c r="R78" s="1912"/>
      <c r="S78" s="1912"/>
      <c r="T78" s="1912"/>
      <c r="U78" s="1912"/>
      <c r="V78" s="1912"/>
    </row>
    <row r="79" spans="1:22" ht="13.8" thickBot="1">
      <c r="A79" s="3393" t="s">
        <v>422</v>
      </c>
      <c r="B79" s="3393"/>
      <c r="C79" s="3393"/>
      <c r="D79" s="3393"/>
      <c r="E79" s="3393"/>
      <c r="F79" s="42"/>
      <c r="G79" s="42"/>
      <c r="H79" s="991"/>
      <c r="I79" s="309"/>
      <c r="J79" s="1919"/>
      <c r="K79" s="3447">
        <f>K77+1</f>
        <v>6</v>
      </c>
      <c r="L79" s="3426" t="s">
        <v>2865</v>
      </c>
      <c r="M79" s="2764" t="s">
        <v>417</v>
      </c>
      <c r="N79" s="1256"/>
      <c r="O79" s="1257" t="e">
        <f ca="1">N69-O77</f>
        <v>#VALUE!</v>
      </c>
      <c r="P79" s="1258"/>
      <c r="Q79" s="1912"/>
      <c r="R79" s="1912"/>
      <c r="S79" s="1912"/>
      <c r="T79" s="1912"/>
      <c r="U79" s="1912"/>
      <c r="V79" s="1912"/>
    </row>
    <row r="80" spans="1:22" ht="13.2">
      <c r="A80" s="3394" t="s">
        <v>423</v>
      </c>
      <c r="B80" s="3395"/>
      <c r="C80" s="982"/>
      <c r="D80" s="982" t="s">
        <v>424</v>
      </c>
      <c r="E80" s="364" t="s">
        <v>425</v>
      </c>
      <c r="F80" s="42"/>
      <c r="G80" s="42"/>
      <c r="H80" s="991"/>
      <c r="I80" s="309"/>
      <c r="J80" s="1912"/>
      <c r="K80" s="3448"/>
      <c r="L80" s="3426"/>
      <c r="M80" s="2764" t="s">
        <v>420</v>
      </c>
      <c r="N80" s="1256"/>
      <c r="O80" s="1257" t="e">
        <f ca="1">NUMBERSTRING(INT(O79*10000),2)&amp;"元整"</f>
        <v>#VALUE!</v>
      </c>
      <c r="P80" s="1258"/>
      <c r="Q80" s="1912"/>
      <c r="R80" s="1912"/>
      <c r="S80" s="1912"/>
      <c r="T80" s="1912"/>
      <c r="U80" s="1912"/>
      <c r="V80" s="1912"/>
    </row>
    <row r="81" spans="1:26" ht="13.8" thickBot="1">
      <c r="A81" s="375" t="s">
        <v>1814</v>
      </c>
      <c r="B81" s="365" t="s">
        <v>426</v>
      </c>
      <c r="C81" s="366" t="e">
        <f ca="1">ROUND((C82+C83)/(1+'数据-取费表'!C42),0)</f>
        <v>#REF!</v>
      </c>
      <c r="D81" s="367"/>
      <c r="E81" s="368"/>
      <c r="F81" s="42"/>
      <c r="G81" s="42"/>
      <c r="H81" s="991"/>
      <c r="I81" s="309"/>
      <c r="J81" s="1912"/>
      <c r="K81" s="2759">
        <f>K79+1</f>
        <v>7</v>
      </c>
      <c r="L81" s="3424" t="s">
        <v>2866</v>
      </c>
      <c r="M81" s="3425"/>
      <c r="N81" s="1260"/>
      <c r="O81" s="1261" t="e">
        <f ca="1">ROUND(O79*10000/'数据-汇总表'!E3,0)</f>
        <v>#VALUE!</v>
      </c>
      <c r="P81" s="1262"/>
      <c r="Q81" s="1912"/>
      <c r="R81" s="1912"/>
      <c r="S81" s="1912"/>
      <c r="T81" s="1912"/>
      <c r="U81" s="1912"/>
      <c r="V81" s="1912"/>
    </row>
    <row r="82" spans="1:26" ht="13.8" thickTop="1">
      <c r="A82" s="369" t="s">
        <v>1815</v>
      </c>
      <c r="B82" s="370" t="s">
        <v>427</v>
      </c>
      <c r="C82" s="371" t="e">
        <f ca="1">D63</f>
        <v>#REF!</v>
      </c>
      <c r="D82" s="372" t="s">
        <v>19</v>
      </c>
      <c r="E82" s="373"/>
      <c r="F82" s="42"/>
      <c r="G82" s="42"/>
      <c r="H82" s="991"/>
      <c r="I82" s="309"/>
      <c r="J82" s="1912"/>
      <c r="K82" s="1912"/>
      <c r="L82" s="1912"/>
      <c r="M82" s="1912"/>
      <c r="N82" s="1912"/>
      <c r="O82" s="1912"/>
      <c r="P82" s="1912"/>
      <c r="Q82" s="1912"/>
      <c r="R82" s="1912"/>
      <c r="S82" s="1912"/>
      <c r="T82" s="1912"/>
      <c r="U82" s="1912"/>
      <c r="V82" s="1912"/>
    </row>
    <row r="83" spans="1:26" ht="13.2">
      <c r="A83" s="369" t="s">
        <v>1816</v>
      </c>
      <c r="B83" s="370" t="s">
        <v>428</v>
      </c>
      <c r="C83" s="374"/>
      <c r="D83" s="372"/>
      <c r="E83" s="373"/>
      <c r="F83" s="42"/>
      <c r="G83" s="42"/>
      <c r="H83" s="991"/>
      <c r="I83" s="309"/>
      <c r="J83" s="1912"/>
      <c r="K83" s="3440" t="s">
        <v>2854</v>
      </c>
      <c r="L83" s="2770" t="s">
        <v>2855</v>
      </c>
      <c r="M83" s="2760" t="e">
        <f>IF(N69&gt;10000,N69*0.5%,IF(AND(N69&gt;1000,N69&lt;=10000),N69*1%,IF(AND(N69&gt;100,N69&lt;=1000),N69*3%,IF(AND(N69&gt;10,N69&lt;=100),N69*5%,N69*8%))))</f>
        <v>#VALUE!</v>
      </c>
      <c r="N83" s="53" t="e">
        <f>ROUND(M83,1)</f>
        <v>#VALUE!</v>
      </c>
      <c r="O83" s="2763"/>
      <c r="P83" s="1912"/>
      <c r="Q83" s="1912"/>
      <c r="R83" s="1912"/>
      <c r="S83" s="1912"/>
      <c r="T83" s="1912"/>
      <c r="U83" s="1912"/>
      <c r="V83" s="1912"/>
    </row>
    <row r="84" spans="1:26" ht="25.2">
      <c r="A84" s="375" t="s">
        <v>1817</v>
      </c>
      <c r="B84" s="376" t="s">
        <v>429</v>
      </c>
      <c r="C84" s="377"/>
      <c r="D84" s="378" t="s">
        <v>19</v>
      </c>
      <c r="E84" s="2788" t="s">
        <v>2909</v>
      </c>
      <c r="F84" s="42"/>
      <c r="G84" s="42"/>
      <c r="H84" s="991"/>
      <c r="I84" s="309"/>
      <c r="J84" s="1912"/>
      <c r="K84" s="3440"/>
      <c r="L84" s="2770" t="s">
        <v>2856</v>
      </c>
      <c r="M84" s="276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2857</v>
      </c>
      <c r="P84" s="1912"/>
      <c r="Q84" s="1912"/>
      <c r="R84" s="1912"/>
      <c r="S84" s="1912"/>
      <c r="T84" s="1912"/>
      <c r="U84" s="1912"/>
      <c r="V84" s="1912"/>
    </row>
    <row r="85" spans="1:26" ht="13.2">
      <c r="A85" s="375" t="s">
        <v>1818</v>
      </c>
      <c r="B85" s="376" t="s">
        <v>430</v>
      </c>
      <c r="C85" s="379" t="e">
        <f ca="1">C81-C84</f>
        <v>#REF!</v>
      </c>
      <c r="D85" s="372" t="s">
        <v>19</v>
      </c>
      <c r="E85" s="373"/>
      <c r="F85" s="42"/>
      <c r="G85" s="42"/>
      <c r="H85" s="991"/>
      <c r="I85" s="309"/>
      <c r="J85" s="1912"/>
      <c r="K85" s="3440"/>
      <c r="L85" s="2770" t="s">
        <v>2858</v>
      </c>
      <c r="M85" s="2760" t="e">
        <f>IF(N69&gt;1000,N69*0.1%,IF(AND(N69&gt;500,N69&lt;=1000),N69*0.5%,IF(AND(N69&gt;50,N69&lt;=500),N69*1%,IF(AND(N69&gt;1,N69&lt;=50),N69*1.5%))))</f>
        <v>#VALUE!</v>
      </c>
      <c r="N85" s="53" t="e">
        <f t="shared" si="2"/>
        <v>#VALUE!</v>
      </c>
      <c r="O85" s="1912" t="s">
        <v>2857</v>
      </c>
      <c r="P85" s="1912"/>
      <c r="Q85" s="1912"/>
      <c r="R85" s="1912"/>
      <c r="S85" s="1912"/>
      <c r="T85" s="1912"/>
      <c r="U85" s="1912"/>
      <c r="V85" s="1912"/>
    </row>
    <row r="86" spans="1:26" ht="13.8" thickBot="1">
      <c r="A86" s="380" t="s">
        <v>1819</v>
      </c>
      <c r="B86" s="381" t="s">
        <v>431</v>
      </c>
      <c r="C86" s="382" t="e">
        <f ca="1">IF(C85&lt;=0,0,ROUND(C85*D86,0))</f>
        <v>#REF!</v>
      </c>
      <c r="D86" s="383">
        <f>'数据-取费表'!B41</f>
        <v>0</v>
      </c>
      <c r="E86" s="384"/>
      <c r="F86" s="42"/>
      <c r="G86" s="42"/>
      <c r="H86" s="991"/>
      <c r="I86" s="309"/>
      <c r="J86" s="1912"/>
      <c r="K86" s="3440"/>
      <c r="L86" s="2770" t="s">
        <v>2859</v>
      </c>
      <c r="M86" s="2760" t="e">
        <f>N69*0.5%</f>
        <v>#VALUE!</v>
      </c>
      <c r="N86" s="53" t="e">
        <f>IF(M86&gt;0.5,0.5,ROUND(M86,0))</f>
        <v>#VALUE!</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0"/>
      <c r="L87" s="2770" t="s">
        <v>2861</v>
      </c>
      <c r="M87" s="276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3"/>
      <c r="P87" s="1912"/>
      <c r="Q87" s="1912"/>
      <c r="R87" s="1912"/>
      <c r="S87" s="1912"/>
      <c r="T87" s="1912"/>
      <c r="U87" s="1912"/>
      <c r="V87" s="1912"/>
      <c r="W87" s="290"/>
      <c r="X87" s="290"/>
      <c r="Y87" s="290"/>
      <c r="Z87" s="290"/>
    </row>
    <row r="88" spans="1:26" s="1268" customFormat="1" ht="14.4" thickBot="1">
      <c r="A88" s="3419" t="s">
        <v>432</v>
      </c>
      <c r="B88" s="3420"/>
      <c r="C88" s="3420"/>
      <c r="D88" s="3420"/>
      <c r="E88" s="3420"/>
      <c r="F88" s="3420"/>
      <c r="G88" s="3420"/>
      <c r="H88" s="3420"/>
      <c r="I88" s="1269"/>
      <c r="J88" s="1920"/>
      <c r="K88" s="3440"/>
      <c r="L88" s="2770" t="s">
        <v>2862</v>
      </c>
      <c r="M88" s="2760" t="e">
        <f>IF(N69&gt;10000,N69*0.5%,IF(AND(N69&gt;5000,N69&lt;=10000),N69*1%,IF(AND(N69&gt;1000,N69&lt;=5000),N69*2%,IF(AND(N69&gt;200,N69&lt;=1000),N69*3%,N69*5%))))</f>
        <v>#VALUE!</v>
      </c>
      <c r="N88" s="53" t="e">
        <f>ROUND(M88,1)</f>
        <v>#VALUE!</v>
      </c>
      <c r="O88" s="2763"/>
      <c r="P88" s="1917"/>
      <c r="Q88" s="1917"/>
      <c r="R88" s="1917"/>
      <c r="S88" s="1917"/>
      <c r="T88" s="1917"/>
      <c r="U88" s="1917"/>
      <c r="V88" s="1917"/>
      <c r="W88" s="1921"/>
      <c r="X88" s="1921"/>
      <c r="Y88" s="1921"/>
      <c r="Z88" s="1921"/>
    </row>
    <row r="89" spans="1:26" s="1268" customFormat="1" ht="13.8">
      <c r="A89" s="3394" t="s">
        <v>423</v>
      </c>
      <c r="B89" s="3395"/>
      <c r="C89" s="982"/>
      <c r="D89" s="982" t="s">
        <v>424</v>
      </c>
      <c r="E89" s="385" t="s">
        <v>433</v>
      </c>
      <c r="F89" s="386"/>
      <c r="G89" s="386"/>
      <c r="H89" s="387"/>
      <c r="I89" s="1270"/>
      <c r="J89" s="1922"/>
      <c r="K89" s="3440"/>
      <c r="L89" s="2770" t="s">
        <v>27</v>
      </c>
      <c r="M89" s="2761"/>
      <c r="N89" s="53" t="e">
        <f>ROUND(SUM(N83:N88),0)</f>
        <v>#VALUE!</v>
      </c>
      <c r="O89" s="2771" t="e">
        <f>N89/N69</f>
        <v>#VALUE!</v>
      </c>
      <c r="P89" s="1917"/>
      <c r="Q89" s="1917"/>
      <c r="R89" s="1917"/>
      <c r="S89" s="1917"/>
      <c r="T89" s="1917"/>
      <c r="U89" s="1917"/>
      <c r="V89" s="1917"/>
      <c r="W89" s="1921"/>
      <c r="X89" s="1921"/>
      <c r="Y89" s="1921"/>
      <c r="Z89" s="1921"/>
    </row>
    <row r="90" spans="1:26" s="1268" customFormat="1" ht="13.8">
      <c r="A90" s="375" t="s">
        <v>1814</v>
      </c>
      <c r="B90" s="376" t="s">
        <v>434</v>
      </c>
      <c r="C90" s="379" t="e">
        <f ca="1">ROUND(D63/(1+'数据-取费表'!C42),0)</f>
        <v>#REF!</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3.8">
      <c r="A91" s="375" t="s">
        <v>1820</v>
      </c>
      <c r="B91" s="346" t="s">
        <v>435</v>
      </c>
      <c r="C91" s="379" t="e">
        <f ca="1">C92+C96</f>
        <v>#REF!</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4">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76" t="s">
        <v>441</v>
      </c>
      <c r="F94" s="3375"/>
      <c r="G94" s="3375"/>
      <c r="H94" s="3418"/>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t="e">
        <f ca="1">ROUND(D63*D96/(1+'数据-取费表'!C42),0)</f>
        <v>#REF!</v>
      </c>
      <c r="D96" s="400">
        <f>'数据-取费表'!B43</f>
        <v>0</v>
      </c>
      <c r="E96" s="3410" t="s">
        <v>2413</v>
      </c>
      <c r="F96" s="3411"/>
      <c r="G96" s="3411"/>
      <c r="H96" s="3412"/>
      <c r="I96" s="1271"/>
      <c r="J96" s="1923"/>
      <c r="K96" s="1917"/>
      <c r="L96" s="1917"/>
      <c r="M96" s="1917"/>
      <c r="N96" s="1917"/>
      <c r="O96" s="1917"/>
      <c r="P96" s="1917"/>
      <c r="Q96" s="1917"/>
      <c r="R96" s="1917"/>
      <c r="S96" s="1917"/>
      <c r="T96" s="1917"/>
      <c r="U96" s="1917"/>
      <c r="V96" s="1917"/>
      <c r="W96" s="1921"/>
      <c r="X96" s="1921"/>
      <c r="Y96" s="1921"/>
      <c r="Z96" s="1921"/>
    </row>
    <row r="97" spans="1:26" s="1268" customFormat="1" ht="13.8">
      <c r="A97" s="1546" t="s">
        <v>1826</v>
      </c>
      <c r="B97" s="376" t="s">
        <v>445</v>
      </c>
      <c r="C97" s="379" t="e">
        <f ca="1">C90-C91</f>
        <v>#REF!</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6" thickBot="1">
      <c r="A99" s="1547" t="s">
        <v>1828</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4.4" thickBot="1">
      <c r="A101" s="3419" t="s">
        <v>448</v>
      </c>
      <c r="B101" s="3420"/>
      <c r="C101" s="3420"/>
      <c r="D101" s="3420"/>
      <c r="E101" s="3420"/>
      <c r="F101" s="3420"/>
      <c r="G101" s="3420"/>
      <c r="H101" s="3420"/>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3.8">
      <c r="A102" s="3394" t="s">
        <v>423</v>
      </c>
      <c r="B102" s="3395"/>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3.8">
      <c r="A103" s="375" t="s">
        <v>1814</v>
      </c>
      <c r="B103" s="376" t="s">
        <v>434</v>
      </c>
      <c r="C103" s="379" t="e">
        <f ca="1">ROUND(D63/(1+'数据-取费表'!C42),0)</f>
        <v>#REF!</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3.8">
      <c r="A104" s="375" t="s">
        <v>1820</v>
      </c>
      <c r="B104" s="346" t="s">
        <v>435</v>
      </c>
      <c r="C104" s="379" t="e">
        <f ca="1">IF(H106="仅含出让金",C105+C108+C109+C110+C111+C112,C105+C109+C110+C111+C112)</f>
        <v>#REF!</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3.8">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4">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3.8">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4">
      <c r="A108" s="389" t="s">
        <v>1825</v>
      </c>
      <c r="B108" s="370" t="s">
        <v>454</v>
      </c>
      <c r="C108" s="410"/>
      <c r="D108" s="400"/>
      <c r="E108" s="411" t="str">
        <f>IF(H106="-","土地取得成本中已包含该笔费用"," ")</f>
        <v xml:space="preserve"> </v>
      </c>
      <c r="F108" s="974"/>
      <c r="G108" s="3370" t="s">
        <v>2963</v>
      </c>
      <c r="H108" s="3371"/>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3" t="s">
        <v>456</v>
      </c>
      <c r="F109" s="3411"/>
      <c r="G109" s="3411"/>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13" t="s">
        <v>458</v>
      </c>
      <c r="F110" s="3411"/>
      <c r="G110" s="3411"/>
      <c r="H110" s="3412"/>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t="e">
        <f ca="1">ROUND(D63*D111/(1+'数据-取费表'!C42),0)</f>
        <v>#REF!</v>
      </c>
      <c r="D111" s="400">
        <f>'数据-取费表'!B43</f>
        <v>0</v>
      </c>
      <c r="E111" s="3410" t="s">
        <v>2413</v>
      </c>
      <c r="F111" s="3411"/>
      <c r="G111" s="3411"/>
      <c r="H111" s="3412"/>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3" t="s">
        <v>2436</v>
      </c>
      <c r="F112" s="3411"/>
      <c r="G112" s="3411"/>
      <c r="H112" s="3412"/>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3.8">
      <c r="A113" s="1546" t="s">
        <v>1826</v>
      </c>
      <c r="B113" s="376" t="s">
        <v>445</v>
      </c>
      <c r="C113" s="379" t="e">
        <f ca="1">ROUND(C103-C104,0)</f>
        <v>#REF!</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6" thickBot="1">
      <c r="A115" s="1547" t="s">
        <v>1828</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640625" defaultRowHeight="13.2"/>
  <cols>
    <col min="1" max="1" width="9.77734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11.66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31" s="1925" customFormat="1" ht="21">
      <c r="A1" s="1986" t="s">
        <v>460</v>
      </c>
      <c r="B1" s="2527"/>
      <c r="C1" s="1987"/>
      <c r="D1" s="1987"/>
      <c r="E1" s="1987"/>
      <c r="F1" s="1987"/>
      <c r="G1" s="1987"/>
      <c r="H1" s="1987"/>
      <c r="I1" s="1987"/>
      <c r="J1" s="1987"/>
      <c r="K1" s="416">
        <f>MATCH(B1,'数据-取费表'!A6:A16,0)+5</f>
        <v>6</v>
      </c>
      <c r="L1" s="290"/>
      <c r="M1" s="290"/>
      <c r="N1" s="290"/>
      <c r="O1" s="290"/>
      <c r="P1" s="290"/>
      <c r="Q1" s="290"/>
      <c r="R1" s="290"/>
      <c r="S1" s="290"/>
      <c r="T1" s="290"/>
      <c r="U1" s="290"/>
      <c r="V1" s="290"/>
      <c r="W1" s="290"/>
      <c r="X1" s="290"/>
      <c r="Y1" s="290"/>
      <c r="Z1" s="290"/>
    </row>
    <row r="2" spans="1:31" s="1925" customFormat="1" ht="18" customHeight="1">
      <c r="A2" s="1984" t="s">
        <v>461</v>
      </c>
      <c r="B2" s="1988" t="e">
        <f ca="1">C36</f>
        <v>#DIV/0!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#DIV/0!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4.4">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0</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0</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0</v>
      </c>
      <c r="D23" s="462"/>
      <c r="E23" s="462"/>
      <c r="F23" s="2574">
        <f>'数据-取费表'!B37</f>
        <v>0</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ROUND(C6*F24,0)</f>
        <v>0</v>
      </c>
      <c r="D24" s="469"/>
      <c r="E24" s="467"/>
      <c r="F24" s="2574">
        <f>'数据-取费表'!B38</f>
        <v>0</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0</v>
      </c>
      <c r="D25" s="456" t="s">
        <v>2809</v>
      </c>
      <c r="E25" s="463"/>
      <c r="F25" s="2574">
        <f>IF(项目基本情况!B8="出让",0,'数据-取费表'!B48+'数据-取费表'!B49)</f>
        <v>0</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0</v>
      </c>
      <c r="D26" s="461">
        <f ca="1">C27</f>
        <v>0</v>
      </c>
      <c r="E26" s="463" t="s">
        <v>489</v>
      </c>
      <c r="F26" s="465">
        <f ca="1">'数据-取费表'!B40</f>
        <v>0</v>
      </c>
      <c r="G26" s="2425" t="str">
        <f>IF('数据-取费表'!B22&lt;=1,"单利计息。","复利计息。")&amp;"后续开发成本、管理费用及销售费用产生的利息。"</f>
        <v>单利计息。后续开发成本、管理费用及销售费用产生的利息。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v>
      </c>
      <c r="D27" s="466"/>
      <c r="E27" s="467"/>
      <c r="F27" s="468"/>
      <c r="G27" s="2425" t="str">
        <f>IF('数据-取费表'!B22&lt;=1,"（1+取得税费率/(1+5%)）×年利率×建设期","（1+取得税费率）/(1+5%)×((1+年利率)^建设期-1)")</f>
        <v>（1+取得税费率/(1+5%)）×年利率×建设期</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0</v>
      </c>
      <c r="D28" s="466"/>
      <c r="E28" s="467"/>
      <c r="F28" s="468"/>
      <c r="G28" s="2425" t="str">
        <f>IF('数据-取费表'!B22&lt;=1,"（1）-（4）项×年利率×建设期÷2","（1）-（4）项×((1+年利率)^(建设期÷2)-1)")</f>
        <v>（1）-（4）项×年利率×建设期÷2</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0</v>
      </c>
      <c r="D29" s="462"/>
      <c r="E29" s="462"/>
      <c r="F29" s="2751">
        <f>'数据-取费表'!B41</f>
        <v>0</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0</v>
      </c>
      <c r="D30" s="471">
        <f ca="1">C32</f>
        <v>0</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t="e">
        <f ca="1">C35</f>
        <v>#DIV/0!</v>
      </c>
      <c r="D33" s="461" t="e">
        <f ca="1">C34</f>
        <v>#DIV/0!</v>
      </c>
      <c r="E33" s="463" t="s">
        <v>489</v>
      </c>
      <c r="F33" s="473" t="e">
        <f ca="1">IF(B1="",'数据-取费表'!Q16,INDIRECT("'数据-取费表'!q"&amp;$K$1))</f>
        <v>#DIV/0!</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t="e">
        <f ca="1">ROUND((1+C25)*F33,4)</f>
        <v>#DIV/0!</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t="e">
        <f ca="1">ROUND((C18+C19+C20+C23+C24)*F33,0)</f>
        <v>#DIV/0!</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t="e">
        <f ca="1">ROUND((C6-C30-C33)/(1+D30+D33),0)</f>
        <v>#DIV/0!</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9.441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41" s="1925" customFormat="1" ht="21">
      <c r="A1" s="415" t="s">
        <v>460</v>
      </c>
      <c r="B1" s="2527"/>
      <c r="C1" s="1987"/>
      <c r="D1" s="1987"/>
      <c r="E1" s="1987"/>
      <c r="F1" s="1987"/>
      <c r="G1" s="1987"/>
      <c r="H1" s="1987"/>
      <c r="I1" s="1987"/>
      <c r="J1" s="1987"/>
      <c r="K1" s="416">
        <f>MATCH(B1,'数据-取费表'!A6:A16,0)+5</f>
        <v>6</v>
      </c>
      <c r="L1" s="290"/>
      <c r="M1" s="290"/>
      <c r="N1" s="290"/>
      <c r="O1" s="290"/>
      <c r="P1" s="290"/>
      <c r="Q1" s="290"/>
      <c r="R1" s="290"/>
      <c r="S1" s="290"/>
      <c r="T1" s="290"/>
      <c r="U1" s="290"/>
      <c r="V1" s="290"/>
      <c r="W1" s="290"/>
      <c r="X1" s="290"/>
      <c r="Y1" s="290"/>
      <c r="Z1" s="290"/>
    </row>
    <row r="2" spans="1:41" s="1925" customFormat="1" ht="18" customHeight="1">
      <c r="A2" s="417" t="s">
        <v>461</v>
      </c>
      <c r="B2" s="418" t="e">
        <f ca="1">C32</f>
        <v>#DIV/0!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#DIV/0!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#DIV/0!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#DIV/0!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4.4">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0</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v>
      </c>
      <c r="D20" s="463" t="s">
        <v>499</v>
      </c>
      <c r="E20" s="463"/>
      <c r="F20" s="480">
        <f>'数据-取费表'!B38</f>
        <v>0</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0</v>
      </c>
      <c r="D21" s="461">
        <f ca="1">C23</f>
        <v>0</v>
      </c>
      <c r="E21" s="463" t="s">
        <v>501</v>
      </c>
      <c r="F21" s="465">
        <f ca="1">'数据-取费表'!B40</f>
        <v>0</v>
      </c>
      <c r="G21" s="1281" t="str">
        <f>IF('数据-取费表'!B22&lt;=1,"单利计息。","复利计息。")&amp;"建造成本、管理费用及销售费用产生的利息。"</f>
        <v>单利计息。建造成本、管理费用及销售费用产生的利息。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0</v>
      </c>
      <c r="D22" s="466"/>
      <c r="E22" s="467"/>
      <c r="F22" s="468"/>
      <c r="G22" s="2421" t="str">
        <f>IF('数据-取费表'!B22&lt;=1,"((1)+(2))×年利率×建设期÷2","((1)+(2))×((1+年利率)^(建设期÷2)-1)")</f>
        <v>((1)+(2))×年利率×建设期÷2</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0</v>
      </c>
      <c r="D23" s="466"/>
      <c r="E23" s="467"/>
      <c r="F23" s="468"/>
      <c r="G23" s="2421" t="str">
        <f>IF('数据-取费表'!B22&lt;=1,"销售费用率×年利率×建设期÷2","销售费用率×((1+年利率)^(建设期÷2)-1)")</f>
        <v>销售费用率×年利率×建设期÷2</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t="e">
        <f ca="1">C25</f>
        <v>#DIV/0!</v>
      </c>
      <c r="D24" s="483" t="e">
        <f ca="1">C26</f>
        <v>#DIV/0!</v>
      </c>
      <c r="E24" s="463" t="s">
        <v>501</v>
      </c>
      <c r="F24" s="473" t="e">
        <f ca="1">IF(B1="",'数据-取费表'!Q16,INDIRECT("'数据-取费表'!q"&amp;$K$1))</f>
        <v>#DIV/0!</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t="e">
        <f ca="1">ROUND((C18+C19)*F24,0)</f>
        <v>#DIV/0!</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t="e">
        <f ca="1">ROUND(F20*F24,4)</f>
        <v>#DIV/0!</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0</v>
      </c>
      <c r="D27" s="456" t="s">
        <v>2810</v>
      </c>
      <c r="E27" s="456"/>
      <c r="F27" s="460">
        <f>'数据-取费表'!B41</f>
        <v>0</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t="e">
        <f ca="1">ROUND((C18+C19+C21+C24)/(1-C20-D21-D24-C27),0)</f>
        <v>#DIV/0!</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t="e">
        <f ca="1">ROUND(C28*C29,0)</f>
        <v>#DIV/0!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4" customWidth="1"/>
    <col min="2" max="2" width="10.77734375" style="1584" customWidth="1"/>
    <col min="3" max="4" width="11.6640625" style="1584" customWidth="1"/>
    <col min="5" max="5" width="6.6640625" style="1584" customWidth="1"/>
    <col min="6" max="16384" width="9" style="1584"/>
  </cols>
  <sheetData>
    <row r="36" spans="1:9">
      <c r="A36" s="1583" t="s">
        <v>1892</v>
      </c>
      <c r="B36" s="1583" t="s">
        <v>1893</v>
      </c>
    </row>
    <row r="37" spans="1:9" ht="28.5" customHeight="1">
      <c r="A37" s="1583"/>
      <c r="B37" s="3279" t="str">
        <f>项目基本情况!B1</f>
        <v>出让国有建设用地使用权预评估</v>
      </c>
      <c r="C37" s="3279"/>
      <c r="D37" s="3279"/>
      <c r="E37" s="3279"/>
      <c r="F37" s="3279"/>
      <c r="G37" s="3279"/>
      <c r="H37" s="3279"/>
      <c r="I37" s="3279"/>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3.8"/>
  <cols>
    <col min="1" max="1" width="15.6640625" style="1291" customWidth="1"/>
    <col min="2" max="2" width="15.77734375" style="1291" customWidth="1"/>
    <col min="3" max="3" width="15.21875" style="1291" customWidth="1"/>
    <col min="4" max="4" width="12.21875" style="1291" customWidth="1"/>
    <col min="5" max="5" width="16.109375" style="1291" customWidth="1"/>
    <col min="6" max="6" width="12.21875" style="1291" customWidth="1"/>
    <col min="7" max="7" width="15.6640625" style="1291" customWidth="1"/>
    <col min="8" max="8" width="12.21875" style="1291" customWidth="1"/>
    <col min="9" max="9" width="15.66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1">
      <c r="A6" s="506" t="s">
        <v>515</v>
      </c>
      <c r="B6" s="507"/>
      <c r="C6" s="3461" t="s">
        <v>516</v>
      </c>
      <c r="D6" s="3462"/>
      <c r="E6" s="3461" t="s">
        <v>517</v>
      </c>
      <c r="F6" s="3462"/>
      <c r="G6" s="3461" t="s">
        <v>518</v>
      </c>
      <c r="H6" s="3462"/>
      <c r="I6" s="3461" t="s">
        <v>519</v>
      </c>
      <c r="J6" s="3462"/>
      <c r="K6" s="508" t="s">
        <v>520</v>
      </c>
      <c r="L6" s="2016"/>
      <c r="M6" s="2015"/>
      <c r="N6" s="2015"/>
      <c r="O6" s="2017"/>
      <c r="P6" s="3463" t="s">
        <v>521</v>
      </c>
      <c r="Q6" s="3464"/>
      <c r="R6" s="3469" t="s">
        <v>517</v>
      </c>
      <c r="S6" s="3470"/>
      <c r="T6" s="3469" t="s">
        <v>518</v>
      </c>
      <c r="U6" s="3470"/>
      <c r="V6" s="3456" t="s">
        <v>519</v>
      </c>
      <c r="W6" s="3456"/>
      <c r="X6" s="1502"/>
      <c r="Y6" s="3469" t="s">
        <v>521</v>
      </c>
      <c r="Z6" s="3470"/>
      <c r="AA6" s="3458" t="s">
        <v>517</v>
      </c>
      <c r="AB6" s="3459" t="s">
        <v>518</v>
      </c>
      <c r="AC6" s="3458" t="s">
        <v>519</v>
      </c>
    </row>
    <row r="7" spans="1:30" ht="21">
      <c r="A7" s="509"/>
      <c r="B7" s="510"/>
      <c r="C7" s="3477" t="s">
        <v>2898</v>
      </c>
      <c r="D7" s="3478"/>
      <c r="E7" s="3477" t="s">
        <v>2899</v>
      </c>
      <c r="F7" s="3478"/>
      <c r="G7" s="3477" t="s">
        <v>2900</v>
      </c>
      <c r="H7" s="3478"/>
      <c r="I7" s="3477" t="s">
        <v>2901</v>
      </c>
      <c r="J7" s="3478"/>
      <c r="K7" s="508"/>
      <c r="L7" s="2016"/>
      <c r="M7" s="2015"/>
      <c r="N7" s="2015"/>
      <c r="O7" s="2017"/>
      <c r="P7" s="3465"/>
      <c r="Q7" s="3466"/>
      <c r="R7" s="3471"/>
      <c r="S7" s="3472"/>
      <c r="T7" s="3471"/>
      <c r="U7" s="3472"/>
      <c r="V7" s="3456"/>
      <c r="W7" s="3456"/>
      <c r="X7" s="1502"/>
      <c r="Y7" s="3471"/>
      <c r="Z7" s="3472"/>
      <c r="AA7" s="3459"/>
      <c r="AB7" s="3459"/>
      <c r="AC7" s="3459"/>
    </row>
    <row r="8" spans="1:30" ht="21.6" thickBot="1">
      <c r="A8" s="509"/>
      <c r="B8" s="510"/>
      <c r="C8" s="3479" t="s">
        <v>2902</v>
      </c>
      <c r="D8" s="3480"/>
      <c r="E8" s="3479" t="s">
        <v>2902</v>
      </c>
      <c r="F8" s="3480"/>
      <c r="G8" s="3475" t="s">
        <v>2902</v>
      </c>
      <c r="H8" s="3476"/>
      <c r="I8" s="3475" t="s">
        <v>2902</v>
      </c>
      <c r="J8" s="3476"/>
      <c r="K8" s="508" t="s">
        <v>522</v>
      </c>
      <c r="L8" s="2016"/>
      <c r="M8" s="2015"/>
      <c r="N8" s="2015"/>
      <c r="O8" s="2017"/>
      <c r="P8" s="3467"/>
      <c r="Q8" s="3468"/>
      <c r="R8" s="3471"/>
      <c r="S8" s="3472"/>
      <c r="T8" s="3473"/>
      <c r="U8" s="3474"/>
      <c r="V8" s="3456"/>
      <c r="W8" s="3456"/>
      <c r="X8" s="1502"/>
      <c r="Y8" s="3473"/>
      <c r="Z8" s="3474"/>
      <c r="AA8" s="3460"/>
      <c r="AB8" s="3460"/>
      <c r="AC8" s="3460"/>
    </row>
    <row r="9" spans="1:30" s="1203" customFormat="1" ht="21.6" thickBot="1">
      <c r="A9" s="2630"/>
      <c r="B9" s="2637" t="s">
        <v>523</v>
      </c>
      <c r="C9" s="2629">
        <f>'数据-取费表'!B2</f>
        <v>0</v>
      </c>
      <c r="D9" s="514">
        <v>100</v>
      </c>
      <c r="E9" s="515"/>
      <c r="F9" s="516">
        <f>SUMIF(72:72,YEAR(E9)&amp;"-"&amp;INT((MONTH(E9)+2)/3),73:73)</f>
        <v>100</v>
      </c>
      <c r="G9" s="517"/>
      <c r="H9" s="514">
        <f>SUMIF(72:72,YEAR(G9)&amp;"-"&amp;INT((MONTH(G9)+2)/3),73:73)</f>
        <v>100</v>
      </c>
      <c r="I9" s="517"/>
      <c r="J9" s="514">
        <f>SUMIF(72:72,YEAR(I9)&amp;"-"&amp;INT((MONTH(I9)+2)/3),73:73)</f>
        <v>100</v>
      </c>
      <c r="K9" s="518"/>
      <c r="L9" s="2018"/>
      <c r="M9" s="2015"/>
      <c r="N9" s="2015"/>
      <c r="O9" s="2019"/>
      <c r="P9" s="3486" t="s">
        <v>524</v>
      </c>
      <c r="Q9" s="3488"/>
      <c r="R9" s="1503" t="s">
        <v>8</v>
      </c>
      <c r="S9" s="1504">
        <f t="shared" ref="S9:S17" si="0">F9</f>
        <v>100</v>
      </c>
      <c r="T9" s="1503" t="s">
        <v>8</v>
      </c>
      <c r="U9" s="1504">
        <f t="shared" ref="U9:U17" si="1">H9</f>
        <v>100</v>
      </c>
      <c r="V9" s="1503" t="s">
        <v>8</v>
      </c>
      <c r="W9" s="1504">
        <f t="shared" ref="W9:W17" si="2">J9</f>
        <v>100</v>
      </c>
      <c r="X9" s="1505"/>
      <c r="Y9" s="3486" t="s">
        <v>524</v>
      </c>
      <c r="Z9" s="3487"/>
      <c r="AA9" s="1506">
        <f>D9/F9</f>
        <v>1</v>
      </c>
      <c r="AB9" s="1506">
        <f>D9/H9</f>
        <v>1</v>
      </c>
      <c r="AC9" s="1506">
        <f>D9/J9</f>
        <v>1</v>
      </c>
    </row>
    <row r="10" spans="1:30" s="1203" customFormat="1" ht="21.6"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86" t="s">
        <v>527</v>
      </c>
      <c r="Q10" s="3487"/>
      <c r="R10" s="1503" t="s">
        <v>8</v>
      </c>
      <c r="S10" s="1504">
        <f t="shared" si="0"/>
        <v>0</v>
      </c>
      <c r="T10" s="1503" t="s">
        <v>8</v>
      </c>
      <c r="U10" s="1504">
        <f t="shared" si="1"/>
        <v>0</v>
      </c>
      <c r="V10" s="1503" t="s">
        <v>8</v>
      </c>
      <c r="W10" s="1504">
        <f t="shared" si="2"/>
        <v>0</v>
      </c>
      <c r="X10" s="1505"/>
      <c r="Y10" s="3486" t="s">
        <v>527</v>
      </c>
      <c r="Z10" s="3487"/>
      <c r="AA10" s="1506" t="e">
        <f t="shared" ref="AA10:AA47" si="3">D10/F10</f>
        <v>#DIV/0!</v>
      </c>
      <c r="AB10" s="1506" t="e">
        <f t="shared" ref="AB10:AB47" si="4">D10/H10</f>
        <v>#DIV/0!</v>
      </c>
      <c r="AC10" s="1506" t="e">
        <f t="shared" ref="AC10:AC47" si="5">D10/J10</f>
        <v>#DIV/0!</v>
      </c>
    </row>
    <row r="11" spans="1:30" s="1203" customFormat="1" ht="21">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55" t="s">
        <v>529</v>
      </c>
      <c r="Q11" s="1134" t="str">
        <f t="shared" ref="Q11:Q17" si="6">B11</f>
        <v>用途</v>
      </c>
      <c r="R11" s="1503" t="s">
        <v>8</v>
      </c>
      <c r="S11" s="1504">
        <f t="shared" si="0"/>
        <v>100</v>
      </c>
      <c r="T11" s="1503" t="s">
        <v>8</v>
      </c>
      <c r="U11" s="1504">
        <f t="shared" si="1"/>
        <v>100</v>
      </c>
      <c r="V11" s="1503" t="s">
        <v>8</v>
      </c>
      <c r="W11" s="1504">
        <f t="shared" si="2"/>
        <v>100</v>
      </c>
      <c r="X11" s="1505"/>
      <c r="Y11" s="3401" t="s">
        <v>530</v>
      </c>
      <c r="Z11" s="1133" t="str">
        <f t="shared" ref="Z11:Z17" si="7">Q11</f>
        <v>用途</v>
      </c>
      <c r="AA11" s="1506">
        <f t="shared" si="3"/>
        <v>1</v>
      </c>
      <c r="AB11" s="1506">
        <f t="shared" si="4"/>
        <v>1</v>
      </c>
      <c r="AC11" s="1506">
        <f t="shared" si="5"/>
        <v>1</v>
      </c>
    </row>
    <row r="12" spans="1:30" s="1292" customFormat="1" ht="28.8">
      <c r="A12" s="2633"/>
      <c r="B12" s="2638" t="s">
        <v>2738</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55"/>
      <c r="Q12" s="1134" t="str">
        <f t="shared" si="6"/>
        <v>土地使用年限（年）</v>
      </c>
      <c r="R12" s="1503" t="s">
        <v>8</v>
      </c>
      <c r="S12" s="1504" t="e">
        <f t="shared" si="0"/>
        <v>#DIV/0!</v>
      </c>
      <c r="T12" s="1503" t="s">
        <v>8</v>
      </c>
      <c r="U12" s="1504" t="e">
        <f t="shared" si="1"/>
        <v>#DIV/0!</v>
      </c>
      <c r="V12" s="1503" t="s">
        <v>8</v>
      </c>
      <c r="W12" s="1504" t="e">
        <f t="shared" si="2"/>
        <v>#DIV/0!</v>
      </c>
      <c r="X12" s="1505"/>
      <c r="Y12" s="3401"/>
      <c r="Z12" s="1133" t="str">
        <f t="shared" si="7"/>
        <v>土地使用年限（年）</v>
      </c>
      <c r="AA12" s="1506" t="e">
        <f t="shared" si="3"/>
        <v>#DIV/0!</v>
      </c>
      <c r="AB12" s="1506" t="e">
        <f t="shared" si="4"/>
        <v>#DIV/0!</v>
      </c>
      <c r="AC12" s="1506" t="e">
        <f t="shared" si="5"/>
        <v>#DIV/0!</v>
      </c>
    </row>
    <row r="13" spans="1:30" ht="21">
      <c r="A13" s="2634"/>
      <c r="B13" s="2638"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55"/>
      <c r="Q13" s="1134" t="str">
        <f t="shared" si="6"/>
        <v>容积率</v>
      </c>
      <c r="R13" s="1503" t="s">
        <v>8</v>
      </c>
      <c r="S13" s="1504" t="e">
        <f t="shared" si="0"/>
        <v>#N/A</v>
      </c>
      <c r="T13" s="1503" t="s">
        <v>8</v>
      </c>
      <c r="U13" s="1504" t="e">
        <f t="shared" si="1"/>
        <v>#N/A</v>
      </c>
      <c r="V13" s="1503" t="s">
        <v>8</v>
      </c>
      <c r="W13" s="1504" t="e">
        <f t="shared" si="2"/>
        <v>#N/A</v>
      </c>
      <c r="X13" s="1505"/>
      <c r="Y13" s="3401"/>
      <c r="Z13" s="1133" t="str">
        <f t="shared" si="7"/>
        <v>容积率</v>
      </c>
      <c r="AA13" s="1506" t="e">
        <f t="shared" si="3"/>
        <v>#N/A</v>
      </c>
      <c r="AB13" s="1506" t="e">
        <f t="shared" si="4"/>
        <v>#N/A</v>
      </c>
      <c r="AC13" s="1506" t="e">
        <f t="shared" si="5"/>
        <v>#N/A</v>
      </c>
    </row>
    <row r="14" spans="1:30" s="1203" customFormat="1" ht="21">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55"/>
      <c r="Q14" s="1134" t="str">
        <f t="shared" si="6"/>
        <v>配建</v>
      </c>
      <c r="R14" s="1503" t="s">
        <v>8</v>
      </c>
      <c r="S14" s="1504">
        <f t="shared" si="0"/>
        <v>100</v>
      </c>
      <c r="T14" s="1503" t="s">
        <v>8</v>
      </c>
      <c r="U14" s="1504">
        <f t="shared" si="1"/>
        <v>100</v>
      </c>
      <c r="V14" s="1503" t="s">
        <v>8</v>
      </c>
      <c r="W14" s="1504">
        <f t="shared" si="2"/>
        <v>100</v>
      </c>
      <c r="X14" s="1505"/>
      <c r="Y14" s="3401"/>
      <c r="Z14" s="1133" t="str">
        <f t="shared" si="7"/>
        <v>配建</v>
      </c>
      <c r="AA14" s="1506">
        <f>D14/F14</f>
        <v>1</v>
      </c>
      <c r="AB14" s="1506">
        <f>D14/H14</f>
        <v>1</v>
      </c>
      <c r="AC14" s="1506">
        <f>D14/J14</f>
        <v>1</v>
      </c>
    </row>
    <row r="15" spans="1:30" ht="2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55"/>
      <c r="Q15" s="1134">
        <f t="shared" si="6"/>
        <v>111</v>
      </c>
      <c r="R15" s="1503" t="s">
        <v>8</v>
      </c>
      <c r="S15" s="1504">
        <f t="shared" si="0"/>
        <v>100</v>
      </c>
      <c r="T15" s="1503" t="s">
        <v>8</v>
      </c>
      <c r="U15" s="1504">
        <f t="shared" si="1"/>
        <v>100</v>
      </c>
      <c r="V15" s="1503" t="s">
        <v>8</v>
      </c>
      <c r="W15" s="1504">
        <f t="shared" si="2"/>
        <v>100</v>
      </c>
      <c r="X15" s="1505"/>
      <c r="Y15" s="3401"/>
      <c r="Z15" s="1133">
        <f t="shared" si="7"/>
        <v>111</v>
      </c>
      <c r="AA15" s="1506">
        <f>D15/F15</f>
        <v>1</v>
      </c>
      <c r="AB15" s="1506">
        <f>D15/H15</f>
        <v>1</v>
      </c>
      <c r="AC15" s="1506">
        <f>D15/J15</f>
        <v>1</v>
      </c>
    </row>
    <row r="16" spans="1:30" ht="21.6"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55"/>
      <c r="Q16" s="1134">
        <f t="shared" si="6"/>
        <v>111</v>
      </c>
      <c r="R16" s="1503" t="s">
        <v>8</v>
      </c>
      <c r="S16" s="1504">
        <f t="shared" si="0"/>
        <v>100</v>
      </c>
      <c r="T16" s="1503" t="s">
        <v>8</v>
      </c>
      <c r="U16" s="1504">
        <f t="shared" si="1"/>
        <v>100</v>
      </c>
      <c r="V16" s="1503" t="s">
        <v>8</v>
      </c>
      <c r="W16" s="1504">
        <f t="shared" si="2"/>
        <v>100</v>
      </c>
      <c r="X16" s="1505"/>
      <c r="Y16" s="3401"/>
      <c r="Z16" s="1133">
        <f t="shared" si="7"/>
        <v>111</v>
      </c>
      <c r="AA16" s="1506">
        <f>D16/F16</f>
        <v>1</v>
      </c>
      <c r="AB16" s="1506">
        <f>D16/H16</f>
        <v>1</v>
      </c>
      <c r="AC16" s="1506">
        <f>D16/J16</f>
        <v>1</v>
      </c>
    </row>
    <row r="17" spans="1:29" ht="96.6">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89" t="s">
        <v>534</v>
      </c>
      <c r="Q17" s="1507" t="str">
        <f t="shared" si="6"/>
        <v>居住社区成熟度</v>
      </c>
      <c r="R17" s="1508" t="s">
        <v>8</v>
      </c>
      <c r="S17" s="1509">
        <f t="shared" si="0"/>
        <v>100</v>
      </c>
      <c r="T17" s="1508" t="s">
        <v>8</v>
      </c>
      <c r="U17" s="1509">
        <f t="shared" si="1"/>
        <v>100</v>
      </c>
      <c r="V17" s="1508" t="s">
        <v>8</v>
      </c>
      <c r="W17" s="1509">
        <f t="shared" si="2"/>
        <v>100</v>
      </c>
      <c r="X17" s="1502"/>
      <c r="Y17" s="3489" t="s">
        <v>534</v>
      </c>
      <c r="Z17" s="1510" t="str">
        <f t="shared" si="7"/>
        <v>居住社区成熟度</v>
      </c>
      <c r="AA17" s="1511">
        <f t="shared" si="3"/>
        <v>1</v>
      </c>
      <c r="AB17" s="1511">
        <f t="shared" si="4"/>
        <v>1</v>
      </c>
      <c r="AC17" s="1511">
        <f t="shared" si="5"/>
        <v>1</v>
      </c>
    </row>
    <row r="18" spans="1:29" ht="21">
      <c r="A18" s="526"/>
      <c r="B18" s="547"/>
      <c r="C18" s="548"/>
      <c r="D18" s="551"/>
      <c r="E18" s="552"/>
      <c r="F18" s="549"/>
      <c r="G18" s="550"/>
      <c r="H18" s="553"/>
      <c r="I18" s="552"/>
      <c r="J18" s="549"/>
      <c r="K18" s="525"/>
      <c r="L18" s="2025"/>
      <c r="M18" s="2015"/>
      <c r="N18" s="2015"/>
      <c r="O18" s="2024"/>
      <c r="P18" s="3490"/>
      <c r="Q18" s="1507"/>
      <c r="R18" s="1508"/>
      <c r="S18" s="1509"/>
      <c r="T18" s="1508"/>
      <c r="U18" s="1509"/>
      <c r="V18" s="1508"/>
      <c r="W18" s="1509"/>
      <c r="X18" s="1502"/>
      <c r="Y18" s="3490"/>
      <c r="Z18" s="1510"/>
      <c r="AA18" s="1511">
        <v>1</v>
      </c>
      <c r="AB18" s="1511">
        <v>1</v>
      </c>
      <c r="AC18" s="1511">
        <v>1</v>
      </c>
    </row>
    <row r="19" spans="1:29" ht="69">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0"/>
      <c r="Q19" s="1507" t="str">
        <f>B19</f>
        <v>商业繁华度</v>
      </c>
      <c r="R19" s="1508" t="s">
        <v>8</v>
      </c>
      <c r="S19" s="1509">
        <f>F19</f>
        <v>100</v>
      </c>
      <c r="T19" s="1508" t="s">
        <v>8</v>
      </c>
      <c r="U19" s="1509">
        <f>H19</f>
        <v>100</v>
      </c>
      <c r="V19" s="1508" t="s">
        <v>8</v>
      </c>
      <c r="W19" s="1509">
        <f>J19</f>
        <v>100</v>
      </c>
      <c r="X19" s="1502"/>
      <c r="Y19" s="3490"/>
      <c r="Z19" s="1510" t="str">
        <f>Q19</f>
        <v>商业繁华度</v>
      </c>
      <c r="AA19" s="1511">
        <f t="shared" si="3"/>
        <v>1</v>
      </c>
      <c r="AB19" s="1511">
        <f t="shared" si="4"/>
        <v>1</v>
      </c>
      <c r="AC19" s="1511">
        <f t="shared" si="5"/>
        <v>1</v>
      </c>
    </row>
    <row r="20" spans="1:29" ht="21">
      <c r="A20" s="526"/>
      <c r="B20" s="560"/>
      <c r="C20" s="561"/>
      <c r="D20" s="557"/>
      <c r="E20" s="563"/>
      <c r="F20" s="553"/>
      <c r="G20" s="562"/>
      <c r="H20" s="549"/>
      <c r="I20" s="563"/>
      <c r="J20" s="549"/>
      <c r="K20" s="525"/>
      <c r="L20" s="2025"/>
      <c r="M20" s="2015"/>
      <c r="N20" s="2015"/>
      <c r="O20" s="2024"/>
      <c r="P20" s="3490"/>
      <c r="Q20" s="1507"/>
      <c r="R20" s="1508"/>
      <c r="S20" s="1509"/>
      <c r="T20" s="1508"/>
      <c r="U20" s="1509"/>
      <c r="V20" s="1508"/>
      <c r="W20" s="1509"/>
      <c r="X20" s="1502"/>
      <c r="Y20" s="3490"/>
      <c r="Z20" s="1510"/>
      <c r="AA20" s="1511">
        <v>1</v>
      </c>
      <c r="AB20" s="1511">
        <v>1</v>
      </c>
      <c r="AC20" s="1511">
        <v>1</v>
      </c>
    </row>
    <row r="21" spans="1:29" ht="69">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0"/>
      <c r="Q21" s="1507" t="str">
        <f>B21</f>
        <v>办公集聚程度</v>
      </c>
      <c r="R21" s="1508" t="s">
        <v>8</v>
      </c>
      <c r="S21" s="1509">
        <f>F21</f>
        <v>100</v>
      </c>
      <c r="T21" s="1508" t="s">
        <v>8</v>
      </c>
      <c r="U21" s="1509">
        <f>H21</f>
        <v>100</v>
      </c>
      <c r="V21" s="1508" t="s">
        <v>8</v>
      </c>
      <c r="W21" s="1509">
        <f>J21</f>
        <v>100</v>
      </c>
      <c r="X21" s="1502"/>
      <c r="Y21" s="3490"/>
      <c r="Z21" s="1510" t="str">
        <f>Q21</f>
        <v>办公集聚程度</v>
      </c>
      <c r="AA21" s="1511">
        <f t="shared" si="3"/>
        <v>1</v>
      </c>
      <c r="AB21" s="1511">
        <f t="shared" si="4"/>
        <v>1</v>
      </c>
      <c r="AC21" s="1511">
        <f t="shared" si="5"/>
        <v>1</v>
      </c>
    </row>
    <row r="22" spans="1:29" ht="21">
      <c r="A22" s="526"/>
      <c r="B22" s="560"/>
      <c r="C22" s="548"/>
      <c r="D22" s="551"/>
      <c r="E22" s="552"/>
      <c r="F22" s="549"/>
      <c r="G22" s="550"/>
      <c r="H22" s="549"/>
      <c r="I22" s="552"/>
      <c r="J22" s="549"/>
      <c r="K22" s="525"/>
      <c r="L22" s="2025"/>
      <c r="M22" s="2015"/>
      <c r="N22" s="2015"/>
      <c r="O22" s="2024"/>
      <c r="P22" s="3490"/>
      <c r="Q22" s="1507"/>
      <c r="R22" s="1508"/>
      <c r="S22" s="1509"/>
      <c r="T22" s="1508"/>
      <c r="U22" s="1509"/>
      <c r="V22" s="1508"/>
      <c r="W22" s="1509"/>
      <c r="X22" s="1502"/>
      <c r="Y22" s="3490"/>
      <c r="Z22" s="1510"/>
      <c r="AA22" s="1511">
        <v>1</v>
      </c>
      <c r="AB22" s="1511">
        <v>1</v>
      </c>
      <c r="AC22" s="1511">
        <v>1</v>
      </c>
    </row>
    <row r="23" spans="1:29" ht="82.8">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0"/>
      <c r="Q23" s="1507" t="str">
        <f>B23</f>
        <v>交通便捷度</v>
      </c>
      <c r="R23" s="1508" t="s">
        <v>8</v>
      </c>
      <c r="S23" s="1509">
        <f>F23</f>
        <v>100</v>
      </c>
      <c r="T23" s="1508" t="s">
        <v>8</v>
      </c>
      <c r="U23" s="1509">
        <f>H23</f>
        <v>100</v>
      </c>
      <c r="V23" s="1508" t="s">
        <v>8</v>
      </c>
      <c r="W23" s="1509">
        <f>J23</f>
        <v>100</v>
      </c>
      <c r="X23" s="1502"/>
      <c r="Y23" s="3490"/>
      <c r="Z23" s="1510" t="str">
        <f>Q23</f>
        <v>交通便捷度</v>
      </c>
      <c r="AA23" s="1511">
        <f t="shared" si="3"/>
        <v>1</v>
      </c>
      <c r="AB23" s="1511">
        <f t="shared" si="4"/>
        <v>1</v>
      </c>
      <c r="AC23" s="1511">
        <f t="shared" si="5"/>
        <v>1</v>
      </c>
    </row>
    <row r="24" spans="1:29" ht="21">
      <c r="A24" s="526"/>
      <c r="B24" s="572"/>
      <c r="C24" s="548"/>
      <c r="D24" s="551"/>
      <c r="E24" s="552"/>
      <c r="F24" s="549"/>
      <c r="G24" s="550"/>
      <c r="H24" s="549"/>
      <c r="I24" s="552"/>
      <c r="J24" s="549"/>
      <c r="K24" s="525"/>
      <c r="L24" s="2025"/>
      <c r="M24" s="2015"/>
      <c r="N24" s="2015"/>
      <c r="O24" s="2024"/>
      <c r="P24" s="3490"/>
      <c r="Q24" s="1507"/>
      <c r="R24" s="1508"/>
      <c r="S24" s="1509"/>
      <c r="T24" s="1508"/>
      <c r="U24" s="1509"/>
      <c r="V24" s="1508"/>
      <c r="W24" s="1509"/>
      <c r="X24" s="1502"/>
      <c r="Y24" s="3490"/>
      <c r="Z24" s="1510"/>
      <c r="AA24" s="1511">
        <v>1</v>
      </c>
      <c r="AB24" s="1511">
        <v>1</v>
      </c>
      <c r="AC24" s="1511">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0"/>
      <c r="Q25" s="1507" t="str">
        <f t="shared" ref="Q25:Q39" si="8">B25</f>
        <v>区域土地利用方向</v>
      </c>
      <c r="R25" s="1508" t="s">
        <v>8</v>
      </c>
      <c r="S25" s="1509">
        <f>F25</f>
        <v>100</v>
      </c>
      <c r="T25" s="1508" t="s">
        <v>8</v>
      </c>
      <c r="U25" s="1509">
        <f>H25</f>
        <v>100</v>
      </c>
      <c r="V25" s="1508" t="s">
        <v>8</v>
      </c>
      <c r="W25" s="1509">
        <f>J25</f>
        <v>100</v>
      </c>
      <c r="X25" s="1502"/>
      <c r="Y25" s="3490"/>
      <c r="Z25" s="1510" t="str">
        <f>Q25</f>
        <v>区域土地利用方向</v>
      </c>
      <c r="AA25" s="1511">
        <f t="shared" si="3"/>
        <v>1</v>
      </c>
      <c r="AB25" s="1511">
        <f t="shared" si="4"/>
        <v>1</v>
      </c>
      <c r="AC25" s="1511">
        <f t="shared" si="5"/>
        <v>1</v>
      </c>
    </row>
    <row r="26" spans="1:29" ht="21">
      <c r="A26" s="509"/>
      <c r="B26" s="994"/>
      <c r="C26" s="548"/>
      <c r="D26" s="551"/>
      <c r="E26" s="552"/>
      <c r="F26" s="549"/>
      <c r="G26" s="550"/>
      <c r="H26" s="549"/>
      <c r="I26" s="552"/>
      <c r="J26" s="549"/>
      <c r="K26" s="525"/>
      <c r="L26" s="2025"/>
      <c r="M26" s="2015"/>
      <c r="N26" s="2015"/>
      <c r="O26" s="2024"/>
      <c r="P26" s="3490"/>
      <c r="Q26" s="1507"/>
      <c r="R26" s="1508"/>
      <c r="S26" s="1509"/>
      <c r="T26" s="1508"/>
      <c r="U26" s="1509"/>
      <c r="V26" s="1508"/>
      <c r="W26" s="1509"/>
      <c r="X26" s="1502"/>
      <c r="Y26" s="3490"/>
      <c r="Z26" s="1510"/>
      <c r="AA26" s="1511"/>
      <c r="AB26" s="1511"/>
      <c r="AC26" s="1511"/>
    </row>
    <row r="27" spans="1:29" ht="55.2">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0"/>
      <c r="Q27" s="1507" t="str">
        <f t="shared" si="8"/>
        <v>自然及人文环境状况</v>
      </c>
      <c r="R27" s="1508" t="s">
        <v>8</v>
      </c>
      <c r="S27" s="1509">
        <f>F27</f>
        <v>100</v>
      </c>
      <c r="T27" s="1508" t="s">
        <v>8</v>
      </c>
      <c r="U27" s="1509">
        <f>H27</f>
        <v>100</v>
      </c>
      <c r="V27" s="1508" t="s">
        <v>8</v>
      </c>
      <c r="W27" s="1509">
        <f>J27</f>
        <v>100</v>
      </c>
      <c r="X27" s="1502"/>
      <c r="Y27" s="3490"/>
      <c r="Z27" s="1510" t="str">
        <f>Q27</f>
        <v>自然及人文环境状况</v>
      </c>
      <c r="AA27" s="1511">
        <f t="shared" si="3"/>
        <v>1</v>
      </c>
      <c r="AB27" s="1511">
        <f t="shared" si="4"/>
        <v>1</v>
      </c>
      <c r="AC27" s="1511">
        <f t="shared" si="5"/>
        <v>1</v>
      </c>
    </row>
    <row r="28" spans="1:29" ht="21">
      <c r="A28" s="509"/>
      <c r="B28" s="560"/>
      <c r="C28" s="548"/>
      <c r="D28" s="551"/>
      <c r="E28" s="570"/>
      <c r="F28" s="549"/>
      <c r="G28" s="548"/>
      <c r="H28" s="549"/>
      <c r="I28" s="570"/>
      <c r="J28" s="549"/>
      <c r="K28" s="525"/>
      <c r="L28" s="2025"/>
      <c r="M28" s="2015"/>
      <c r="N28" s="2015"/>
      <c r="O28" s="2024"/>
      <c r="P28" s="3490"/>
      <c r="Q28" s="1507"/>
      <c r="R28" s="1508"/>
      <c r="S28" s="1509"/>
      <c r="T28" s="1508"/>
      <c r="U28" s="1509"/>
      <c r="V28" s="1508"/>
      <c r="W28" s="1509"/>
      <c r="X28" s="1502"/>
      <c r="Y28" s="3490"/>
      <c r="Z28" s="1510"/>
      <c r="AA28" s="1511">
        <v>1</v>
      </c>
      <c r="AB28" s="1511">
        <v>1</v>
      </c>
      <c r="AC28" s="1511">
        <v>1</v>
      </c>
    </row>
    <row r="29" spans="1:29" s="1203" customFormat="1" ht="41.4">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0"/>
      <c r="Q29" s="1134" t="str">
        <f t="shared" si="8"/>
        <v>公共配套设施</v>
      </c>
      <c r="R29" s="1503" t="s">
        <v>8</v>
      </c>
      <c r="S29" s="1504">
        <f>F29</f>
        <v>100</v>
      </c>
      <c r="T29" s="1503" t="s">
        <v>8</v>
      </c>
      <c r="U29" s="1504">
        <f>H29</f>
        <v>100</v>
      </c>
      <c r="V29" s="1503" t="s">
        <v>8</v>
      </c>
      <c r="W29" s="1504">
        <f>J29</f>
        <v>100</v>
      </c>
      <c r="X29" s="1505"/>
      <c r="Y29" s="3490"/>
      <c r="Z29" s="1133" t="str">
        <f>Q29</f>
        <v>公共配套设施</v>
      </c>
      <c r="AA29" s="1511">
        <f>D29/F29</f>
        <v>1</v>
      </c>
      <c r="AB29" s="1511">
        <f>D29/H29</f>
        <v>1</v>
      </c>
      <c r="AC29" s="1511">
        <f>D29/J29</f>
        <v>1</v>
      </c>
    </row>
    <row r="30" spans="1:29" s="1203" customFormat="1" ht="21">
      <c r="A30" s="571"/>
      <c r="B30" s="560"/>
      <c r="C30" s="573"/>
      <c r="D30" s="551"/>
      <c r="E30" s="570"/>
      <c r="F30" s="549"/>
      <c r="G30" s="548"/>
      <c r="H30" s="549"/>
      <c r="I30" s="570"/>
      <c r="J30" s="549"/>
      <c r="K30" s="525"/>
      <c r="L30" s="2018"/>
      <c r="M30" s="2015"/>
      <c r="N30" s="2015"/>
      <c r="O30" s="2020"/>
      <c r="P30" s="3490"/>
      <c r="Q30" s="1134"/>
      <c r="R30" s="1503"/>
      <c r="S30" s="1504"/>
      <c r="T30" s="1503"/>
      <c r="U30" s="1504"/>
      <c r="V30" s="1503"/>
      <c r="W30" s="1504"/>
      <c r="X30" s="1505"/>
      <c r="Y30" s="3490"/>
      <c r="Z30" s="1133"/>
      <c r="AA30" s="1511">
        <v>1</v>
      </c>
      <c r="AB30" s="1511">
        <v>1</v>
      </c>
      <c r="AC30" s="1511">
        <v>1</v>
      </c>
    </row>
    <row r="31" spans="1:29" s="1203" customFormat="1" ht="27.6">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0"/>
      <c r="Q31" s="2429" t="str">
        <f t="shared" ref="Q31" si="9">B31</f>
        <v>基础设施水平</v>
      </c>
      <c r="R31" s="1503" t="s">
        <v>8</v>
      </c>
      <c r="S31" s="1504">
        <f>F31</f>
        <v>100</v>
      </c>
      <c r="T31" s="1503" t="s">
        <v>8</v>
      </c>
      <c r="U31" s="1504">
        <f>H31</f>
        <v>100</v>
      </c>
      <c r="V31" s="1503" t="s">
        <v>8</v>
      </c>
      <c r="W31" s="1504">
        <f>J31</f>
        <v>100</v>
      </c>
      <c r="X31" s="1505"/>
      <c r="Y31" s="3490"/>
      <c r="Z31" s="2428" t="str">
        <f>Q31</f>
        <v>基础设施水平</v>
      </c>
      <c r="AA31" s="1511">
        <f>D31/F31</f>
        <v>1</v>
      </c>
      <c r="AB31" s="1511">
        <f>D31/H31</f>
        <v>1</v>
      </c>
      <c r="AC31" s="1511">
        <f>D31/J31</f>
        <v>1</v>
      </c>
    </row>
    <row r="32" spans="1:29" s="1203" customFormat="1" ht="21">
      <c r="A32" s="571"/>
      <c r="B32" s="560"/>
      <c r="C32" s="573"/>
      <c r="D32" s="551"/>
      <c r="E32" s="2437"/>
      <c r="F32" s="549"/>
      <c r="G32" s="573"/>
      <c r="H32" s="549"/>
      <c r="I32" s="573"/>
      <c r="J32" s="549"/>
      <c r="K32" s="525"/>
      <c r="L32" s="2018"/>
      <c r="M32" s="2015"/>
      <c r="N32" s="2015"/>
      <c r="O32" s="2020"/>
      <c r="P32" s="3490"/>
      <c r="Q32" s="2429"/>
      <c r="R32" s="1503"/>
      <c r="S32" s="1504"/>
      <c r="T32" s="1503"/>
      <c r="U32" s="1504"/>
      <c r="V32" s="1503"/>
      <c r="W32" s="1504"/>
      <c r="X32" s="1505"/>
      <c r="Y32" s="3490"/>
      <c r="Z32" s="2428"/>
      <c r="AA32" s="1511">
        <v>1</v>
      </c>
      <c r="AB32" s="1511">
        <v>1</v>
      </c>
      <c r="AC32" s="1511">
        <v>1</v>
      </c>
    </row>
    <row r="33" spans="1:29" ht="2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0"/>
      <c r="Z33" s="1510" t="str">
        <f t="shared" ref="Z33:Z47" si="13">Q33</f>
        <v>临街状况</v>
      </c>
      <c r="AA33" s="1511">
        <f t="shared" si="3"/>
        <v>1</v>
      </c>
      <c r="AB33" s="1511">
        <f t="shared" si="4"/>
        <v>1</v>
      </c>
      <c r="AC33" s="1511">
        <f t="shared" si="5"/>
        <v>1</v>
      </c>
    </row>
    <row r="34" spans="1:29" ht="28.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0"/>
      <c r="Q34" s="1507" t="str">
        <f t="shared" si="8"/>
        <v>毗邻道路的类型与等级</v>
      </c>
      <c r="R34" s="1508" t="s">
        <v>8</v>
      </c>
      <c r="S34" s="1509">
        <f t="shared" si="10"/>
        <v>100</v>
      </c>
      <c r="T34" s="1508" t="s">
        <v>8</v>
      </c>
      <c r="U34" s="1509">
        <f t="shared" si="11"/>
        <v>100</v>
      </c>
      <c r="V34" s="1508" t="s">
        <v>8</v>
      </c>
      <c r="W34" s="1509">
        <f t="shared" si="12"/>
        <v>100</v>
      </c>
      <c r="X34" s="1502"/>
      <c r="Y34" s="3490"/>
      <c r="Z34" s="1510" t="str">
        <f t="shared" si="13"/>
        <v>毗邻道路的类型与等级</v>
      </c>
      <c r="AA34" s="1511">
        <f t="shared" si="3"/>
        <v>1</v>
      </c>
      <c r="AB34" s="1511">
        <f t="shared" si="4"/>
        <v>1</v>
      </c>
      <c r="AC34" s="1511">
        <f t="shared" si="5"/>
        <v>1</v>
      </c>
    </row>
    <row r="35" spans="1:29" ht="21">
      <c r="A35" s="526"/>
      <c r="B35" s="560"/>
      <c r="C35" s="548"/>
      <c r="D35" s="551"/>
      <c r="E35" s="570"/>
      <c r="F35" s="549"/>
      <c r="G35" s="548"/>
      <c r="H35" s="549"/>
      <c r="I35" s="570"/>
      <c r="J35" s="549"/>
      <c r="K35" s="575"/>
      <c r="L35" s="2025"/>
      <c r="M35" s="2015"/>
      <c r="N35" s="2015"/>
      <c r="O35" s="2024"/>
      <c r="P35" s="3490"/>
      <c r="Q35" s="1507"/>
      <c r="R35" s="1508"/>
      <c r="S35" s="1509"/>
      <c r="T35" s="1508"/>
      <c r="U35" s="1509"/>
      <c r="V35" s="1508"/>
      <c r="W35" s="1509"/>
      <c r="X35" s="1502"/>
      <c r="Y35" s="3490"/>
      <c r="Z35" s="1510"/>
      <c r="AA35" s="1511">
        <v>1</v>
      </c>
      <c r="AB35" s="1511">
        <v>1</v>
      </c>
      <c r="AC35" s="1511">
        <v>1</v>
      </c>
    </row>
    <row r="36" spans="1:29" ht="2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0"/>
      <c r="Q36" s="1507" t="str">
        <f t="shared" si="8"/>
        <v>土地级别</v>
      </c>
      <c r="R36" s="1508" t="s">
        <v>8</v>
      </c>
      <c r="S36" s="1509">
        <f t="shared" si="10"/>
        <v>100</v>
      </c>
      <c r="T36" s="1508" t="s">
        <v>8</v>
      </c>
      <c r="U36" s="1509">
        <f t="shared" si="11"/>
        <v>100</v>
      </c>
      <c r="V36" s="1508" t="s">
        <v>8</v>
      </c>
      <c r="W36" s="1509">
        <f t="shared" si="12"/>
        <v>100</v>
      </c>
      <c r="X36" s="1502"/>
      <c r="Y36" s="3490"/>
      <c r="Z36" s="1510" t="str">
        <f t="shared" si="13"/>
        <v>土地级别</v>
      </c>
      <c r="AA36" s="1511">
        <f t="shared" si="3"/>
        <v>1</v>
      </c>
      <c r="AB36" s="1511">
        <f t="shared" si="4"/>
        <v>1</v>
      </c>
      <c r="AC36" s="1511">
        <f t="shared" si="5"/>
        <v>1</v>
      </c>
    </row>
    <row r="37" spans="1:29" ht="2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0"/>
      <c r="Q37" s="1507">
        <f t="shared" si="8"/>
        <v>111</v>
      </c>
      <c r="R37" s="1508" t="s">
        <v>8</v>
      </c>
      <c r="S37" s="1509">
        <f t="shared" si="10"/>
        <v>100</v>
      </c>
      <c r="T37" s="1508" t="s">
        <v>8</v>
      </c>
      <c r="U37" s="1509">
        <f t="shared" si="11"/>
        <v>100</v>
      </c>
      <c r="V37" s="1508" t="s">
        <v>8</v>
      </c>
      <c r="W37" s="1509">
        <f t="shared" si="12"/>
        <v>100</v>
      </c>
      <c r="X37" s="1502"/>
      <c r="Y37" s="3490"/>
      <c r="Z37" s="1510">
        <f t="shared" si="13"/>
        <v>111</v>
      </c>
      <c r="AA37" s="1511">
        <f t="shared" si="3"/>
        <v>1</v>
      </c>
      <c r="AB37" s="1511">
        <f t="shared" si="4"/>
        <v>1</v>
      </c>
      <c r="AC37" s="1511">
        <f t="shared" si="5"/>
        <v>1</v>
      </c>
    </row>
    <row r="38" spans="1:29" ht="2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1" t="s">
        <v>544</v>
      </c>
      <c r="Q38" s="1507">
        <f t="shared" si="8"/>
        <v>111</v>
      </c>
      <c r="R38" s="1508" t="s">
        <v>8</v>
      </c>
      <c r="S38" s="1509">
        <f t="shared" si="10"/>
        <v>100</v>
      </c>
      <c r="T38" s="1508" t="s">
        <v>8</v>
      </c>
      <c r="U38" s="1509">
        <f t="shared" si="11"/>
        <v>100</v>
      </c>
      <c r="V38" s="1508" t="s">
        <v>8</v>
      </c>
      <c r="W38" s="1509">
        <f t="shared" si="12"/>
        <v>100</v>
      </c>
      <c r="X38" s="1502"/>
      <c r="Y38" s="3492" t="s">
        <v>544</v>
      </c>
      <c r="Z38" s="1510">
        <f t="shared" si="13"/>
        <v>111</v>
      </c>
      <c r="AA38" s="1511">
        <f t="shared" si="3"/>
        <v>1</v>
      </c>
      <c r="AB38" s="1511">
        <f t="shared" si="4"/>
        <v>1</v>
      </c>
      <c r="AC38" s="1511">
        <f t="shared" si="5"/>
        <v>1</v>
      </c>
    </row>
    <row r="39" spans="1:29" s="1293" customFormat="1" ht="21.6"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2"/>
      <c r="Q39" s="1507">
        <f t="shared" si="8"/>
        <v>111</v>
      </c>
      <c r="R39" s="1512" t="s">
        <v>8</v>
      </c>
      <c r="S39" s="1513">
        <f t="shared" si="10"/>
        <v>100</v>
      </c>
      <c r="T39" s="1512" t="s">
        <v>8</v>
      </c>
      <c r="U39" s="1513">
        <f t="shared" si="11"/>
        <v>100</v>
      </c>
      <c r="V39" s="1512" t="s">
        <v>8</v>
      </c>
      <c r="W39" s="1513">
        <f t="shared" si="12"/>
        <v>100</v>
      </c>
      <c r="X39" s="1514"/>
      <c r="Y39" s="3492"/>
      <c r="Z39" s="1515">
        <f t="shared" si="13"/>
        <v>111</v>
      </c>
      <c r="AA39" s="1511">
        <f t="shared" si="3"/>
        <v>1</v>
      </c>
      <c r="AB39" s="1511">
        <f t="shared" si="4"/>
        <v>1</v>
      </c>
      <c r="AC39" s="1511">
        <f t="shared" si="5"/>
        <v>1</v>
      </c>
    </row>
    <row r="40" spans="1:29" ht="21">
      <c r="A40" s="2625"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92"/>
      <c r="Q40" s="1507" t="str">
        <f>B40</f>
        <v>宗地面积</v>
      </c>
      <c r="R40" s="1508" t="s">
        <v>8</v>
      </c>
      <c r="S40" s="1509" t="e">
        <f t="shared" si="10"/>
        <v>#N/A</v>
      </c>
      <c r="T40" s="1508" t="s">
        <v>8</v>
      </c>
      <c r="U40" s="1509" t="e">
        <f t="shared" si="11"/>
        <v>#N/A</v>
      </c>
      <c r="V40" s="1508" t="s">
        <v>8</v>
      </c>
      <c r="W40" s="1509" t="e">
        <f t="shared" si="12"/>
        <v>#N/A</v>
      </c>
      <c r="X40" s="1502"/>
      <c r="Y40" s="3492"/>
      <c r="Z40" s="1510" t="str">
        <f t="shared" si="13"/>
        <v>宗地面积</v>
      </c>
      <c r="AA40" s="1511" t="e">
        <f t="shared" si="3"/>
        <v>#N/A</v>
      </c>
      <c r="AB40" s="1511" t="e">
        <f t="shared" si="4"/>
        <v>#N/A</v>
      </c>
      <c r="AC40" s="1511" t="e">
        <f t="shared" si="5"/>
        <v>#N/A</v>
      </c>
    </row>
    <row r="41" spans="1:29" ht="21">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92"/>
      <c r="Q41" s="1507" t="str">
        <f t="shared" ref="Q41:Q47" si="14">B41</f>
        <v>宗地形状</v>
      </c>
      <c r="R41" s="1508" t="s">
        <v>8</v>
      </c>
      <c r="S41" s="1509">
        <f t="shared" si="10"/>
        <v>100</v>
      </c>
      <c r="T41" s="1508" t="s">
        <v>8</v>
      </c>
      <c r="U41" s="1509">
        <f t="shared" si="11"/>
        <v>100</v>
      </c>
      <c r="V41" s="1508" t="s">
        <v>8</v>
      </c>
      <c r="W41" s="1509">
        <f t="shared" si="12"/>
        <v>100</v>
      </c>
      <c r="X41" s="1502"/>
      <c r="Y41" s="3492"/>
      <c r="Z41" s="1510" t="str">
        <f t="shared" si="13"/>
        <v>宗地形状</v>
      </c>
      <c r="AA41" s="1511">
        <f t="shared" si="3"/>
        <v>1</v>
      </c>
      <c r="AB41" s="1511">
        <f t="shared" si="4"/>
        <v>1</v>
      </c>
      <c r="AC41" s="1511">
        <f t="shared" si="5"/>
        <v>1</v>
      </c>
    </row>
    <row r="42" spans="1:29" ht="2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92"/>
      <c r="Q42" s="1507" t="str">
        <f t="shared" si="14"/>
        <v>临街宽度及深度</v>
      </c>
      <c r="R42" s="1508" t="s">
        <v>8</v>
      </c>
      <c r="S42" s="1509">
        <f t="shared" si="10"/>
        <v>100</v>
      </c>
      <c r="T42" s="1508" t="s">
        <v>8</v>
      </c>
      <c r="U42" s="1509">
        <f t="shared" si="11"/>
        <v>100</v>
      </c>
      <c r="V42" s="1508" t="s">
        <v>8</v>
      </c>
      <c r="W42" s="1509">
        <f t="shared" si="12"/>
        <v>100</v>
      </c>
      <c r="X42" s="1502"/>
      <c r="Y42" s="3492"/>
      <c r="Z42" s="1510" t="str">
        <f t="shared" si="13"/>
        <v>临街宽度及深度</v>
      </c>
      <c r="AA42" s="1511">
        <f t="shared" si="3"/>
        <v>1</v>
      </c>
      <c r="AB42" s="1511">
        <f t="shared" si="4"/>
        <v>1</v>
      </c>
      <c r="AC42" s="1511">
        <f t="shared" si="5"/>
        <v>1</v>
      </c>
    </row>
    <row r="43" spans="1:29" s="1203" customFormat="1" ht="21">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92"/>
      <c r="Q43" s="1507" t="str">
        <f t="shared" si="14"/>
        <v>宗地开发程度</v>
      </c>
      <c r="R43" s="1503" t="s">
        <v>8</v>
      </c>
      <c r="S43" s="1504">
        <f t="shared" si="10"/>
        <v>100</v>
      </c>
      <c r="T43" s="1503" t="s">
        <v>8</v>
      </c>
      <c r="U43" s="1504">
        <f t="shared" si="11"/>
        <v>100</v>
      </c>
      <c r="V43" s="1503" t="s">
        <v>8</v>
      </c>
      <c r="W43" s="1504">
        <f t="shared" si="12"/>
        <v>100</v>
      </c>
      <c r="X43" s="1505"/>
      <c r="Y43" s="3492"/>
      <c r="Z43" s="1133" t="str">
        <f t="shared" si="13"/>
        <v>宗地开发程度</v>
      </c>
      <c r="AA43" s="1506">
        <f t="shared" si="3"/>
        <v>1</v>
      </c>
      <c r="AB43" s="1506">
        <f t="shared" si="4"/>
        <v>1</v>
      </c>
      <c r="AC43" s="1506">
        <f t="shared" si="5"/>
        <v>1</v>
      </c>
    </row>
    <row r="44" spans="1:29" ht="2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92" t="s">
        <v>544</v>
      </c>
      <c r="Q44" s="1507" t="str">
        <f t="shared" si="14"/>
        <v>工程地质条件</v>
      </c>
      <c r="R44" s="1508" t="s">
        <v>8</v>
      </c>
      <c r="S44" s="1509">
        <f t="shared" si="10"/>
        <v>100</v>
      </c>
      <c r="T44" s="1508" t="s">
        <v>8</v>
      </c>
      <c r="U44" s="1509">
        <f t="shared" si="11"/>
        <v>100</v>
      </c>
      <c r="V44" s="1508" t="s">
        <v>8</v>
      </c>
      <c r="W44" s="1509">
        <f t="shared" si="12"/>
        <v>100</v>
      </c>
      <c r="X44" s="1502"/>
      <c r="Y44" s="3492" t="s">
        <v>544</v>
      </c>
      <c r="Z44" s="1510" t="str">
        <f t="shared" si="13"/>
        <v>工程地质条件</v>
      </c>
      <c r="AA44" s="1511">
        <f t="shared" si="3"/>
        <v>1</v>
      </c>
      <c r="AB44" s="1511">
        <f t="shared" si="4"/>
        <v>1</v>
      </c>
      <c r="AC44" s="1511">
        <f t="shared" si="5"/>
        <v>1</v>
      </c>
    </row>
    <row r="45" spans="1:29" ht="2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2"/>
      <c r="Q45" s="1507">
        <f t="shared" si="14"/>
        <v>111</v>
      </c>
      <c r="R45" s="1508" t="s">
        <v>8</v>
      </c>
      <c r="S45" s="1509">
        <f t="shared" si="10"/>
        <v>100</v>
      </c>
      <c r="T45" s="1508" t="s">
        <v>8</v>
      </c>
      <c r="U45" s="1509">
        <f t="shared" si="11"/>
        <v>100</v>
      </c>
      <c r="V45" s="1508" t="s">
        <v>8</v>
      </c>
      <c r="W45" s="1509">
        <f t="shared" si="12"/>
        <v>100</v>
      </c>
      <c r="X45" s="1502"/>
      <c r="Y45" s="3492"/>
      <c r="Z45" s="1510">
        <f t="shared" si="13"/>
        <v>111</v>
      </c>
      <c r="AA45" s="1511">
        <f t="shared" si="3"/>
        <v>1</v>
      </c>
      <c r="AB45" s="1511">
        <f t="shared" si="4"/>
        <v>1</v>
      </c>
      <c r="AC45" s="1511">
        <f t="shared" si="5"/>
        <v>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2"/>
      <c r="Q46" s="1507">
        <f t="shared" si="14"/>
        <v>111</v>
      </c>
      <c r="R46" s="1508" t="s">
        <v>8</v>
      </c>
      <c r="S46" s="1509">
        <f t="shared" si="10"/>
        <v>100</v>
      </c>
      <c r="T46" s="1508" t="s">
        <v>8</v>
      </c>
      <c r="U46" s="1509">
        <f t="shared" si="11"/>
        <v>100</v>
      </c>
      <c r="V46" s="1508" t="s">
        <v>8</v>
      </c>
      <c r="W46" s="1509">
        <f t="shared" si="12"/>
        <v>100</v>
      </c>
      <c r="X46" s="1502"/>
      <c r="Y46" s="3492"/>
      <c r="Z46" s="1510">
        <f t="shared" si="13"/>
        <v>111</v>
      </c>
      <c r="AA46" s="1511">
        <f t="shared" si="3"/>
        <v>1</v>
      </c>
      <c r="AB46" s="1511">
        <f t="shared" si="4"/>
        <v>1</v>
      </c>
      <c r="AC46" s="1511">
        <f t="shared" si="5"/>
        <v>1</v>
      </c>
    </row>
    <row r="47" spans="1:29" s="1293"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2"/>
      <c r="Q47" s="1507">
        <f t="shared" si="14"/>
        <v>111</v>
      </c>
      <c r="R47" s="1512" t="s">
        <v>8</v>
      </c>
      <c r="S47" s="1513">
        <f t="shared" si="10"/>
        <v>100</v>
      </c>
      <c r="T47" s="1512" t="s">
        <v>8</v>
      </c>
      <c r="U47" s="1513">
        <f t="shared" si="11"/>
        <v>100</v>
      </c>
      <c r="V47" s="1512" t="s">
        <v>8</v>
      </c>
      <c r="W47" s="1513">
        <f t="shared" si="12"/>
        <v>100</v>
      </c>
      <c r="X47" s="1514"/>
      <c r="Y47" s="3492"/>
      <c r="Z47" s="1515">
        <f t="shared" si="13"/>
        <v>111</v>
      </c>
      <c r="AA47" s="1511">
        <f t="shared" si="3"/>
        <v>1</v>
      </c>
      <c r="AB47" s="1511">
        <f t="shared" si="4"/>
        <v>1</v>
      </c>
      <c r="AC47" s="1511">
        <f t="shared" si="5"/>
        <v>1</v>
      </c>
    </row>
    <row r="48" spans="1:29" ht="21">
      <c r="A48" s="601" t="s">
        <v>550</v>
      </c>
      <c r="B48" s="602" t="s">
        <v>2903</v>
      </c>
      <c r="C48" s="603" t="s">
        <v>1</v>
      </c>
      <c r="D48" s="604"/>
      <c r="E48" s="605"/>
      <c r="F48" s="606"/>
      <c r="G48" s="607"/>
      <c r="H48" s="608"/>
      <c r="I48" s="605"/>
      <c r="J48" s="608"/>
      <c r="K48" s="1294"/>
      <c r="L48" s="2027"/>
      <c r="M48" s="2015"/>
      <c r="N48" s="2015"/>
      <c r="O48" s="2028"/>
      <c r="P48" s="3455" t="str">
        <f>A48</f>
        <v>成交单价</v>
      </c>
      <c r="Q48" s="3455"/>
      <c r="R48" s="3456">
        <f>E48</f>
        <v>0</v>
      </c>
      <c r="S48" s="3456"/>
      <c r="T48" s="3456">
        <f>G48</f>
        <v>0</v>
      </c>
      <c r="U48" s="3456"/>
      <c r="V48" s="3456">
        <f>I48</f>
        <v>0</v>
      </c>
      <c r="W48" s="3456"/>
      <c r="X48" s="1497"/>
      <c r="Y48" s="1516"/>
      <c r="Z48" s="1497"/>
      <c r="AA48" s="1497"/>
      <c r="AB48" s="1497"/>
      <c r="AC48" s="1497"/>
    </row>
    <row r="49" spans="1:29" ht="21.6" thickBot="1">
      <c r="A49" s="609" t="s">
        <v>2674</v>
      </c>
      <c r="B49" s="610"/>
      <c r="C49" s="611" t="e">
        <f>R50</f>
        <v>#DIV/0!</v>
      </c>
      <c r="D49" s="3015" t="s">
        <v>2972</v>
      </c>
      <c r="E49" s="611" t="e">
        <f>R49</f>
        <v>#DIV/0!</v>
      </c>
      <c r="F49" s="3016"/>
      <c r="G49" s="612" t="e">
        <f>T49</f>
        <v>#DIV/0!</v>
      </c>
      <c r="H49" s="3016"/>
      <c r="I49" s="611" t="e">
        <f>V49</f>
        <v>#DIV/0!</v>
      </c>
      <c r="J49" s="3016"/>
      <c r="K49" s="3017">
        <f>F49+H49+J49</f>
        <v>0</v>
      </c>
      <c r="L49" s="2027"/>
      <c r="M49" s="2015"/>
      <c r="N49" s="2015"/>
      <c r="O49" s="2028"/>
      <c r="P49" s="3455" t="str">
        <f>A49</f>
        <v>比较价格（元/平方米）</v>
      </c>
      <c r="Q49" s="3455"/>
      <c r="R49" s="3457" t="e">
        <f>ROUND(PRODUCT(R48,AA9:AA47),0)</f>
        <v>#DIV/0!</v>
      </c>
      <c r="S49" s="3457"/>
      <c r="T49" s="3457" t="e">
        <f>ROUND(PRODUCT(T48,AB9:AB47),0)</f>
        <v>#DIV/0!</v>
      </c>
      <c r="U49" s="3457"/>
      <c r="V49" s="3457" t="e">
        <f>ROUND(PRODUCT(V48,AC9:AC47),0)</f>
        <v>#DIV/0!</v>
      </c>
      <c r="W49" s="3457"/>
      <c r="X49" s="1497"/>
      <c r="Y49" s="1497"/>
      <c r="Z49" s="1497"/>
      <c r="AA49" s="1497"/>
      <c r="AB49" s="1497"/>
      <c r="AC49" s="1497"/>
    </row>
    <row r="50" spans="1:29" ht="21.6" thickBot="1">
      <c r="A50" s="613" t="s">
        <v>2904</v>
      </c>
      <c r="B50" s="614"/>
      <c r="C50" s="615" t="e">
        <f>R50</f>
        <v>#DIV/0!</v>
      </c>
      <c r="D50" s="615"/>
      <c r="E50" s="615"/>
      <c r="F50" s="615"/>
      <c r="G50" s="615"/>
      <c r="H50" s="615"/>
      <c r="I50" s="615"/>
      <c r="J50" s="615"/>
      <c r="K50" s="1295"/>
      <c r="L50" s="2027"/>
      <c r="M50" s="2015"/>
      <c r="N50" s="2015"/>
      <c r="O50" s="2028"/>
      <c r="P50" s="3452" t="str">
        <f>A50</f>
        <v>估价对象XX用房的比较价格（楼面单价，元/平方米）</v>
      </c>
      <c r="Q50" s="3453"/>
      <c r="R50" s="3454" t="e">
        <f>ROUND(IF(D49="简单平均",AVERAGE(R49:W49),R49*F49+T49*H49+V49*J49),0)</f>
        <v>#DIV/0!</v>
      </c>
      <c r="S50" s="3454"/>
      <c r="T50" s="3454"/>
      <c r="U50" s="3454"/>
      <c r="V50" s="3454"/>
      <c r="W50" s="3454"/>
      <c r="X50" s="1497"/>
      <c r="Y50" s="1497"/>
      <c r="Z50" s="1497"/>
      <c r="AA50" s="1497"/>
      <c r="AB50" s="1497"/>
      <c r="AC50" s="1497"/>
    </row>
    <row r="51" spans="1:29" ht="21">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1">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6"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1" t="s">
        <v>2269</v>
      </c>
      <c r="H57" s="348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3.2">
      <c r="A58" s="625" t="s">
        <v>558</v>
      </c>
      <c r="B58" s="626" t="e">
        <f>C50</f>
        <v>#DIV/0!</v>
      </c>
      <c r="C58" s="627">
        <v>1</v>
      </c>
      <c r="D58" s="2109">
        <v>1</v>
      </c>
      <c r="E58" s="627">
        <f>'数据-汇总表'!E8+'数据-汇总表'!E9</f>
        <v>0</v>
      </c>
      <c r="F58" s="628" t="e">
        <f t="shared" ref="F58:F67" si="15">ROUND(B58*E58/10000,0)</f>
        <v>#DIV/0!</v>
      </c>
      <c r="G58" s="3483"/>
      <c r="H58" s="3484"/>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559</v>
      </c>
      <c r="B59" s="630" t="e">
        <f>ROUND($C$50*C59*D59,0)</f>
        <v>#DIV/0!</v>
      </c>
      <c r="C59" s="372">
        <f t="shared" ref="C59:C67" si="16">IF($C$57="北京市系数",I59,J59)</f>
        <v>0</v>
      </c>
      <c r="D59" s="2110">
        <v>0.25</v>
      </c>
      <c r="E59" s="631">
        <v>0</v>
      </c>
      <c r="F59" s="628" t="e">
        <f t="shared" si="15"/>
        <v>#DIV/0!</v>
      </c>
      <c r="G59" s="3485"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560</v>
      </c>
      <c r="B60" s="630" t="e">
        <f t="shared" ref="B60:B67" si="17">ROUND($C$50*C60*D60,0)</f>
        <v>#DIV/0!</v>
      </c>
      <c r="C60" s="372">
        <f t="shared" si="16"/>
        <v>0</v>
      </c>
      <c r="D60" s="2110">
        <v>0.25</v>
      </c>
      <c r="E60" s="631">
        <v>0</v>
      </c>
      <c r="F60" s="628" t="e">
        <f t="shared" si="15"/>
        <v>#DIV/0!</v>
      </c>
      <c r="G60" s="3485"/>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561</v>
      </c>
      <c r="B61" s="630" t="e">
        <f t="shared" si="17"/>
        <v>#DIV/0!</v>
      </c>
      <c r="C61" s="372">
        <f t="shared" si="16"/>
        <v>0</v>
      </c>
      <c r="D61" s="2110">
        <v>0.25</v>
      </c>
      <c r="E61" s="631">
        <v>0</v>
      </c>
      <c r="F61" s="628" t="e">
        <f t="shared" si="15"/>
        <v>#DIV/0!</v>
      </c>
      <c r="G61" s="3485"/>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2">
      <c r="A62" s="629" t="s">
        <v>562</v>
      </c>
      <c r="B62" s="630" t="e">
        <f t="shared" si="17"/>
        <v>#DIV/0!</v>
      </c>
      <c r="C62" s="372">
        <f t="shared" si="16"/>
        <v>0</v>
      </c>
      <c r="D62" s="2110">
        <v>0.25</v>
      </c>
      <c r="E62" s="631">
        <v>0</v>
      </c>
      <c r="F62" s="628" t="e">
        <f t="shared" si="15"/>
        <v>#DIV/0!</v>
      </c>
      <c r="G62" s="3485"/>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2">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3.2">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3.2">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3.2">
      <c r="A66" s="629" t="s">
        <v>565</v>
      </c>
      <c r="B66" s="630" t="e">
        <f t="shared" si="17"/>
        <v>#DIV/0!</v>
      </c>
      <c r="C66" s="372">
        <f t="shared" si="16"/>
        <v>0</v>
      </c>
      <c r="D66" s="2110">
        <v>0.25</v>
      </c>
      <c r="E66" s="633">
        <f>'数据-汇总表'!E14</f>
        <v>0</v>
      </c>
      <c r="F66" s="628" t="e">
        <f t="shared" si="15"/>
        <v>#DIV/0!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thickBot="1">
      <c r="A68" s="634" t="s">
        <v>567</v>
      </c>
      <c r="B68" s="635" t="s">
        <v>17</v>
      </c>
      <c r="C68" s="635" t="s">
        <v>18</v>
      </c>
      <c r="D68" s="635" t="s">
        <v>2282</v>
      </c>
      <c r="E68" s="635" t="e">
        <f>IF(B48="楼面地价",SUM(E58:E67),'数据-汇总表'!D3)</f>
        <v>#DIV/0!</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1900-1-1</v>
      </c>
      <c r="D70" s="2517" t="e">
        <f>EDATE(C70,-3)</f>
        <v>#NUM!</v>
      </c>
      <c r="E70" s="2517" t="e">
        <f t="shared" ref="E70:N70" si="18">EDATE(D70,-3)</f>
        <v>#NUM!</v>
      </c>
      <c r="F70" s="2517" t="e">
        <f t="shared" si="18"/>
        <v>#NUM!</v>
      </c>
      <c r="G70" s="2517" t="e">
        <f t="shared" si="18"/>
        <v>#NUM!</v>
      </c>
      <c r="H70" s="2517" t="e">
        <f t="shared" si="18"/>
        <v>#NUM!</v>
      </c>
      <c r="I70" s="2517" t="e">
        <f t="shared" si="18"/>
        <v>#NUM!</v>
      </c>
      <c r="J70" s="2517" t="e">
        <f t="shared" si="18"/>
        <v>#NUM!</v>
      </c>
      <c r="K70" s="2517" t="e">
        <f t="shared" si="18"/>
        <v>#NUM!</v>
      </c>
      <c r="L70" s="2517" t="e">
        <f t="shared" si="18"/>
        <v>#NUM!</v>
      </c>
      <c r="M70" s="2517" t="e">
        <f t="shared" si="18"/>
        <v>#NUM!</v>
      </c>
      <c r="N70" s="2517" t="e">
        <f t="shared" si="18"/>
        <v>#NUM!</v>
      </c>
      <c r="O70" s="2028"/>
      <c r="P70" s="2028"/>
      <c r="Q70" s="2028"/>
      <c r="R70" s="2028"/>
      <c r="S70" s="2028"/>
      <c r="T70" s="2028"/>
      <c r="U70" s="2028"/>
      <c r="V70" s="2028"/>
      <c r="W70" s="2028"/>
      <c r="X70" s="2028"/>
      <c r="Y70" s="2028"/>
      <c r="Z70" s="2028"/>
      <c r="AA70" s="2028"/>
      <c r="AB70" s="2028"/>
      <c r="AC70" s="2028"/>
    </row>
    <row r="71" spans="1:29" ht="22.2"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4.4">
      <c r="A72" s="2422" t="s">
        <v>2514</v>
      </c>
      <c r="B72" s="2423"/>
      <c r="C72" s="2514" t="str">
        <f>YEAR(C70)&amp;"-"&amp;ROUNDUP(MONTH(C70)/3,0)</f>
        <v>1900-1</v>
      </c>
      <c r="D72" s="2519" t="e">
        <f>YEAR(D70)&amp;"-"&amp;ROUNDUP(MONTH(D70)/3,0)</f>
        <v>#NUM!</v>
      </c>
      <c r="E72" s="2519" t="e">
        <f t="shared" ref="E72:N72" si="19">YEAR(E70)&amp;"-"&amp;ROUNDUP(MONTH(E70)/3,0)</f>
        <v>#NUM!</v>
      </c>
      <c r="F72" s="2519" t="e">
        <f t="shared" si="19"/>
        <v>#NUM!</v>
      </c>
      <c r="G72" s="2519" t="e">
        <f t="shared" si="19"/>
        <v>#NUM!</v>
      </c>
      <c r="H72" s="2519" t="e">
        <f t="shared" si="19"/>
        <v>#NUM!</v>
      </c>
      <c r="I72" s="2519" t="e">
        <f t="shared" si="19"/>
        <v>#NUM!</v>
      </c>
      <c r="J72" s="2519" t="e">
        <f t="shared" si="19"/>
        <v>#NUM!</v>
      </c>
      <c r="K72" s="2519" t="e">
        <f t="shared" si="19"/>
        <v>#NUM!</v>
      </c>
      <c r="L72" s="2519" t="e">
        <f t="shared" si="19"/>
        <v>#NUM!</v>
      </c>
      <c r="M72" s="2519" t="e">
        <f t="shared" si="19"/>
        <v>#NUM!</v>
      </c>
      <c r="N72" s="2519" t="e">
        <f t="shared" si="19"/>
        <v>#NUM!</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北京市平均增长率0.00%</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4.4">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4.4"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14.4">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9.4"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4.4"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4.4"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4.4"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4.4"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4.4"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ht="14.4">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4.4"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9.4"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4.4"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9.4"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4.4"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4.4"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4.4"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9.4"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4.4"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4.4"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4.4"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4.4"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14.4">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4.4"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4.4"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4.4"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4.4"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4.4"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4.4"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4.4"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4.4"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4.4"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4.4">
      <c r="A6" s="506" t="s">
        <v>515</v>
      </c>
      <c r="B6" s="507"/>
      <c r="C6" s="3461" t="s">
        <v>516</v>
      </c>
      <c r="D6" s="3462"/>
      <c r="E6" s="3495" t="s">
        <v>517</v>
      </c>
      <c r="F6" s="3496"/>
      <c r="G6" s="3461" t="s">
        <v>518</v>
      </c>
      <c r="H6" s="3462"/>
      <c r="I6" s="3461" t="s">
        <v>519</v>
      </c>
      <c r="J6" s="3462"/>
      <c r="K6" s="508" t="s">
        <v>520</v>
      </c>
      <c r="L6" s="2016"/>
      <c r="M6" s="2017"/>
      <c r="N6" s="2017"/>
      <c r="O6" s="2017"/>
      <c r="P6" s="3463" t="s">
        <v>521</v>
      </c>
      <c r="Q6" s="3464"/>
      <c r="R6" s="3469" t="s">
        <v>517</v>
      </c>
      <c r="S6" s="3470"/>
      <c r="T6" s="3469" t="s">
        <v>518</v>
      </c>
      <c r="U6" s="3470"/>
      <c r="V6" s="3456" t="s">
        <v>519</v>
      </c>
      <c r="W6" s="3456"/>
      <c r="X6" s="1502"/>
      <c r="Y6" s="3469" t="s">
        <v>521</v>
      </c>
      <c r="Z6" s="3470"/>
      <c r="AA6" s="3458" t="s">
        <v>517</v>
      </c>
      <c r="AB6" s="3459" t="s">
        <v>518</v>
      </c>
      <c r="AC6" s="3458" t="s">
        <v>519</v>
      </c>
    </row>
    <row r="7" spans="1:29">
      <c r="A7" s="509"/>
      <c r="B7" s="510"/>
      <c r="C7" s="3477" t="s">
        <v>2898</v>
      </c>
      <c r="D7" s="3478"/>
      <c r="E7" s="3497" t="s">
        <v>2899</v>
      </c>
      <c r="F7" s="3498"/>
      <c r="G7" s="3477" t="s">
        <v>2900</v>
      </c>
      <c r="H7" s="3478"/>
      <c r="I7" s="3477" t="s">
        <v>2901</v>
      </c>
      <c r="J7" s="3478"/>
      <c r="K7" s="508"/>
      <c r="L7" s="2016"/>
      <c r="M7" s="2017"/>
      <c r="N7" s="2017"/>
      <c r="O7" s="2017"/>
      <c r="P7" s="3465"/>
      <c r="Q7" s="3466"/>
      <c r="R7" s="3471"/>
      <c r="S7" s="3472"/>
      <c r="T7" s="3471"/>
      <c r="U7" s="3472"/>
      <c r="V7" s="3456"/>
      <c r="W7" s="3456"/>
      <c r="X7" s="1502"/>
      <c r="Y7" s="3471"/>
      <c r="Z7" s="3472"/>
      <c r="AA7" s="3459"/>
      <c r="AB7" s="3459"/>
      <c r="AC7" s="3459"/>
    </row>
    <row r="8" spans="1:29" ht="15" thickBot="1">
      <c r="A8" s="511"/>
      <c r="B8" s="512"/>
      <c r="C8" s="3475" t="s">
        <v>2902</v>
      </c>
      <c r="D8" s="3476"/>
      <c r="E8" s="3493" t="s">
        <v>2902</v>
      </c>
      <c r="F8" s="3494"/>
      <c r="G8" s="3475" t="s">
        <v>2902</v>
      </c>
      <c r="H8" s="3476"/>
      <c r="I8" s="3475" t="s">
        <v>2902</v>
      </c>
      <c r="J8" s="3476"/>
      <c r="K8" s="508" t="s">
        <v>522</v>
      </c>
      <c r="L8" s="2016"/>
      <c r="M8" s="2017"/>
      <c r="N8" s="2017"/>
      <c r="O8" s="2017"/>
      <c r="P8" s="3467"/>
      <c r="Q8" s="3468"/>
      <c r="R8" s="3471"/>
      <c r="S8" s="3472"/>
      <c r="T8" s="3473"/>
      <c r="U8" s="3474"/>
      <c r="V8" s="3456"/>
      <c r="W8" s="3456"/>
      <c r="X8" s="1502"/>
      <c r="Y8" s="3473"/>
      <c r="Z8" s="3474"/>
      <c r="AA8" s="3460"/>
      <c r="AB8" s="3460"/>
      <c r="AC8" s="3460"/>
    </row>
    <row r="9" spans="1:29" s="1203" customFormat="1" ht="15" thickBot="1">
      <c r="A9" s="2630"/>
      <c r="B9" s="2637" t="s">
        <v>523</v>
      </c>
      <c r="C9" s="513">
        <f>'数据-取费表'!B2</f>
        <v>0</v>
      </c>
      <c r="D9" s="514">
        <v>100</v>
      </c>
      <c r="E9" s="515"/>
      <c r="F9" s="516">
        <f>SUMIF(67:67,YEAR(E9)&amp;"-"&amp;INT((MONTH(E9)+2)/3),68:68)</f>
        <v>100</v>
      </c>
      <c r="G9" s="517"/>
      <c r="H9" s="514">
        <f>SUMIF(67:67,YEAR(G9)&amp;"-"&amp;INT((MONTH(G9)+2)/3),68:68)</f>
        <v>100</v>
      </c>
      <c r="I9" s="517"/>
      <c r="J9" s="514">
        <f>SUMIF(67:67,YEAR(I9)&amp;"-"&amp;INT((MONTH(I9)+2)/3),68:68)</f>
        <v>100</v>
      </c>
      <c r="K9" s="518"/>
      <c r="L9" s="2018"/>
      <c r="M9" s="2019"/>
      <c r="N9" s="2019"/>
      <c r="O9" s="2019"/>
      <c r="P9" s="3486" t="s">
        <v>524</v>
      </c>
      <c r="Q9" s="3488"/>
      <c r="R9" s="1503" t="s">
        <v>8</v>
      </c>
      <c r="S9" s="1504">
        <f t="shared" ref="S9:S17" si="0">F9</f>
        <v>100</v>
      </c>
      <c r="T9" s="1503" t="s">
        <v>8</v>
      </c>
      <c r="U9" s="1504">
        <f t="shared" ref="U9:U17" si="1">H9</f>
        <v>100</v>
      </c>
      <c r="V9" s="1503" t="s">
        <v>8</v>
      </c>
      <c r="W9" s="1504">
        <f t="shared" ref="W9:W17" si="2">J9</f>
        <v>100</v>
      </c>
      <c r="X9" s="1505"/>
      <c r="Y9" s="3486" t="s">
        <v>524</v>
      </c>
      <c r="Z9" s="3487"/>
      <c r="AA9" s="1506">
        <f>D9/F9</f>
        <v>1</v>
      </c>
      <c r="AB9" s="1506">
        <f>D9/H9</f>
        <v>1</v>
      </c>
      <c r="AC9" s="1506">
        <f>D9/J9</f>
        <v>1</v>
      </c>
    </row>
    <row r="10" spans="1:29" s="1203" customFormat="1" ht="1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6" t="s">
        <v>527</v>
      </c>
      <c r="Q10" s="3487"/>
      <c r="R10" s="1503" t="s">
        <v>8</v>
      </c>
      <c r="S10" s="1504">
        <f t="shared" si="0"/>
        <v>0</v>
      </c>
      <c r="T10" s="1503" t="s">
        <v>8</v>
      </c>
      <c r="U10" s="1504">
        <f t="shared" si="1"/>
        <v>0</v>
      </c>
      <c r="V10" s="1503" t="s">
        <v>8</v>
      </c>
      <c r="W10" s="1504">
        <f t="shared" si="2"/>
        <v>0</v>
      </c>
      <c r="X10" s="1505"/>
      <c r="Y10" s="3486" t="s">
        <v>527</v>
      </c>
      <c r="Z10" s="3487"/>
      <c r="AA10" s="1506" t="e">
        <f t="shared" ref="AA10:AA42" si="3">D10/F10</f>
        <v>#DIV/0!</v>
      </c>
      <c r="AB10" s="1506" t="e">
        <f t="shared" ref="AB10:AB42" si="4">D10/H10</f>
        <v>#DIV/0!</v>
      </c>
      <c r="AC10" s="1506" t="e">
        <f t="shared" ref="AC10:AC42" si="5">D10/J10</f>
        <v>#DIV/0!</v>
      </c>
    </row>
    <row r="11" spans="1:29" s="1203" customFormat="1" ht="14.4">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55" t="s">
        <v>529</v>
      </c>
      <c r="Q11" s="1134" t="str">
        <f t="shared" ref="Q11:Q17" si="6">B11</f>
        <v>用途</v>
      </c>
      <c r="R11" s="1503" t="s">
        <v>8</v>
      </c>
      <c r="S11" s="1504">
        <f t="shared" si="0"/>
        <v>100</v>
      </c>
      <c r="T11" s="1503" t="s">
        <v>8</v>
      </c>
      <c r="U11" s="1504">
        <f t="shared" si="1"/>
        <v>100</v>
      </c>
      <c r="V11" s="1503" t="s">
        <v>8</v>
      </c>
      <c r="W11" s="1504">
        <f t="shared" si="2"/>
        <v>100</v>
      </c>
      <c r="X11" s="1505"/>
      <c r="Y11" s="3401" t="s">
        <v>530</v>
      </c>
      <c r="Z11" s="1133" t="str">
        <f t="shared" ref="Z11:Z17" si="7">Q11</f>
        <v>用途</v>
      </c>
      <c r="AA11" s="1506">
        <f t="shared" si="3"/>
        <v>1</v>
      </c>
      <c r="AB11" s="1506">
        <f t="shared" si="4"/>
        <v>1</v>
      </c>
      <c r="AC11" s="1506">
        <f t="shared" si="5"/>
        <v>1</v>
      </c>
    </row>
    <row r="12" spans="1:29" s="1292" customFormat="1" ht="28.8">
      <c r="A12" s="2633"/>
      <c r="B12" s="2638" t="s">
        <v>2738</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55"/>
      <c r="Q12" s="1134" t="str">
        <f t="shared" si="6"/>
        <v>土地使用年限（年）</v>
      </c>
      <c r="R12" s="1503" t="s">
        <v>8</v>
      </c>
      <c r="S12" s="1504" t="e">
        <f t="shared" si="0"/>
        <v>#DIV/0!</v>
      </c>
      <c r="T12" s="1503" t="s">
        <v>8</v>
      </c>
      <c r="U12" s="1504" t="e">
        <f t="shared" si="1"/>
        <v>#DIV/0!</v>
      </c>
      <c r="V12" s="1503" t="s">
        <v>8</v>
      </c>
      <c r="W12" s="1504" t="e">
        <f t="shared" si="2"/>
        <v>#DIV/0!</v>
      </c>
      <c r="X12" s="1505"/>
      <c r="Y12" s="3401"/>
      <c r="Z12" s="1133" t="str">
        <f t="shared" si="7"/>
        <v>土地使用年限（年）</v>
      </c>
      <c r="AA12" s="1506" t="e">
        <f t="shared" si="3"/>
        <v>#DIV/0!</v>
      </c>
      <c r="AB12" s="1506" t="e">
        <f t="shared" si="4"/>
        <v>#DIV/0!</v>
      </c>
      <c r="AC12" s="1506" t="e">
        <f t="shared" si="5"/>
        <v>#DIV/0!</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55"/>
      <c r="Q13" s="1134" t="str">
        <f t="shared" si="6"/>
        <v>容积率</v>
      </c>
      <c r="R13" s="1503" t="s">
        <v>8</v>
      </c>
      <c r="S13" s="1504" t="e">
        <f t="shared" si="0"/>
        <v>#N/A</v>
      </c>
      <c r="T13" s="1503" t="s">
        <v>8</v>
      </c>
      <c r="U13" s="1504" t="e">
        <f t="shared" si="1"/>
        <v>#N/A</v>
      </c>
      <c r="V13" s="1503" t="s">
        <v>8</v>
      </c>
      <c r="W13" s="1504" t="e">
        <f t="shared" si="2"/>
        <v>#N/A</v>
      </c>
      <c r="X13" s="1505"/>
      <c r="Y13" s="3401"/>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55"/>
      <c r="Q14" s="1134">
        <f t="shared" si="6"/>
        <v>111</v>
      </c>
      <c r="R14" s="1503" t="s">
        <v>8</v>
      </c>
      <c r="S14" s="1504">
        <f t="shared" si="0"/>
        <v>100</v>
      </c>
      <c r="T14" s="1503" t="s">
        <v>8</v>
      </c>
      <c r="U14" s="1504">
        <f t="shared" si="1"/>
        <v>100</v>
      </c>
      <c r="V14" s="1503" t="s">
        <v>8</v>
      </c>
      <c r="W14" s="1504">
        <f t="shared" si="2"/>
        <v>100</v>
      </c>
      <c r="X14" s="1505"/>
      <c r="Y14" s="3401"/>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55"/>
      <c r="Q15" s="1134">
        <f t="shared" si="6"/>
        <v>111</v>
      </c>
      <c r="R15" s="1503" t="s">
        <v>8</v>
      </c>
      <c r="S15" s="1504">
        <f t="shared" si="0"/>
        <v>100</v>
      </c>
      <c r="T15" s="1503" t="s">
        <v>8</v>
      </c>
      <c r="U15" s="1504">
        <f t="shared" si="1"/>
        <v>100</v>
      </c>
      <c r="V15" s="1503" t="s">
        <v>8</v>
      </c>
      <c r="W15" s="1504">
        <f t="shared" si="2"/>
        <v>100</v>
      </c>
      <c r="X15" s="1505"/>
      <c r="Y15" s="3401"/>
      <c r="Z15" s="1133">
        <f t="shared" si="7"/>
        <v>111</v>
      </c>
      <c r="AA15" s="1506">
        <f t="shared" si="3"/>
        <v>1</v>
      </c>
      <c r="AB15" s="1506">
        <f t="shared" si="4"/>
        <v>1</v>
      </c>
      <c r="AC15" s="1506">
        <f t="shared" si="5"/>
        <v>1</v>
      </c>
    </row>
    <row r="16" spans="1:29" ht="15.6"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55"/>
      <c r="Q16" s="1134">
        <f t="shared" si="6"/>
        <v>111</v>
      </c>
      <c r="R16" s="1503" t="s">
        <v>8</v>
      </c>
      <c r="S16" s="1504">
        <f t="shared" si="0"/>
        <v>100</v>
      </c>
      <c r="T16" s="1503" t="s">
        <v>8</v>
      </c>
      <c r="U16" s="1504">
        <f t="shared" si="1"/>
        <v>100</v>
      </c>
      <c r="V16" s="1503" t="s">
        <v>8</v>
      </c>
      <c r="W16" s="1504">
        <f t="shared" si="2"/>
        <v>100</v>
      </c>
      <c r="X16" s="1505"/>
      <c r="Y16" s="3401"/>
      <c r="Z16" s="1133">
        <f t="shared" si="7"/>
        <v>111</v>
      </c>
      <c r="AA16" s="1506">
        <f t="shared" si="3"/>
        <v>1</v>
      </c>
      <c r="AB16" s="1506">
        <f t="shared" si="4"/>
        <v>1</v>
      </c>
      <c r="AC16" s="1506">
        <f t="shared" si="5"/>
        <v>1</v>
      </c>
    </row>
    <row r="17" spans="1:29" ht="69">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89" t="s">
        <v>534</v>
      </c>
      <c r="Q17" s="1507" t="str">
        <f t="shared" si="6"/>
        <v>产业集聚程度</v>
      </c>
      <c r="R17" s="1508" t="s">
        <v>8</v>
      </c>
      <c r="S17" s="1509">
        <f t="shared" si="0"/>
        <v>100</v>
      </c>
      <c r="T17" s="1508" t="s">
        <v>8</v>
      </c>
      <c r="U17" s="1509">
        <f t="shared" si="1"/>
        <v>100</v>
      </c>
      <c r="V17" s="1508" t="s">
        <v>8</v>
      </c>
      <c r="W17" s="1509">
        <f t="shared" si="2"/>
        <v>100</v>
      </c>
      <c r="X17" s="1502"/>
      <c r="Y17" s="348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0"/>
      <c r="Q18" s="1507"/>
      <c r="R18" s="1508"/>
      <c r="S18" s="1509"/>
      <c r="T18" s="1508"/>
      <c r="U18" s="1509"/>
      <c r="V18" s="1508"/>
      <c r="W18" s="1509"/>
      <c r="X18" s="1502"/>
      <c r="Y18" s="3490"/>
      <c r="Z18" s="1510"/>
      <c r="AA18" s="1511">
        <v>1</v>
      </c>
      <c r="AB18" s="1511">
        <v>1</v>
      </c>
      <c r="AC18" s="1511">
        <v>1</v>
      </c>
    </row>
    <row r="19" spans="1:29" ht="96.6">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0"/>
      <c r="Q19" s="1507" t="str">
        <f>B19</f>
        <v>交通便捷度</v>
      </c>
      <c r="R19" s="1508" t="s">
        <v>8</v>
      </c>
      <c r="S19" s="1509">
        <f>F19</f>
        <v>100</v>
      </c>
      <c r="T19" s="1508" t="s">
        <v>8</v>
      </c>
      <c r="U19" s="1509">
        <f>H19</f>
        <v>100</v>
      </c>
      <c r="V19" s="1508" t="s">
        <v>8</v>
      </c>
      <c r="W19" s="1509">
        <f>J19</f>
        <v>100</v>
      </c>
      <c r="X19" s="1502"/>
      <c r="Y19" s="349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0"/>
      <c r="Q20" s="1507"/>
      <c r="R20" s="1508"/>
      <c r="S20" s="1509"/>
      <c r="T20" s="1508"/>
      <c r="U20" s="1509"/>
      <c r="V20" s="1508"/>
      <c r="W20" s="1509"/>
      <c r="X20" s="1502"/>
      <c r="Y20" s="3490"/>
      <c r="Z20" s="1510"/>
      <c r="AA20" s="1511">
        <v>1</v>
      </c>
      <c r="AB20" s="1511">
        <v>1</v>
      </c>
      <c r="AC20" s="1511">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0"/>
      <c r="Q21" s="1507" t="str">
        <f t="shared" ref="Q21:Q35" si="8">B21</f>
        <v>区域土地利用方向</v>
      </c>
      <c r="R21" s="1508" t="s">
        <v>8</v>
      </c>
      <c r="S21" s="1509">
        <f>F21</f>
        <v>100</v>
      </c>
      <c r="T21" s="1508" t="s">
        <v>8</v>
      </c>
      <c r="U21" s="1509">
        <f>H21</f>
        <v>100</v>
      </c>
      <c r="V21" s="1508" t="s">
        <v>8</v>
      </c>
      <c r="W21" s="1509">
        <f>J21</f>
        <v>100</v>
      </c>
      <c r="X21" s="1502"/>
      <c r="Y21" s="349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0"/>
      <c r="Q22" s="1507"/>
      <c r="R22" s="1508"/>
      <c r="S22" s="1509"/>
      <c r="T22" s="1508"/>
      <c r="U22" s="1509"/>
      <c r="V22" s="1508"/>
      <c r="W22" s="1509"/>
      <c r="X22" s="1502"/>
      <c r="Y22" s="3490"/>
      <c r="Z22" s="1510"/>
      <c r="AA22" s="1511"/>
      <c r="AB22" s="1511"/>
      <c r="AC22" s="1511"/>
    </row>
    <row r="23" spans="1:29" ht="82.8">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0"/>
      <c r="Q23" s="1507" t="str">
        <f t="shared" si="8"/>
        <v>环境状况</v>
      </c>
      <c r="R23" s="1508" t="s">
        <v>8</v>
      </c>
      <c r="S23" s="1509">
        <f>F23</f>
        <v>100</v>
      </c>
      <c r="T23" s="1508" t="s">
        <v>8</v>
      </c>
      <c r="U23" s="1509">
        <f>H23</f>
        <v>100</v>
      </c>
      <c r="V23" s="1508" t="s">
        <v>8</v>
      </c>
      <c r="W23" s="1509">
        <f>J23</f>
        <v>100</v>
      </c>
      <c r="X23" s="1502"/>
      <c r="Y23" s="349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0"/>
      <c r="Q24" s="1507"/>
      <c r="R24" s="1508"/>
      <c r="S24" s="1509"/>
      <c r="T24" s="1508"/>
      <c r="U24" s="1509"/>
      <c r="V24" s="1508"/>
      <c r="W24" s="1509"/>
      <c r="X24" s="1502"/>
      <c r="Y24" s="3490"/>
      <c r="Z24" s="1510"/>
      <c r="AA24" s="1511">
        <v>1</v>
      </c>
      <c r="AB24" s="1511">
        <v>1</v>
      </c>
      <c r="AC24" s="1511">
        <v>1</v>
      </c>
    </row>
    <row r="25" spans="1:29" s="1203" customFormat="1" ht="41.4">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0"/>
      <c r="Q25" s="1134" t="str">
        <f t="shared" si="8"/>
        <v>公共配套设施</v>
      </c>
      <c r="R25" s="1503" t="s">
        <v>8</v>
      </c>
      <c r="S25" s="1504">
        <f>F25</f>
        <v>100</v>
      </c>
      <c r="T25" s="1503" t="s">
        <v>8</v>
      </c>
      <c r="U25" s="1504">
        <f>H25</f>
        <v>100</v>
      </c>
      <c r="V25" s="1503" t="s">
        <v>8</v>
      </c>
      <c r="W25" s="1504">
        <f>J25</f>
        <v>100</v>
      </c>
      <c r="X25" s="1505"/>
      <c r="Y25" s="3490"/>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0"/>
      <c r="Q26" s="1134"/>
      <c r="R26" s="1503"/>
      <c r="S26" s="1504"/>
      <c r="T26" s="1503"/>
      <c r="U26" s="1504"/>
      <c r="V26" s="1503"/>
      <c r="W26" s="1504"/>
      <c r="X26" s="1505"/>
      <c r="Y26" s="3490"/>
      <c r="Z26" s="1133"/>
      <c r="AA26" s="1506">
        <v>1</v>
      </c>
      <c r="AB26" s="1506">
        <v>1</v>
      </c>
      <c r="AC26" s="1506">
        <v>1</v>
      </c>
    </row>
    <row r="27" spans="1:29" s="1203" customFormat="1" ht="41.4">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0"/>
      <c r="Q27" s="2429" t="str">
        <f t="shared" ref="Q27" si="9">B27</f>
        <v>基础设施水平</v>
      </c>
      <c r="R27" s="1503" t="s">
        <v>8</v>
      </c>
      <c r="S27" s="1504">
        <f>F27</f>
        <v>100</v>
      </c>
      <c r="T27" s="1503" t="s">
        <v>8</v>
      </c>
      <c r="U27" s="1504">
        <f>H27</f>
        <v>100</v>
      </c>
      <c r="V27" s="1503" t="s">
        <v>8</v>
      </c>
      <c r="W27" s="1504">
        <f>J27</f>
        <v>100</v>
      </c>
      <c r="X27" s="1505"/>
      <c r="Y27" s="3490"/>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0"/>
      <c r="Q28" s="2429"/>
      <c r="R28" s="1503"/>
      <c r="S28" s="1504"/>
      <c r="T28" s="1503"/>
      <c r="U28" s="1504"/>
      <c r="V28" s="1503"/>
      <c r="W28" s="1504"/>
      <c r="X28" s="1505"/>
      <c r="Y28" s="3490"/>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0"/>
      <c r="Z29" s="1510" t="str">
        <f t="shared" ref="Z29:Z42" si="13">Q29</f>
        <v>临街状况</v>
      </c>
      <c r="AA29" s="1511">
        <f t="shared" si="3"/>
        <v>1</v>
      </c>
      <c r="AB29" s="1511">
        <f t="shared" si="4"/>
        <v>1</v>
      </c>
      <c r="AC29" s="1511">
        <f t="shared" si="5"/>
        <v>1</v>
      </c>
    </row>
    <row r="30" spans="1:29" ht="28.8">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0"/>
      <c r="Q30" s="1507" t="str">
        <f t="shared" si="8"/>
        <v>毗邻道路的类型与等级</v>
      </c>
      <c r="R30" s="1508" t="s">
        <v>8</v>
      </c>
      <c r="S30" s="1509">
        <f t="shared" si="10"/>
        <v>100</v>
      </c>
      <c r="T30" s="1508" t="s">
        <v>8</v>
      </c>
      <c r="U30" s="1509">
        <f t="shared" si="11"/>
        <v>100</v>
      </c>
      <c r="V30" s="1508" t="s">
        <v>8</v>
      </c>
      <c r="W30" s="1509">
        <f t="shared" si="12"/>
        <v>100</v>
      </c>
      <c r="X30" s="1502"/>
      <c r="Y30" s="349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0"/>
      <c r="Q31" s="1507"/>
      <c r="R31" s="1508"/>
      <c r="S31" s="1509"/>
      <c r="T31" s="1508"/>
      <c r="U31" s="1509"/>
      <c r="V31" s="1508"/>
      <c r="W31" s="1509"/>
      <c r="X31" s="1502"/>
      <c r="Y31" s="3490"/>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0"/>
      <c r="Q32" s="1507" t="str">
        <f t="shared" si="8"/>
        <v>土地级别</v>
      </c>
      <c r="R32" s="1508" t="s">
        <v>8</v>
      </c>
      <c r="S32" s="1509">
        <f t="shared" si="10"/>
        <v>100</v>
      </c>
      <c r="T32" s="1508" t="s">
        <v>8</v>
      </c>
      <c r="U32" s="1509">
        <f t="shared" si="11"/>
        <v>100</v>
      </c>
      <c r="V32" s="1508" t="s">
        <v>8</v>
      </c>
      <c r="W32" s="1509">
        <f t="shared" si="12"/>
        <v>100</v>
      </c>
      <c r="X32" s="1502"/>
      <c r="Y32" s="349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0"/>
      <c r="Q33" s="1507">
        <f t="shared" si="8"/>
        <v>111</v>
      </c>
      <c r="R33" s="1508" t="s">
        <v>8</v>
      </c>
      <c r="S33" s="1509">
        <f t="shared" si="10"/>
        <v>100</v>
      </c>
      <c r="T33" s="1508" t="s">
        <v>8</v>
      </c>
      <c r="U33" s="1509">
        <f t="shared" si="11"/>
        <v>100</v>
      </c>
      <c r="V33" s="1508" t="s">
        <v>8</v>
      </c>
      <c r="W33" s="1509">
        <f t="shared" si="12"/>
        <v>100</v>
      </c>
      <c r="X33" s="1502"/>
      <c r="Y33" s="349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1" t="s">
        <v>544</v>
      </c>
      <c r="Q34" s="1507">
        <f t="shared" si="8"/>
        <v>111</v>
      </c>
      <c r="R34" s="1508" t="s">
        <v>8</v>
      </c>
      <c r="S34" s="1509">
        <f t="shared" si="10"/>
        <v>100</v>
      </c>
      <c r="T34" s="1508" t="s">
        <v>8</v>
      </c>
      <c r="U34" s="1509">
        <f t="shared" si="11"/>
        <v>100</v>
      </c>
      <c r="V34" s="1508" t="s">
        <v>8</v>
      </c>
      <c r="W34" s="1509">
        <f t="shared" si="12"/>
        <v>100</v>
      </c>
      <c r="X34" s="1502"/>
      <c r="Y34" s="3492" t="s">
        <v>544</v>
      </c>
      <c r="Z34" s="1510">
        <f t="shared" si="13"/>
        <v>111</v>
      </c>
      <c r="AA34" s="1511">
        <f t="shared" si="3"/>
        <v>1</v>
      </c>
      <c r="AB34" s="1511">
        <f t="shared" si="4"/>
        <v>1</v>
      </c>
      <c r="AC34" s="1511">
        <f t="shared" si="5"/>
        <v>1</v>
      </c>
    </row>
    <row r="35" spans="1:29" s="1293" customFormat="1" ht="15.6"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2"/>
      <c r="Q35" s="1507">
        <f t="shared" si="8"/>
        <v>111</v>
      </c>
      <c r="R35" s="1512" t="s">
        <v>8</v>
      </c>
      <c r="S35" s="1513">
        <f t="shared" si="10"/>
        <v>100</v>
      </c>
      <c r="T35" s="1512" t="s">
        <v>8</v>
      </c>
      <c r="U35" s="1513">
        <f t="shared" si="11"/>
        <v>100</v>
      </c>
      <c r="V35" s="1512" t="s">
        <v>8</v>
      </c>
      <c r="W35" s="1513">
        <f t="shared" si="12"/>
        <v>100</v>
      </c>
      <c r="X35" s="1514"/>
      <c r="Y35" s="3492"/>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2"/>
      <c r="Q36" s="1507" t="str">
        <f>B36</f>
        <v>宗地面积</v>
      </c>
      <c r="R36" s="1508" t="s">
        <v>8</v>
      </c>
      <c r="S36" s="1509" t="e">
        <f t="shared" si="10"/>
        <v>#N/A</v>
      </c>
      <c r="T36" s="1508" t="s">
        <v>8</v>
      </c>
      <c r="U36" s="1509" t="e">
        <f t="shared" si="11"/>
        <v>#N/A</v>
      </c>
      <c r="V36" s="1508" t="s">
        <v>8</v>
      </c>
      <c r="W36" s="1509" t="e">
        <f t="shared" si="12"/>
        <v>#N/A</v>
      </c>
      <c r="X36" s="1502"/>
      <c r="Y36" s="349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2"/>
      <c r="Q37" s="1507" t="str">
        <f t="shared" ref="Q37:Q42" si="14">B37</f>
        <v>宗地形状</v>
      </c>
      <c r="R37" s="1508" t="s">
        <v>8</v>
      </c>
      <c r="S37" s="1509">
        <f t="shared" si="10"/>
        <v>100</v>
      </c>
      <c r="T37" s="1508" t="s">
        <v>8</v>
      </c>
      <c r="U37" s="1509">
        <f t="shared" si="11"/>
        <v>100</v>
      </c>
      <c r="V37" s="1508" t="s">
        <v>8</v>
      </c>
      <c r="W37" s="1509">
        <f t="shared" si="12"/>
        <v>100</v>
      </c>
      <c r="X37" s="1502"/>
      <c r="Y37" s="3492"/>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2"/>
      <c r="Q38" s="1507" t="str">
        <f t="shared" si="14"/>
        <v>宗地开发程度</v>
      </c>
      <c r="R38" s="1503" t="s">
        <v>8</v>
      </c>
      <c r="S38" s="1504">
        <f t="shared" si="10"/>
        <v>100</v>
      </c>
      <c r="T38" s="1503" t="s">
        <v>8</v>
      </c>
      <c r="U38" s="1504">
        <f t="shared" si="11"/>
        <v>100</v>
      </c>
      <c r="V38" s="1503" t="s">
        <v>8</v>
      </c>
      <c r="W38" s="1504">
        <f t="shared" si="12"/>
        <v>100</v>
      </c>
      <c r="X38" s="1505"/>
      <c r="Y38" s="349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2" t="s">
        <v>595</v>
      </c>
      <c r="Q39" s="1507" t="str">
        <f t="shared" si="14"/>
        <v>工程地质条件</v>
      </c>
      <c r="R39" s="1508" t="s">
        <v>8</v>
      </c>
      <c r="S39" s="1509">
        <f t="shared" si="10"/>
        <v>100</v>
      </c>
      <c r="T39" s="1508" t="s">
        <v>8</v>
      </c>
      <c r="U39" s="1509">
        <f t="shared" si="11"/>
        <v>100</v>
      </c>
      <c r="V39" s="1508" t="s">
        <v>8</v>
      </c>
      <c r="W39" s="1509">
        <f t="shared" si="12"/>
        <v>100</v>
      </c>
      <c r="X39" s="1502"/>
      <c r="Y39" s="349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2"/>
      <c r="Q40" s="1507">
        <f t="shared" si="14"/>
        <v>111</v>
      </c>
      <c r="R40" s="1508" t="s">
        <v>8</v>
      </c>
      <c r="S40" s="1509">
        <f t="shared" si="10"/>
        <v>100</v>
      </c>
      <c r="T40" s="1508" t="s">
        <v>8</v>
      </c>
      <c r="U40" s="1509">
        <f t="shared" si="11"/>
        <v>100</v>
      </c>
      <c r="V40" s="1508" t="s">
        <v>8</v>
      </c>
      <c r="W40" s="1509">
        <f t="shared" si="12"/>
        <v>100</v>
      </c>
      <c r="X40" s="1502"/>
      <c r="Y40" s="349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2"/>
      <c r="Q41" s="1507">
        <f t="shared" si="14"/>
        <v>111</v>
      </c>
      <c r="R41" s="1508" t="s">
        <v>8</v>
      </c>
      <c r="S41" s="1509">
        <f t="shared" si="10"/>
        <v>100</v>
      </c>
      <c r="T41" s="1508" t="s">
        <v>8</v>
      </c>
      <c r="U41" s="1509">
        <f t="shared" si="11"/>
        <v>100</v>
      </c>
      <c r="V41" s="1508" t="s">
        <v>8</v>
      </c>
      <c r="W41" s="1509">
        <f t="shared" si="12"/>
        <v>100</v>
      </c>
      <c r="X41" s="1502"/>
      <c r="Y41" s="3492"/>
      <c r="Z41" s="1510">
        <f t="shared" si="13"/>
        <v>111</v>
      </c>
      <c r="AA41" s="1511">
        <f t="shared" si="3"/>
        <v>1</v>
      </c>
      <c r="AB41" s="1511">
        <f t="shared" si="4"/>
        <v>1</v>
      </c>
      <c r="AC41" s="1511">
        <f t="shared" si="5"/>
        <v>1</v>
      </c>
    </row>
    <row r="42" spans="1:29" s="1293"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2"/>
      <c r="Q42" s="1507">
        <f t="shared" si="14"/>
        <v>111</v>
      </c>
      <c r="R42" s="1512" t="s">
        <v>8</v>
      </c>
      <c r="S42" s="1513">
        <f t="shared" si="10"/>
        <v>100</v>
      </c>
      <c r="T42" s="1512" t="s">
        <v>8</v>
      </c>
      <c r="U42" s="1513">
        <f t="shared" si="11"/>
        <v>100</v>
      </c>
      <c r="V42" s="1512" t="s">
        <v>8</v>
      </c>
      <c r="W42" s="1513">
        <f t="shared" si="12"/>
        <v>100</v>
      </c>
      <c r="X42" s="1514"/>
      <c r="Y42" s="3492"/>
      <c r="Z42" s="1515">
        <f t="shared" si="13"/>
        <v>111</v>
      </c>
      <c r="AA42" s="1511">
        <f t="shared" si="3"/>
        <v>1</v>
      </c>
      <c r="AB42" s="1511">
        <f t="shared" si="4"/>
        <v>1</v>
      </c>
      <c r="AC42" s="1511">
        <f t="shared" si="5"/>
        <v>1</v>
      </c>
    </row>
    <row r="43" spans="1:29" ht="14.4">
      <c r="A43" s="601" t="s">
        <v>550</v>
      </c>
      <c r="B43" s="602" t="s">
        <v>2903</v>
      </c>
      <c r="C43" s="603" t="s">
        <v>1</v>
      </c>
      <c r="D43" s="604"/>
      <c r="E43" s="605"/>
      <c r="F43" s="606"/>
      <c r="G43" s="607"/>
      <c r="H43" s="608"/>
      <c r="I43" s="605"/>
      <c r="J43" s="608"/>
      <c r="K43" s="1294"/>
      <c r="L43" s="2027"/>
      <c r="M43" s="2017"/>
      <c r="N43" s="2017"/>
      <c r="O43" s="2028"/>
      <c r="P43" s="3455" t="str">
        <f>A43</f>
        <v>成交单价</v>
      </c>
      <c r="Q43" s="3455"/>
      <c r="R43" s="3456">
        <f>E43</f>
        <v>0</v>
      </c>
      <c r="S43" s="3456"/>
      <c r="T43" s="3456">
        <f>G43</f>
        <v>0</v>
      </c>
      <c r="U43" s="3456"/>
      <c r="V43" s="3456">
        <f>I43</f>
        <v>0</v>
      </c>
      <c r="W43" s="3456"/>
      <c r="X43" s="1497"/>
      <c r="Y43" s="1516"/>
      <c r="Z43" s="1497"/>
      <c r="AA43" s="1497"/>
      <c r="AB43" s="1497"/>
      <c r="AC43" s="1497"/>
    </row>
    <row r="44" spans="1:29" ht="1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55" t="str">
        <f>A44</f>
        <v>比较价格（元/平方米）</v>
      </c>
      <c r="Q44" s="3455"/>
      <c r="R44" s="3457" t="e">
        <f>ROUND(PRODUCT(R43,AA9:AA42),0)</f>
        <v>#DIV/0!</v>
      </c>
      <c r="S44" s="3457"/>
      <c r="T44" s="3457" t="e">
        <f>ROUND(PRODUCT(T43,AB9:AB42),0)</f>
        <v>#DIV/0!</v>
      </c>
      <c r="U44" s="3457"/>
      <c r="V44" s="3457" t="e">
        <f>ROUND(PRODUCT(V43,AC9:AC42),0)</f>
        <v>#DIV/0!</v>
      </c>
      <c r="W44" s="3457"/>
      <c r="X44" s="1497"/>
      <c r="Y44" s="1497"/>
      <c r="Z44" s="1497"/>
      <c r="AA44" s="1497"/>
      <c r="AB44" s="1497"/>
      <c r="AC44" s="1497"/>
    </row>
    <row r="45" spans="1:29" ht="15" thickBot="1">
      <c r="A45" s="613" t="s">
        <v>2904</v>
      </c>
      <c r="B45" s="614"/>
      <c r="C45" s="615" t="e">
        <f>R45</f>
        <v>#DIV/0!</v>
      </c>
      <c r="D45" s="615"/>
      <c r="E45" s="615"/>
      <c r="F45" s="615"/>
      <c r="G45" s="615"/>
      <c r="H45" s="615"/>
      <c r="I45" s="615"/>
      <c r="J45" s="615"/>
      <c r="K45" s="1295"/>
      <c r="L45" s="2027"/>
      <c r="M45" s="2017"/>
      <c r="N45" s="2017"/>
      <c r="O45" s="2028"/>
      <c r="P45" s="3452" t="str">
        <f>A45</f>
        <v>估价对象XX用房的比较价格（楼面单价，元/平方米）</v>
      </c>
      <c r="Q45" s="3453"/>
      <c r="R45" s="3504" t="e">
        <f>ROUND(IF(D44="简单平均",AVERAGE(R44:W44),R44*F44+T44*H44+V44*J44),0)</f>
        <v>#DIV/0!</v>
      </c>
      <c r="S45" s="3504"/>
      <c r="T45" s="3504"/>
      <c r="U45" s="3504"/>
      <c r="V45" s="3504"/>
      <c r="W45" s="3504"/>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4.4"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8.8">
      <c r="A52" s="621" t="s">
        <v>554</v>
      </c>
      <c r="B52" s="622" t="s">
        <v>555</v>
      </c>
      <c r="C52" s="1498" t="s">
        <v>1715</v>
      </c>
      <c r="D52" s="2108" t="s">
        <v>2281</v>
      </c>
      <c r="E52" s="623" t="s">
        <v>556</v>
      </c>
      <c r="F52" s="1866" t="s">
        <v>557</v>
      </c>
      <c r="G52" s="3499" t="s">
        <v>2272</v>
      </c>
      <c r="H52" s="3500"/>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3.2">
      <c r="A53" s="625" t="s">
        <v>558</v>
      </c>
      <c r="B53" s="626" t="e">
        <f>C45</f>
        <v>#DIV/0!</v>
      </c>
      <c r="C53" s="627">
        <v>1</v>
      </c>
      <c r="D53" s="2109">
        <v>1</v>
      </c>
      <c r="E53" s="627">
        <f>'数据-汇总表'!E8+'数据-汇总表'!E9</f>
        <v>0</v>
      </c>
      <c r="F53" s="1865" t="e">
        <f t="shared" ref="F53:F62" si="15">ROUND(B53*E53/10000,0)</f>
        <v>#DIV/0!</v>
      </c>
      <c r="G53" s="3501"/>
      <c r="H53" s="3502"/>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3.2">
      <c r="A54" s="629" t="s">
        <v>559</v>
      </c>
      <c r="B54" s="630" t="e">
        <f>ROUND($C$45*C54*D54,0)</f>
        <v>#DIV/0!</v>
      </c>
      <c r="C54" s="372">
        <f t="shared" ref="C54:C62" si="16">IF($C$52="北京市系数",I54,J54)</f>
        <v>0</v>
      </c>
      <c r="D54" s="2110">
        <v>0.25</v>
      </c>
      <c r="E54" s="631"/>
      <c r="F54" s="1865" t="e">
        <f t="shared" si="15"/>
        <v>#DIV/0!</v>
      </c>
      <c r="G54" s="3503"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3.2">
      <c r="A55" s="629" t="s">
        <v>560</v>
      </c>
      <c r="B55" s="630" t="e">
        <f t="shared" ref="B55:B62" si="17">ROUND($C$45*C55*D55,0)</f>
        <v>#DIV/0!</v>
      </c>
      <c r="C55" s="372">
        <f t="shared" si="16"/>
        <v>0</v>
      </c>
      <c r="D55" s="2110">
        <v>0.25</v>
      </c>
      <c r="E55" s="631"/>
      <c r="F55" s="1865" t="e">
        <f t="shared" si="15"/>
        <v>#DIV/0!</v>
      </c>
      <c r="G55" s="3503"/>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3.2">
      <c r="A56" s="629" t="s">
        <v>561</v>
      </c>
      <c r="B56" s="630" t="e">
        <f t="shared" si="17"/>
        <v>#DIV/0!</v>
      </c>
      <c r="C56" s="372">
        <f t="shared" si="16"/>
        <v>0</v>
      </c>
      <c r="D56" s="2110">
        <v>0.25</v>
      </c>
      <c r="E56" s="631"/>
      <c r="F56" s="1865" t="e">
        <f t="shared" si="15"/>
        <v>#DIV/0!</v>
      </c>
      <c r="G56" s="3503"/>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3.2">
      <c r="A57" s="629" t="s">
        <v>562</v>
      </c>
      <c r="B57" s="630" t="e">
        <f t="shared" si="17"/>
        <v>#DIV/0!</v>
      </c>
      <c r="C57" s="372">
        <f t="shared" si="16"/>
        <v>0</v>
      </c>
      <c r="D57" s="2110">
        <v>0.25</v>
      </c>
      <c r="E57" s="631"/>
      <c r="F57" s="1865" t="e">
        <f t="shared" si="15"/>
        <v>#DIV/0!</v>
      </c>
      <c r="G57" s="3503"/>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3.2">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thickBot="1">
      <c r="A63" s="634" t="s">
        <v>567</v>
      </c>
      <c r="B63" s="635" t="s">
        <v>17</v>
      </c>
      <c r="C63" s="635" t="s">
        <v>18</v>
      </c>
      <c r="D63" s="635" t="s">
        <v>2282</v>
      </c>
      <c r="E63" s="635" t="e">
        <f>IF(B43="楼面地价",SUM(E53:E62),'数据-汇总表'!D3)</f>
        <v>#DIV/0!</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1900-1-1</v>
      </c>
      <c r="D65" s="2517" t="e">
        <f>EDATE(C65,-3)</f>
        <v>#NUM!</v>
      </c>
      <c r="E65" s="2517" t="e">
        <f t="shared" ref="E65:N65" si="18">EDATE(D65,-3)</f>
        <v>#NUM!</v>
      </c>
      <c r="F65" s="2517" t="e">
        <f t="shared" si="18"/>
        <v>#NUM!</v>
      </c>
      <c r="G65" s="2517" t="e">
        <f t="shared" si="18"/>
        <v>#NUM!</v>
      </c>
      <c r="H65" s="2517" t="e">
        <f t="shared" si="18"/>
        <v>#NUM!</v>
      </c>
      <c r="I65" s="2517" t="e">
        <f t="shared" si="18"/>
        <v>#NUM!</v>
      </c>
      <c r="J65" s="2517" t="e">
        <f t="shared" si="18"/>
        <v>#NUM!</v>
      </c>
      <c r="K65" s="2517" t="e">
        <f t="shared" si="18"/>
        <v>#NUM!</v>
      </c>
      <c r="L65" s="2517" t="e">
        <f t="shared" si="18"/>
        <v>#NUM!</v>
      </c>
      <c r="M65" s="2517" t="e">
        <f t="shared" si="18"/>
        <v>#NUM!</v>
      </c>
      <c r="N65" s="2517" t="e">
        <f t="shared" si="18"/>
        <v>#NUM!</v>
      </c>
      <c r="O65" s="2028"/>
      <c r="P65" s="2028"/>
      <c r="Q65" s="2028"/>
      <c r="R65" s="2028"/>
      <c r="S65" s="2028"/>
      <c r="T65" s="2028"/>
      <c r="U65" s="2028"/>
      <c r="V65" s="2028"/>
      <c r="W65" s="2028"/>
      <c r="X65" s="2028"/>
      <c r="Y65" s="2028"/>
      <c r="Z65" s="2028"/>
      <c r="AA65" s="2028"/>
      <c r="AB65" s="2028"/>
      <c r="AC65" s="2028"/>
    </row>
    <row r="66" spans="1:29" ht="22.2"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4.4">
      <c r="A67" s="2422" t="s">
        <v>2515</v>
      </c>
      <c r="B67" s="638"/>
      <c r="C67" s="2514" t="str">
        <f>YEAR(C65)&amp;"-"&amp;ROUNDUP(MONTH(C65)/3,0)</f>
        <v>1900-1</v>
      </c>
      <c r="D67" s="2519" t="e">
        <f t="shared" ref="D67:N67" si="19">YEAR(D65)&amp;"-"&amp;ROUNDUP(MONTH(D65)/3,0)</f>
        <v>#NUM!</v>
      </c>
      <c r="E67" s="2519" t="e">
        <f t="shared" si="19"/>
        <v>#NUM!</v>
      </c>
      <c r="F67" s="2519" t="e">
        <f t="shared" si="19"/>
        <v>#NUM!</v>
      </c>
      <c r="G67" s="2519" t="e">
        <f t="shared" si="19"/>
        <v>#NUM!</v>
      </c>
      <c r="H67" s="2519" t="e">
        <f t="shared" si="19"/>
        <v>#NUM!</v>
      </c>
      <c r="I67" s="2519" t="e">
        <f t="shared" si="19"/>
        <v>#NUM!</v>
      </c>
      <c r="J67" s="2519" t="e">
        <f t="shared" si="19"/>
        <v>#NUM!</v>
      </c>
      <c r="K67" s="2519" t="e">
        <f t="shared" si="19"/>
        <v>#NUM!</v>
      </c>
      <c r="L67" s="2519" t="e">
        <f t="shared" si="19"/>
        <v>#NUM!</v>
      </c>
      <c r="M67" s="2519" t="e">
        <f t="shared" si="19"/>
        <v>#NUM!</v>
      </c>
      <c r="N67" s="2519" t="e">
        <f t="shared" si="19"/>
        <v>#NUM!</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北京市平均增长率0.00%</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4.4">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4.4"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ht="14.4">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4.4"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9.4"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4.4"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4.4"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4.4"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4.4"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4.4"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4.4"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4.4"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ht="14.4">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9.4"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9.4"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4.4"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4.4"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4.4"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9.4"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4.4"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4.4"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4.4"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4.4"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4.4"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4.4"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4.4"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4.4"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4.4"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4.4"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353" customWidth="1"/>
    <col min="2" max="2" width="20.88671875" style="1468" customWidth="1"/>
    <col min="3" max="4" width="12" style="1354"/>
    <col min="5" max="5" width="14.6640625" style="1354" customWidth="1"/>
    <col min="6" max="8" width="12" style="1354"/>
    <col min="9" max="9" width="12.2187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4414062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20.399999999999999">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6">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6">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31.2">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6"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6"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19"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20"/>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06" t="s">
        <v>2763</v>
      </c>
      <c r="X8" s="3507"/>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20"/>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05"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0"/>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05"/>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0"/>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05"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8" thickBot="1">
      <c r="A12" s="3519"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05"/>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1"/>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05"/>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21"/>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2"/>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19" t="s">
        <v>1829</v>
      </c>
      <c r="B16" s="1376" t="s">
        <v>941</v>
      </c>
      <c r="C16" s="1039" t="e">
        <f>ROUND(IF(F17="与级别开发程度一致",0,(G17-E17)/C17),0)</f>
        <v>#DIV/0!</v>
      </c>
      <c r="D16" s="3513" t="s">
        <v>945</v>
      </c>
      <c r="E16" s="3514"/>
      <c r="F16" s="3513" t="s">
        <v>942</v>
      </c>
      <c r="G16" s="3514"/>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8" thickBot="1">
      <c r="A17" s="3523"/>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9.4"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0</v>
      </c>
      <c r="H19" s="1416" t="s">
        <v>2956</v>
      </c>
      <c r="I19" s="2504" t="str">
        <f>IF(H19="季度增幅（自定义）",SUMIF(N21:N24,E2,O21:O24),"")</f>
        <v/>
      </c>
      <c r="J19" s="1412"/>
      <c r="K19" s="3235"/>
      <c r="L19" s="2754" t="s">
        <v>2821</v>
      </c>
      <c r="M19" s="2755">
        <f>ROUND(SUMIF(地价!B2:F2,E2,地价!B33:F33),0)</f>
        <v>0</v>
      </c>
      <c r="N19" s="2506" t="s">
        <v>1667</v>
      </c>
      <c r="O19" s="2505" t="e">
        <f>ROUNDDOWN(DATEDIF(E19,G19,"M")/3,0)</f>
        <v>#NUM!</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9.4" thickBot="1">
      <c r="A20" s="2498" t="s">
        <v>1827</v>
      </c>
      <c r="B20" s="2499" t="s">
        <v>962</v>
      </c>
      <c r="C20" s="2500" t="e">
        <f>ROUND(POWER(1+G20,J20-I20)*(POWER(1+G20,I20)-1)/(POWER(1+G20,J20)-1),4)</f>
        <v>#DIV/0!</v>
      </c>
      <c r="D20" s="2501" t="s">
        <v>963</v>
      </c>
      <c r="E20" s="2784">
        <f ca="1">存贷款利率!I4/100</f>
        <v>0</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4">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0</v>
      </c>
      <c r="Q21" s="2643"/>
      <c r="R21" s="2077"/>
      <c r="S21" s="2077"/>
      <c r="T21" s="2077"/>
      <c r="U21" s="2077"/>
      <c r="V21" s="2077"/>
      <c r="W21" s="2077"/>
      <c r="X21" s="2077"/>
      <c r="Y21" s="1352"/>
      <c r="Z21" s="1352"/>
      <c r="AA21" s="1352"/>
      <c r="AB21" s="1352"/>
      <c r="AC21" s="1413"/>
      <c r="AD21" s="1413"/>
    </row>
    <row r="22" spans="1:40" s="1370" customFormat="1" ht="14.4">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0</v>
      </c>
      <c r="Q22" s="2643"/>
      <c r="R22" s="2077"/>
      <c r="S22" s="2077"/>
      <c r="T22" s="2077"/>
      <c r="U22" s="2077"/>
      <c r="V22" s="2077"/>
      <c r="W22" s="2077"/>
      <c r="X22" s="2077"/>
      <c r="Y22" s="1413"/>
      <c r="Z22" s="1413"/>
      <c r="AA22" s="1413"/>
      <c r="AB22" s="1413"/>
      <c r="AC22" s="1413"/>
      <c r="AD22" s="1413"/>
    </row>
    <row r="23" spans="1:40" ht="1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0</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0</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0</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4">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0</v>
      </c>
      <c r="N28" s="1480">
        <f ca="1">ROUND($E$20*(1+N27),3)</f>
        <v>0</v>
      </c>
      <c r="O28" s="1480">
        <f ca="1">ROUND($E$20*(1+O27),3)</f>
        <v>0</v>
      </c>
      <c r="P28" s="1481">
        <f ca="1">ROUND($E$20*(1+P27),3)</f>
        <v>0</v>
      </c>
      <c r="Q28" s="2077"/>
      <c r="R28" s="2643"/>
      <c r="S28" s="2643"/>
      <c r="T28" s="2643"/>
      <c r="U28" s="2643"/>
      <c r="V28" s="2643"/>
      <c r="W28" s="2077"/>
      <c r="X28" s="2077"/>
      <c r="Y28" s="2077"/>
      <c r="Z28" s="2077"/>
      <c r="AA28" s="2077"/>
      <c r="AB28" s="2077"/>
      <c r="AC28" s="2077"/>
      <c r="AD28" s="1413"/>
      <c r="AE28" s="1413"/>
      <c r="AF28" s="1413"/>
      <c r="AG28" s="1413"/>
    </row>
    <row r="29" spans="1:40" ht="24">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6"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36">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3.2">
      <c r="A33" s="3515"/>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15"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3.2">
      <c r="A34" s="3516"/>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16"/>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3.2">
      <c r="A35" s="3516"/>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16"/>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8" thickBot="1">
      <c r="A36" s="3517"/>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17"/>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3.2">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3.2">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8"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24">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4.4">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48">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36">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36.6"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4.4">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48">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48">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36">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36.6"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4.4">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60">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3.8">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36">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36">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36.6"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4.4">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3.8">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36">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48.6"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24" t="s">
        <v>1624</v>
      </c>
      <c r="B90" s="3524"/>
      <c r="C90" s="3524"/>
      <c r="D90" s="3524"/>
      <c r="E90" s="3524"/>
      <c r="F90" s="3524"/>
      <c r="G90" s="3524"/>
      <c r="H90" s="3524"/>
      <c r="I90" s="3524"/>
      <c r="J90" s="3524"/>
      <c r="K90" s="2306"/>
      <c r="L90" s="2306"/>
      <c r="M90" s="2306"/>
      <c r="N90" s="2306"/>
    </row>
    <row r="91" spans="1:40">
      <c r="A91" s="3525" t="s">
        <v>1434</v>
      </c>
      <c r="B91" s="3525" t="s">
        <v>1625</v>
      </c>
      <c r="C91" s="1123" t="s">
        <v>1626</v>
      </c>
      <c r="D91" s="1124"/>
      <c r="E91" s="1124"/>
      <c r="F91" s="1124"/>
      <c r="G91" s="1124"/>
      <c r="H91" s="1124"/>
      <c r="I91" s="1124"/>
      <c r="J91" s="1125"/>
      <c r="K91" s="1117"/>
      <c r="L91" s="1117"/>
      <c r="M91" s="1117"/>
      <c r="N91" s="1117"/>
    </row>
    <row r="92" spans="1:40">
      <c r="A92" s="3525"/>
      <c r="B92" s="3525"/>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08"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09"/>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09"/>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09"/>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09"/>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09"/>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09"/>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10"/>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08"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09"/>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09"/>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09"/>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09"/>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09"/>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09"/>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09"/>
      <c r="B108" s="3511"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10"/>
      <c r="B109" s="3512"/>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18" t="s">
        <v>1630</v>
      </c>
      <c r="B110" s="3518"/>
      <c r="C110" s="3518"/>
      <c r="D110" s="3518"/>
      <c r="E110" s="3518"/>
      <c r="F110" s="3518"/>
      <c r="G110" s="3518"/>
      <c r="H110" s="3518"/>
      <c r="I110" s="3518"/>
      <c r="J110" s="3518"/>
      <c r="K110" s="2304"/>
      <c r="L110" s="2304"/>
      <c r="M110" s="2304"/>
      <c r="N110" s="2304"/>
    </row>
    <row r="112" spans="1:14" ht="12.6" thickBot="1"/>
    <row r="113" spans="1:13" ht="25.8"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3.2">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3.2">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3.2">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3.2">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8"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9" customWidth="1"/>
    <col min="2" max="9" width="8.21875" style="1088" customWidth="1"/>
    <col min="10" max="13" width="8.21875" style="1049"/>
    <col min="14" max="14" width="10" style="1049" customWidth="1"/>
    <col min="15" max="16" width="8.21875" style="1049"/>
    <col min="17" max="17" width="34.109375" style="1049" customWidth="1"/>
    <col min="18" max="18" width="8.21875" style="1049" customWidth="1"/>
    <col min="19" max="19" width="8.21875" style="1049"/>
    <col min="20" max="20" width="11.6640625" style="1049" customWidth="1"/>
    <col min="21" max="16384" width="8.2187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5" t="s">
        <v>998</v>
      </c>
      <c r="B18" s="1137" t="s">
        <v>1437</v>
      </c>
      <c r="C18" s="1114" t="s">
        <v>1438</v>
      </c>
      <c r="D18" s="1115"/>
      <c r="E18" s="1137">
        <v>1</v>
      </c>
      <c r="F18" s="1116" t="s">
        <v>1439</v>
      </c>
      <c r="G18" s="1117"/>
      <c r="H18" s="1088"/>
      <c r="I18" s="1088"/>
    </row>
    <row r="19" spans="1:9" s="1530" customFormat="1" ht="19.5" customHeight="1">
      <c r="A19" s="3525"/>
      <c r="B19" s="3525" t="s">
        <v>1440</v>
      </c>
      <c r="C19" s="1114" t="s">
        <v>1441</v>
      </c>
      <c r="D19" s="1115"/>
      <c r="E19" s="1137">
        <v>0.9</v>
      </c>
      <c r="F19" s="1116" t="s">
        <v>1442</v>
      </c>
      <c r="G19" s="1117"/>
      <c r="H19" s="1088"/>
      <c r="I19" s="1088"/>
    </row>
    <row r="20" spans="1:9" s="1530" customFormat="1" ht="19.5" customHeight="1">
      <c r="A20" s="3525"/>
      <c r="B20" s="3525"/>
      <c r="C20" s="1114" t="s">
        <v>1443</v>
      </c>
      <c r="D20" s="1115"/>
      <c r="E20" s="1137">
        <v>1.1000000000000001</v>
      </c>
      <c r="F20" s="1116" t="s">
        <v>1444</v>
      </c>
      <c r="G20" s="1117"/>
      <c r="H20" s="1088"/>
      <c r="I20" s="1088"/>
    </row>
    <row r="21" spans="1:9" s="1530" customFormat="1" ht="19.5" customHeight="1">
      <c r="A21" s="3525"/>
      <c r="B21" s="3525"/>
      <c r="C21" s="1114" t="s">
        <v>1445</v>
      </c>
      <c r="D21" s="1115"/>
      <c r="E21" s="1137">
        <v>0.8</v>
      </c>
      <c r="F21" s="1116" t="s">
        <v>1446</v>
      </c>
      <c r="G21" s="1117"/>
      <c r="H21" s="1088"/>
      <c r="I21" s="1088"/>
    </row>
    <row r="22" spans="1:9" s="1530" customFormat="1" ht="19.5" customHeight="1">
      <c r="A22" s="3525"/>
      <c r="B22" s="3525"/>
      <c r="C22" s="1114" t="s">
        <v>1447</v>
      </c>
      <c r="D22" s="1115"/>
      <c r="E22" s="1137">
        <v>0.5</v>
      </c>
      <c r="F22" s="1116"/>
      <c r="G22" s="1117"/>
      <c r="H22" s="1088"/>
      <c r="I22" s="1088"/>
    </row>
    <row r="23" spans="1:9" s="1530" customFormat="1" ht="19.5" customHeight="1">
      <c r="A23" s="3525" t="s">
        <v>1020</v>
      </c>
      <c r="B23" s="1137" t="s">
        <v>1437</v>
      </c>
      <c r="C23" s="1114" t="s">
        <v>1448</v>
      </c>
      <c r="D23" s="1115"/>
      <c r="E23" s="1137">
        <v>1</v>
      </c>
      <c r="F23" s="1116" t="s">
        <v>1449</v>
      </c>
      <c r="G23" s="1117"/>
      <c r="H23" s="1088"/>
      <c r="I23" s="1088"/>
    </row>
    <row r="24" spans="1:9" s="1530" customFormat="1" ht="19.5" customHeight="1">
      <c r="A24" s="3525"/>
      <c r="B24" s="3525" t="s">
        <v>1440</v>
      </c>
      <c r="C24" s="1114" t="s">
        <v>1450</v>
      </c>
      <c r="D24" s="1115"/>
      <c r="E24" s="1137">
        <v>0.5</v>
      </c>
      <c r="F24" s="1116"/>
      <c r="G24" s="1117"/>
      <c r="H24" s="1088"/>
      <c r="I24" s="1088"/>
    </row>
    <row r="25" spans="1:9" s="1530" customFormat="1" ht="19.5" customHeight="1">
      <c r="A25" s="3525"/>
      <c r="B25" s="3525"/>
      <c r="C25" s="1114" t="s">
        <v>1451</v>
      </c>
      <c r="D25" s="1115"/>
      <c r="E25" s="1137">
        <v>1.1000000000000001</v>
      </c>
      <c r="F25" s="1116"/>
      <c r="G25" s="1117"/>
      <c r="H25" s="1088"/>
      <c r="I25" s="1088"/>
    </row>
    <row r="26" spans="1:9" s="1530" customFormat="1" ht="19.5" customHeight="1">
      <c r="A26" s="3525"/>
      <c r="B26" s="3525"/>
      <c r="C26" s="1114" t="s">
        <v>1452</v>
      </c>
      <c r="D26" s="1115"/>
      <c r="E26" s="1137">
        <v>1.1000000000000001</v>
      </c>
      <c r="F26" s="1116"/>
      <c r="G26" s="1117"/>
      <c r="H26" s="1088"/>
      <c r="I26" s="1088"/>
    </row>
    <row r="27" spans="1:9" s="1530" customFormat="1" ht="19.5" customHeight="1">
      <c r="A27" s="3525"/>
      <c r="B27" s="3525"/>
      <c r="C27" s="1114" t="s">
        <v>1453</v>
      </c>
      <c r="D27" s="1115"/>
      <c r="E27" s="1137">
        <v>0.9</v>
      </c>
      <c r="F27" s="1116" t="s">
        <v>1454</v>
      </c>
      <c r="G27" s="1117"/>
      <c r="H27" s="1088"/>
      <c r="I27" s="1088"/>
    </row>
    <row r="28" spans="1:9" s="1530" customFormat="1" ht="19.5" customHeight="1">
      <c r="A28" s="3525"/>
      <c r="B28" s="3525"/>
      <c r="C28" s="1114" t="s">
        <v>1455</v>
      </c>
      <c r="D28" s="1115"/>
      <c r="E28" s="1137">
        <v>0.9</v>
      </c>
      <c r="F28" s="1116" t="s">
        <v>1456</v>
      </c>
      <c r="G28" s="1117"/>
      <c r="H28" s="1088"/>
      <c r="I28" s="1088"/>
    </row>
    <row r="29" spans="1:9" s="1530" customFormat="1" ht="19.5" customHeight="1">
      <c r="A29" s="3525"/>
      <c r="B29" s="3525"/>
      <c r="C29" s="1114" t="s">
        <v>1457</v>
      </c>
      <c r="D29" s="1115"/>
      <c r="E29" s="1137">
        <v>0.9</v>
      </c>
      <c r="F29" s="1116" t="s">
        <v>1458</v>
      </c>
      <c r="G29" s="1117"/>
      <c r="H29" s="1088"/>
      <c r="I29" s="1088"/>
    </row>
    <row r="30" spans="1:9" s="1530" customFormat="1" ht="19.5" customHeight="1">
      <c r="A30" s="3525"/>
      <c r="B30" s="3525"/>
      <c r="C30" s="1114" t="s">
        <v>1459</v>
      </c>
      <c r="D30" s="1115"/>
      <c r="E30" s="1137">
        <v>0.9</v>
      </c>
      <c r="F30" s="1116" t="s">
        <v>1460</v>
      </c>
      <c r="G30" s="1117"/>
      <c r="H30" s="1088"/>
      <c r="I30" s="1088"/>
    </row>
    <row r="31" spans="1:9" s="1530" customFormat="1" ht="19.5" customHeight="1">
      <c r="A31" s="3525"/>
      <c r="B31" s="3525"/>
      <c r="C31" s="1114" t="s">
        <v>1461</v>
      </c>
      <c r="D31" s="1115"/>
      <c r="E31" s="1137">
        <v>0.8</v>
      </c>
      <c r="F31" s="1116" t="s">
        <v>1462</v>
      </c>
      <c r="G31" s="1117"/>
      <c r="H31" s="1088"/>
      <c r="I31" s="1088"/>
    </row>
    <row r="32" spans="1:9" s="1530" customFormat="1" ht="19.5" customHeight="1">
      <c r="A32" s="3525"/>
      <c r="B32" s="3525"/>
      <c r="C32" s="1114" t="s">
        <v>1463</v>
      </c>
      <c r="D32" s="1115"/>
      <c r="E32" s="1137">
        <v>0.8</v>
      </c>
      <c r="F32" s="1116" t="s">
        <v>1464</v>
      </c>
      <c r="G32" s="1117"/>
      <c r="H32" s="1088"/>
      <c r="I32" s="1088"/>
    </row>
    <row r="33" spans="1:9" s="1530" customFormat="1" ht="19.5" customHeight="1">
      <c r="A33" s="3525" t="s">
        <v>1465</v>
      </c>
      <c r="B33" s="1137" t="s">
        <v>1437</v>
      </c>
      <c r="C33" s="1114" t="s">
        <v>1466</v>
      </c>
      <c r="D33" s="1115"/>
      <c r="E33" s="1137">
        <v>1</v>
      </c>
      <c r="F33" s="1116" t="s">
        <v>1467</v>
      </c>
      <c r="G33" s="1117"/>
      <c r="H33" s="1088"/>
      <c r="I33" s="1088"/>
    </row>
    <row r="34" spans="1:9" s="1530" customFormat="1" ht="19.5" customHeight="1">
      <c r="A34" s="3525"/>
      <c r="B34" s="1137" t="s">
        <v>1440</v>
      </c>
      <c r="C34" s="1114" t="s">
        <v>1468</v>
      </c>
      <c r="D34" s="1115"/>
      <c r="E34" s="1137">
        <v>1.5</v>
      </c>
      <c r="F34" s="1116" t="s">
        <v>1469</v>
      </c>
      <c r="G34" s="1117"/>
      <c r="H34" s="1088"/>
      <c r="I34" s="1088"/>
    </row>
    <row r="35" spans="1:9" s="1530" customFormat="1" ht="19.5" customHeight="1">
      <c r="A35" s="3525" t="s">
        <v>1423</v>
      </c>
      <c r="B35" s="1137" t="s">
        <v>1437</v>
      </c>
      <c r="C35" s="1114" t="s">
        <v>1470</v>
      </c>
      <c r="D35" s="1115"/>
      <c r="E35" s="1137">
        <v>1</v>
      </c>
      <c r="F35" s="1116" t="s">
        <v>1471</v>
      </c>
      <c r="G35" s="1117"/>
      <c r="H35" s="1088"/>
      <c r="I35" s="1088"/>
    </row>
    <row r="36" spans="1:9" s="1530" customFormat="1" ht="19.5" customHeight="1">
      <c r="A36" s="3525"/>
      <c r="B36" s="3525" t="s">
        <v>1440</v>
      </c>
      <c r="C36" s="1114" t="s">
        <v>1472</v>
      </c>
      <c r="D36" s="1115"/>
      <c r="E36" s="1137">
        <v>1</v>
      </c>
      <c r="F36" s="1116" t="s">
        <v>1473</v>
      </c>
      <c r="G36" s="1117"/>
      <c r="H36" s="1088"/>
      <c r="I36" s="1088"/>
    </row>
    <row r="37" spans="1:9" s="1530" customFormat="1" ht="19.5" customHeight="1">
      <c r="A37" s="3525"/>
      <c r="B37" s="3525"/>
      <c r="C37" s="1114" t="s">
        <v>1474</v>
      </c>
      <c r="D37" s="1115"/>
      <c r="E37" s="1137">
        <v>1.5</v>
      </c>
      <c r="F37" s="1116" t="s">
        <v>1475</v>
      </c>
      <c r="G37" s="1117"/>
      <c r="H37" s="1088"/>
      <c r="I37" s="1088"/>
    </row>
    <row r="38" spans="1:9" s="1530" customFormat="1" ht="19.5" customHeight="1">
      <c r="A38" s="3525"/>
      <c r="B38" s="3525"/>
      <c r="C38" s="1114" t="s">
        <v>1476</v>
      </c>
      <c r="D38" s="1115"/>
      <c r="E38" s="1137">
        <v>1</v>
      </c>
      <c r="F38" s="1116" t="s">
        <v>1477</v>
      </c>
      <c r="G38" s="1117"/>
      <c r="H38" s="1088"/>
      <c r="I38" s="1088"/>
    </row>
    <row r="39" spans="1:9" s="1530" customFormat="1" ht="19.5" customHeight="1">
      <c r="A39" s="3525"/>
      <c r="B39" s="3525"/>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36">
      <c r="A61" s="1137">
        <v>1</v>
      </c>
      <c r="B61" s="3525" t="s">
        <v>1492</v>
      </c>
      <c r="C61" s="1051" t="s">
        <v>1493</v>
      </c>
      <c r="D61" s="1051" t="s">
        <v>1494</v>
      </c>
      <c r="E61" s="1122">
        <v>0.5</v>
      </c>
      <c r="F61" s="1137">
        <v>80</v>
      </c>
      <c r="H61" s="1088">
        <f>SUMIF(C59:C119,基准地价!C8,E59:E119)</f>
        <v>0</v>
      </c>
    </row>
    <row r="62" spans="1:8" s="1088" customFormat="1" ht="36">
      <c r="A62" s="1137">
        <v>2</v>
      </c>
      <c r="B62" s="3525"/>
      <c r="C62" s="1051" t="s">
        <v>1495</v>
      </c>
      <c r="D62" s="1051" t="s">
        <v>1496</v>
      </c>
      <c r="E62" s="1122">
        <v>0.5</v>
      </c>
      <c r="F62" s="1137">
        <v>80</v>
      </c>
    </row>
    <row r="63" spans="1:8" s="1088" customFormat="1" ht="48">
      <c r="A63" s="1137">
        <v>3</v>
      </c>
      <c r="B63" s="3525"/>
      <c r="C63" s="1051" t="s">
        <v>1497</v>
      </c>
      <c r="D63" s="1051" t="s">
        <v>1498</v>
      </c>
      <c r="E63" s="1122">
        <v>0.5</v>
      </c>
      <c r="F63" s="1137">
        <v>80</v>
      </c>
    </row>
    <row r="64" spans="1:8" s="1088" customFormat="1" ht="48">
      <c r="A64" s="1137">
        <v>4</v>
      </c>
      <c r="B64" s="3525"/>
      <c r="C64" s="1051" t="s">
        <v>1499</v>
      </c>
      <c r="D64" s="1051" t="s">
        <v>1500</v>
      </c>
      <c r="E64" s="1122">
        <v>0.4</v>
      </c>
      <c r="F64" s="1137">
        <v>60</v>
      </c>
    </row>
    <row r="65" spans="1:6" s="1088" customFormat="1" ht="48">
      <c r="A65" s="1137">
        <v>5</v>
      </c>
      <c r="B65" s="3525"/>
      <c r="C65" s="1051" t="s">
        <v>1501</v>
      </c>
      <c r="D65" s="1051" t="s">
        <v>1502</v>
      </c>
      <c r="E65" s="1122">
        <v>0.2</v>
      </c>
      <c r="F65" s="1137">
        <v>30</v>
      </c>
    </row>
    <row r="66" spans="1:6" s="1088" customFormat="1" ht="48">
      <c r="A66" s="1137">
        <v>6</v>
      </c>
      <c r="B66" s="3525"/>
      <c r="C66" s="1051" t="s">
        <v>1503</v>
      </c>
      <c r="D66" s="1051" t="s">
        <v>1504</v>
      </c>
      <c r="E66" s="1122">
        <v>0.3</v>
      </c>
      <c r="F66" s="1137">
        <v>50</v>
      </c>
    </row>
    <row r="67" spans="1:6" s="1088" customFormat="1" ht="48">
      <c r="A67" s="1137">
        <v>7</v>
      </c>
      <c r="B67" s="3525"/>
      <c r="C67" s="1051" t="s">
        <v>1505</v>
      </c>
      <c r="D67" s="1051" t="s">
        <v>1506</v>
      </c>
      <c r="E67" s="1122">
        <v>0.2</v>
      </c>
      <c r="F67" s="1137">
        <v>30</v>
      </c>
    </row>
    <row r="68" spans="1:6" s="1088" customFormat="1" ht="48">
      <c r="A68" s="1137">
        <v>8</v>
      </c>
      <c r="B68" s="3525"/>
      <c r="C68" s="1051" t="s">
        <v>1507</v>
      </c>
      <c r="D68" s="1051" t="s">
        <v>1508</v>
      </c>
      <c r="E68" s="1122">
        <v>0.2</v>
      </c>
      <c r="F68" s="1137">
        <v>30</v>
      </c>
    </row>
    <row r="69" spans="1:6" s="1088" customFormat="1" ht="48">
      <c r="A69" s="1137">
        <v>9</v>
      </c>
      <c r="B69" s="3525"/>
      <c r="C69" s="1051" t="s">
        <v>1509</v>
      </c>
      <c r="D69" s="1051" t="s">
        <v>1510</v>
      </c>
      <c r="E69" s="1122">
        <v>0.2</v>
      </c>
      <c r="F69" s="1137">
        <v>30</v>
      </c>
    </row>
    <row r="70" spans="1:6" s="1088" customFormat="1" ht="60">
      <c r="A70" s="1137">
        <v>10</v>
      </c>
      <c r="B70" s="3525"/>
      <c r="C70" s="1051" t="s">
        <v>1511</v>
      </c>
      <c r="D70" s="1051" t="s">
        <v>1512</v>
      </c>
      <c r="E70" s="1122">
        <v>0.2</v>
      </c>
      <c r="F70" s="1137">
        <v>30</v>
      </c>
    </row>
    <row r="71" spans="1:6" s="1088" customFormat="1" ht="60">
      <c r="A71" s="1137">
        <v>11</v>
      </c>
      <c r="B71" s="3525"/>
      <c r="C71" s="1051" t="s">
        <v>1513</v>
      </c>
      <c r="D71" s="1051" t="s">
        <v>1514</v>
      </c>
      <c r="E71" s="1122">
        <v>0.2</v>
      </c>
      <c r="F71" s="1137">
        <v>30</v>
      </c>
    </row>
    <row r="72" spans="1:6" s="1088" customFormat="1" ht="36">
      <c r="A72" s="1137">
        <v>12</v>
      </c>
      <c r="B72" s="3525"/>
      <c r="C72" s="1051" t="s">
        <v>1515</v>
      </c>
      <c r="D72" s="1051" t="s">
        <v>1516</v>
      </c>
      <c r="E72" s="1122">
        <v>0.5</v>
      </c>
      <c r="F72" s="1137">
        <v>80</v>
      </c>
    </row>
    <row r="73" spans="1:6" s="1088" customFormat="1" ht="36">
      <c r="A73" s="1137">
        <v>13</v>
      </c>
      <c r="B73" s="3525"/>
      <c r="C73" s="1051" t="s">
        <v>1517</v>
      </c>
      <c r="D73" s="1051" t="s">
        <v>1518</v>
      </c>
      <c r="E73" s="1122">
        <v>0.4</v>
      </c>
      <c r="F73" s="1137">
        <v>60</v>
      </c>
    </row>
    <row r="74" spans="1:6" s="1088" customFormat="1" ht="36">
      <c r="A74" s="1137">
        <v>14</v>
      </c>
      <c r="B74" s="3525"/>
      <c r="C74" s="1051" t="s">
        <v>1519</v>
      </c>
      <c r="D74" s="1051" t="s">
        <v>1520</v>
      </c>
      <c r="E74" s="1122">
        <v>0.2</v>
      </c>
      <c r="F74" s="1137">
        <v>30</v>
      </c>
    </row>
    <row r="75" spans="1:6" s="1088" customFormat="1" ht="36">
      <c r="A75" s="1137">
        <v>15</v>
      </c>
      <c r="B75" s="3525"/>
      <c r="C75" s="1051" t="s">
        <v>1521</v>
      </c>
      <c r="D75" s="1051" t="s">
        <v>1522</v>
      </c>
      <c r="E75" s="1122">
        <v>0.2</v>
      </c>
      <c r="F75" s="1137">
        <v>30</v>
      </c>
    </row>
    <row r="76" spans="1:6" s="1088" customFormat="1" ht="36">
      <c r="A76" s="1137">
        <v>16</v>
      </c>
      <c r="B76" s="3525" t="s">
        <v>1523</v>
      </c>
      <c r="C76" s="1051" t="s">
        <v>1524</v>
      </c>
      <c r="D76" s="1051" t="s">
        <v>1525</v>
      </c>
      <c r="E76" s="1122">
        <v>0.5</v>
      </c>
      <c r="F76" s="1137">
        <v>80</v>
      </c>
    </row>
    <row r="77" spans="1:6" s="1088" customFormat="1" ht="36">
      <c r="A77" s="1137">
        <v>17</v>
      </c>
      <c r="B77" s="3525"/>
      <c r="C77" s="1051" t="s">
        <v>1526</v>
      </c>
      <c r="D77" s="1051" t="s">
        <v>1527</v>
      </c>
      <c r="E77" s="1122">
        <v>0.5</v>
      </c>
      <c r="F77" s="1137">
        <v>80</v>
      </c>
    </row>
    <row r="78" spans="1:6" s="1088" customFormat="1" ht="36">
      <c r="A78" s="1137">
        <v>18</v>
      </c>
      <c r="B78" s="3525"/>
      <c r="C78" s="1051" t="s">
        <v>1528</v>
      </c>
      <c r="D78" s="1051" t="s">
        <v>1529</v>
      </c>
      <c r="E78" s="1122">
        <v>0.2</v>
      </c>
      <c r="F78" s="1137">
        <v>30</v>
      </c>
    </row>
    <row r="79" spans="1:6" s="1088" customFormat="1" ht="36">
      <c r="A79" s="1137">
        <v>19</v>
      </c>
      <c r="B79" s="3525"/>
      <c r="C79" s="1051" t="s">
        <v>1530</v>
      </c>
      <c r="D79" s="1051" t="s">
        <v>1531</v>
      </c>
      <c r="E79" s="1122">
        <v>0.5</v>
      </c>
      <c r="F79" s="1137">
        <v>80</v>
      </c>
    </row>
    <row r="80" spans="1:6" s="1088" customFormat="1" ht="36">
      <c r="A80" s="1137">
        <v>20</v>
      </c>
      <c r="B80" s="3525"/>
      <c r="C80" s="1051" t="s">
        <v>1532</v>
      </c>
      <c r="D80" s="1051" t="s">
        <v>1533</v>
      </c>
      <c r="E80" s="1122">
        <v>0.2</v>
      </c>
      <c r="F80" s="1137">
        <v>30</v>
      </c>
    </row>
    <row r="81" spans="1:6" s="1088" customFormat="1" ht="36">
      <c r="A81" s="1137">
        <v>21</v>
      </c>
      <c r="B81" s="3525"/>
      <c r="C81" s="1051" t="s">
        <v>1534</v>
      </c>
      <c r="D81" s="1051" t="s">
        <v>1535</v>
      </c>
      <c r="E81" s="1122">
        <v>0.2</v>
      </c>
      <c r="F81" s="1137">
        <v>30</v>
      </c>
    </row>
    <row r="82" spans="1:6" s="1088" customFormat="1" ht="60">
      <c r="A82" s="1137">
        <v>22</v>
      </c>
      <c r="B82" s="3525"/>
      <c r="C82" s="1051" t="s">
        <v>1536</v>
      </c>
      <c r="D82" s="1051" t="s">
        <v>1537</v>
      </c>
      <c r="E82" s="1122">
        <v>0.2</v>
      </c>
      <c r="F82" s="1137">
        <v>30</v>
      </c>
    </row>
    <row r="83" spans="1:6" s="1088" customFormat="1" ht="60">
      <c r="A83" s="1137">
        <v>23</v>
      </c>
      <c r="B83" s="3525"/>
      <c r="C83" s="1051" t="s">
        <v>1538</v>
      </c>
      <c r="D83" s="1051" t="s">
        <v>1539</v>
      </c>
      <c r="E83" s="1122">
        <v>0.2</v>
      </c>
      <c r="F83" s="1137">
        <v>30</v>
      </c>
    </row>
    <row r="84" spans="1:6" s="1088" customFormat="1" ht="48">
      <c r="A84" s="1137">
        <v>24</v>
      </c>
      <c r="B84" s="3525"/>
      <c r="C84" s="1051" t="s">
        <v>1540</v>
      </c>
      <c r="D84" s="1051" t="s">
        <v>1541</v>
      </c>
      <c r="E84" s="1122">
        <v>0.2</v>
      </c>
      <c r="F84" s="1137">
        <v>30</v>
      </c>
    </row>
    <row r="85" spans="1:6" s="1088" customFormat="1" ht="36">
      <c r="A85" s="1137">
        <v>25</v>
      </c>
      <c r="B85" s="3525"/>
      <c r="C85" s="1051" t="s">
        <v>1542</v>
      </c>
      <c r="D85" s="1051" t="s">
        <v>1543</v>
      </c>
      <c r="E85" s="1122">
        <v>0.5</v>
      </c>
      <c r="F85" s="1137">
        <v>80</v>
      </c>
    </row>
    <row r="86" spans="1:6" s="1088" customFormat="1" ht="36">
      <c r="A86" s="1137">
        <v>26</v>
      </c>
      <c r="B86" s="3525"/>
      <c r="C86" s="1051" t="s">
        <v>1544</v>
      </c>
      <c r="D86" s="1051" t="s">
        <v>1545</v>
      </c>
      <c r="E86" s="1122">
        <v>0.2</v>
      </c>
      <c r="F86" s="1137">
        <v>30</v>
      </c>
    </row>
    <row r="87" spans="1:6" s="1088" customFormat="1" ht="36">
      <c r="A87" s="1137">
        <v>27</v>
      </c>
      <c r="B87" s="3525"/>
      <c r="C87" s="1051" t="s">
        <v>1546</v>
      </c>
      <c r="D87" s="1051" t="s">
        <v>1547</v>
      </c>
      <c r="E87" s="1122">
        <v>0.2</v>
      </c>
      <c r="F87" s="1137">
        <v>30</v>
      </c>
    </row>
    <row r="88" spans="1:6" s="1088" customFormat="1" ht="36">
      <c r="A88" s="1137">
        <v>28</v>
      </c>
      <c r="B88" s="3525"/>
      <c r="C88" s="1051" t="s">
        <v>1548</v>
      </c>
      <c r="D88" s="1051" t="s">
        <v>1549</v>
      </c>
      <c r="E88" s="1122">
        <v>0.2</v>
      </c>
      <c r="F88" s="1137">
        <v>30</v>
      </c>
    </row>
    <row r="89" spans="1:6" s="1088" customFormat="1" ht="36">
      <c r="A89" s="1137">
        <v>29</v>
      </c>
      <c r="B89" s="3525"/>
      <c r="C89" s="1051" t="s">
        <v>1550</v>
      </c>
      <c r="D89" s="1051" t="s">
        <v>1551</v>
      </c>
      <c r="E89" s="1122">
        <v>0.2</v>
      </c>
      <c r="F89" s="1137">
        <v>30</v>
      </c>
    </row>
    <row r="90" spans="1:6" s="1088" customFormat="1" ht="36">
      <c r="A90" s="1137">
        <v>30</v>
      </c>
      <c r="B90" s="3525"/>
      <c r="C90" s="1051" t="s">
        <v>1552</v>
      </c>
      <c r="D90" s="1051" t="s">
        <v>1553</v>
      </c>
      <c r="E90" s="1122">
        <v>0.2</v>
      </c>
      <c r="F90" s="1137">
        <v>30</v>
      </c>
    </row>
    <row r="91" spans="1:6" s="1088" customFormat="1" ht="48">
      <c r="A91" s="1137">
        <v>31</v>
      </c>
      <c r="B91" s="3525"/>
      <c r="C91" s="1051" t="s">
        <v>1554</v>
      </c>
      <c r="D91" s="1051" t="s">
        <v>1555</v>
      </c>
      <c r="E91" s="1122">
        <v>0.2</v>
      </c>
      <c r="F91" s="1137">
        <v>30</v>
      </c>
    </row>
    <row r="92" spans="1:6" s="1088" customFormat="1" ht="36">
      <c r="A92" s="1137">
        <v>32</v>
      </c>
      <c r="B92" s="3525" t="s">
        <v>1556</v>
      </c>
      <c r="C92" s="1137" t="s">
        <v>1557</v>
      </c>
      <c r="D92" s="1051" t="s">
        <v>1558</v>
      </c>
      <c r="E92" s="1122">
        <v>0.2</v>
      </c>
      <c r="F92" s="1137">
        <v>30</v>
      </c>
    </row>
    <row r="93" spans="1:6" s="1088" customFormat="1" ht="36">
      <c r="A93" s="1137">
        <v>33</v>
      </c>
      <c r="B93" s="3525"/>
      <c r="C93" s="1137" t="s">
        <v>1559</v>
      </c>
      <c r="D93" s="1051" t="s">
        <v>1560</v>
      </c>
      <c r="E93" s="1122">
        <v>0.2</v>
      </c>
      <c r="F93" s="1137">
        <v>30</v>
      </c>
    </row>
    <row r="94" spans="1:6" s="1088" customFormat="1" ht="60">
      <c r="A94" s="1137">
        <v>34</v>
      </c>
      <c r="B94" s="3525"/>
      <c r="C94" s="1137" t="s">
        <v>1561</v>
      </c>
      <c r="D94" s="1051" t="s">
        <v>1562</v>
      </c>
      <c r="E94" s="1122">
        <v>0.2</v>
      </c>
      <c r="F94" s="1137">
        <v>30</v>
      </c>
    </row>
    <row r="95" spans="1:6" s="1088" customFormat="1" ht="48">
      <c r="A95" s="1137">
        <v>35</v>
      </c>
      <c r="B95" s="3525"/>
      <c r="C95" s="1137" t="s">
        <v>1563</v>
      </c>
      <c r="D95" s="1051" t="s">
        <v>1564</v>
      </c>
      <c r="E95" s="1122">
        <v>0.2</v>
      </c>
      <c r="F95" s="1137">
        <v>30</v>
      </c>
    </row>
    <row r="96" spans="1:6" s="1088" customFormat="1" ht="72">
      <c r="A96" s="1137">
        <v>36</v>
      </c>
      <c r="B96" s="3525"/>
      <c r="C96" s="1051" t="s">
        <v>1565</v>
      </c>
      <c r="D96" s="1051" t="s">
        <v>1566</v>
      </c>
      <c r="E96" s="1122">
        <v>0.2</v>
      </c>
      <c r="F96" s="1137">
        <v>30</v>
      </c>
    </row>
    <row r="97" spans="1:6" s="1088" customFormat="1" ht="36">
      <c r="A97" s="1137">
        <v>37</v>
      </c>
      <c r="B97" s="3525"/>
      <c r="C97" s="1137" t="s">
        <v>1567</v>
      </c>
      <c r="D97" s="1051" t="s">
        <v>1568</v>
      </c>
      <c r="E97" s="1122">
        <v>0.2</v>
      </c>
      <c r="F97" s="1137">
        <v>30</v>
      </c>
    </row>
    <row r="98" spans="1:6" s="1088" customFormat="1" ht="36">
      <c r="A98" s="1137">
        <v>38</v>
      </c>
      <c r="B98" s="3525"/>
      <c r="C98" s="1137" t="s">
        <v>1569</v>
      </c>
      <c r="D98" s="1051" t="s">
        <v>1570</v>
      </c>
      <c r="E98" s="1122">
        <v>0.2</v>
      </c>
      <c r="F98" s="1137">
        <v>30</v>
      </c>
    </row>
    <row r="99" spans="1:6" s="1088" customFormat="1" ht="36">
      <c r="A99" s="1137">
        <v>39</v>
      </c>
      <c r="B99" s="3525" t="s">
        <v>1571</v>
      </c>
      <c r="C99" s="1137" t="s">
        <v>1572</v>
      </c>
      <c r="D99" s="1051" t="s">
        <v>1573</v>
      </c>
      <c r="E99" s="1122">
        <v>0.3</v>
      </c>
      <c r="F99" s="1137">
        <v>50</v>
      </c>
    </row>
    <row r="100" spans="1:6" s="1088" customFormat="1" ht="36">
      <c r="A100" s="1137">
        <v>40</v>
      </c>
      <c r="B100" s="3525"/>
      <c r="C100" s="1137" t="s">
        <v>1574</v>
      </c>
      <c r="D100" s="1051" t="s">
        <v>1575</v>
      </c>
      <c r="E100" s="1122">
        <v>0.2</v>
      </c>
      <c r="F100" s="1137">
        <v>30</v>
      </c>
    </row>
    <row r="101" spans="1:6" s="1088" customFormat="1" ht="36">
      <c r="A101" s="1137">
        <v>41</v>
      </c>
      <c r="B101" s="3525"/>
      <c r="C101" s="1137" t="s">
        <v>1576</v>
      </c>
      <c r="D101" s="1051" t="s">
        <v>1573</v>
      </c>
      <c r="E101" s="1122">
        <v>0.2</v>
      </c>
      <c r="F101" s="1137">
        <v>30</v>
      </c>
    </row>
    <row r="102" spans="1:6" s="1088" customFormat="1" ht="72">
      <c r="A102" s="1137">
        <v>42</v>
      </c>
      <c r="B102" s="1137" t="s">
        <v>1577</v>
      </c>
      <c r="C102" s="1051" t="s">
        <v>1578</v>
      </c>
      <c r="D102" s="1051" t="s">
        <v>1579</v>
      </c>
      <c r="E102" s="1122">
        <v>0.2</v>
      </c>
      <c r="F102" s="1137">
        <v>30</v>
      </c>
    </row>
    <row r="103" spans="1:6" s="1088" customFormat="1" ht="36">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48">
      <c r="A105" s="1137">
        <v>45</v>
      </c>
      <c r="B105" s="3525" t="s">
        <v>1586</v>
      </c>
      <c r="C105" s="1137" t="s">
        <v>1587</v>
      </c>
      <c r="D105" s="1051" t="s">
        <v>1588</v>
      </c>
      <c r="E105" s="1122">
        <v>0.2</v>
      </c>
      <c r="F105" s="1137">
        <v>30</v>
      </c>
    </row>
    <row r="106" spans="1:6" s="1088" customFormat="1" ht="48">
      <c r="A106" s="1137">
        <v>46</v>
      </c>
      <c r="B106" s="3525"/>
      <c r="C106" s="1137" t="s">
        <v>1589</v>
      </c>
      <c r="D106" s="1051" t="s">
        <v>1590</v>
      </c>
      <c r="E106" s="1122">
        <v>0.2</v>
      </c>
      <c r="F106" s="1137">
        <v>30</v>
      </c>
    </row>
    <row r="107" spans="1:6" s="1088" customFormat="1" ht="36">
      <c r="A107" s="1137">
        <v>47</v>
      </c>
      <c r="B107" s="3525" t="s">
        <v>1591</v>
      </c>
      <c r="C107" s="1137" t="s">
        <v>1592</v>
      </c>
      <c r="D107" s="1051" t="s">
        <v>1593</v>
      </c>
      <c r="E107" s="1122">
        <v>0.3</v>
      </c>
      <c r="F107" s="1137">
        <v>50</v>
      </c>
    </row>
    <row r="108" spans="1:6" s="1088" customFormat="1" ht="48">
      <c r="A108" s="1137">
        <v>48</v>
      </c>
      <c r="B108" s="3525"/>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48">
      <c r="A110" s="1137">
        <v>50</v>
      </c>
      <c r="B110" s="1137" t="s">
        <v>1599</v>
      </c>
      <c r="C110" s="1137" t="s">
        <v>1600</v>
      </c>
      <c r="D110" s="1051" t="s">
        <v>1601</v>
      </c>
      <c r="E110" s="1122">
        <v>0.2</v>
      </c>
      <c r="F110" s="1137">
        <v>30</v>
      </c>
    </row>
    <row r="111" spans="1:6" s="1088" customFormat="1" ht="48">
      <c r="A111" s="1137">
        <v>51</v>
      </c>
      <c r="B111" s="3525" t="s">
        <v>1602</v>
      </c>
      <c r="C111" s="1137" t="s">
        <v>1603</v>
      </c>
      <c r="D111" s="1051" t="s">
        <v>1604</v>
      </c>
      <c r="E111" s="1122">
        <v>0.2</v>
      </c>
      <c r="F111" s="1137">
        <v>30</v>
      </c>
    </row>
    <row r="112" spans="1:6" s="1088" customFormat="1" ht="36">
      <c r="A112" s="1137">
        <v>52</v>
      </c>
      <c r="B112" s="3525"/>
      <c r="C112" s="1137" t="s">
        <v>1605</v>
      </c>
      <c r="D112" s="1051" t="s">
        <v>1606</v>
      </c>
      <c r="E112" s="1122">
        <v>0.2</v>
      </c>
      <c r="F112" s="1137">
        <v>30</v>
      </c>
    </row>
    <row r="113" spans="1:14" s="1088" customFormat="1" ht="36">
      <c r="A113" s="1137">
        <v>53</v>
      </c>
      <c r="B113" s="3525"/>
      <c r="C113" s="1137" t="s">
        <v>1607</v>
      </c>
      <c r="D113" s="1051" t="s">
        <v>1608</v>
      </c>
      <c r="E113" s="1122">
        <v>0.2</v>
      </c>
      <c r="F113" s="1137">
        <v>30</v>
      </c>
    </row>
    <row r="114" spans="1:14" ht="48">
      <c r="A114" s="1137">
        <v>54</v>
      </c>
      <c r="B114" s="1137" t="s">
        <v>1609</v>
      </c>
      <c r="C114" s="1137" t="s">
        <v>1610</v>
      </c>
      <c r="D114" s="1051" t="s">
        <v>1611</v>
      </c>
      <c r="E114" s="1122">
        <v>0.2</v>
      </c>
      <c r="F114" s="1137">
        <v>30</v>
      </c>
    </row>
    <row r="115" spans="1:14" ht="36">
      <c r="A115" s="1137">
        <v>55</v>
      </c>
      <c r="B115" s="1137" t="s">
        <v>1612</v>
      </c>
      <c r="C115" s="1137" t="s">
        <v>1613</v>
      </c>
      <c r="D115" s="1051" t="s">
        <v>1614</v>
      </c>
      <c r="E115" s="1122">
        <v>0.2</v>
      </c>
      <c r="F115" s="1137">
        <v>30</v>
      </c>
    </row>
    <row r="116" spans="1:14" ht="36">
      <c r="A116" s="1137">
        <v>56</v>
      </c>
      <c r="B116" s="3525" t="s">
        <v>1615</v>
      </c>
      <c r="C116" s="1137" t="s">
        <v>1616</v>
      </c>
      <c r="D116" s="1051" t="s">
        <v>1617</v>
      </c>
      <c r="E116" s="1122">
        <v>0.2</v>
      </c>
      <c r="F116" s="1137">
        <v>30</v>
      </c>
    </row>
    <row r="117" spans="1:14" ht="36">
      <c r="A117" s="1137">
        <v>57</v>
      </c>
      <c r="B117" s="3525"/>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4.4">
      <c r="A119" s="1137"/>
      <c r="B119" s="1137"/>
      <c r="C119" s="1137"/>
      <c r="D119" s="1137"/>
      <c r="E119" s="1122"/>
      <c r="F119" s="1137"/>
    </row>
    <row r="121" spans="1:14" ht="19.5" customHeight="1">
      <c r="A121" s="3524" t="s">
        <v>1624</v>
      </c>
      <c r="B121" s="3524"/>
      <c r="C121" s="3524"/>
      <c r="D121" s="3524"/>
      <c r="E121" s="3524"/>
      <c r="F121" s="3524"/>
      <c r="G121" s="3524"/>
      <c r="H121" s="3524"/>
      <c r="I121" s="3524"/>
      <c r="J121" s="3524"/>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8" customWidth="1"/>
    <col min="2" max="5" width="10.21875" style="1049" customWidth="1"/>
    <col min="6" max="6" width="9" style="1049"/>
    <col min="7" max="7" width="9" style="1052"/>
    <col min="8" max="8" width="9" style="1049"/>
    <col min="9" max="9" width="9" style="1052"/>
    <col min="10" max="16384" width="9" style="1049"/>
  </cols>
  <sheetData>
    <row r="1" spans="1:20">
      <c r="A1" s="3526" t="s">
        <v>1030</v>
      </c>
      <c r="B1" s="3526"/>
      <c r="C1" s="3526"/>
      <c r="D1" s="3526"/>
      <c r="E1" s="3526"/>
      <c r="F1" s="352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5" thickBot="1">
      <c r="A2" s="3527" t="s">
        <v>1043</v>
      </c>
      <c r="B2" s="3527"/>
      <c r="C2" s="3527"/>
      <c r="D2" s="3527"/>
      <c r="E2" s="3527"/>
      <c r="F2" s="352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2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4"/>
    <col min="2" max="16384" width="9" style="998"/>
  </cols>
  <sheetData>
    <row r="1" spans="1:14" ht="15.6">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6">
      <c r="A103" s="996" t="s">
        <v>895</v>
      </c>
      <c r="B103" s="997"/>
      <c r="C103" s="997"/>
      <c r="D103" s="997"/>
      <c r="E103" s="997"/>
      <c r="F103" s="997"/>
      <c r="G103" s="997"/>
      <c r="H103" s="997"/>
      <c r="I103" s="997"/>
      <c r="J103" s="997"/>
      <c r="K103" s="997"/>
      <c r="L103" s="997"/>
      <c r="M103" s="997"/>
      <c r="N103" s="997"/>
    </row>
    <row r="104" spans="1:14" ht="15.6">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6">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6">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5" customWidth="1"/>
    <col min="2" max="2" width="10.21875" style="1796" customWidth="1"/>
  </cols>
  <sheetData>
    <row r="1" spans="1:6">
      <c r="A1" s="3530" t="s">
        <v>2068</v>
      </c>
      <c r="B1" s="3530"/>
    </row>
    <row r="2" spans="1:6" ht="15" thickBot="1">
      <c r="A2" s="1766"/>
      <c r="B2" s="1766"/>
    </row>
    <row r="3" spans="1:6" ht="15" thickBot="1">
      <c r="A3" s="1766"/>
      <c r="B3" s="1766"/>
      <c r="C3" s="1767" t="s">
        <v>2069</v>
      </c>
      <c r="D3" s="1767" t="s">
        <v>2070</v>
      </c>
      <c r="E3" s="1767" t="s">
        <v>2071</v>
      </c>
      <c r="F3" s="1767" t="s">
        <v>2072</v>
      </c>
    </row>
    <row r="4" spans="1:6" ht="15" thickBot="1">
      <c r="A4" s="1768" t="s">
        <v>2073</v>
      </c>
      <c r="B4" s="1769" t="s">
        <v>2074</v>
      </c>
      <c r="C4" s="1767"/>
      <c r="D4" s="1767"/>
      <c r="E4" s="1767"/>
      <c r="F4" s="1767"/>
    </row>
    <row r="5" spans="1:6" ht="15" thickBot="1">
      <c r="A5" s="1770" t="s">
        <v>2075</v>
      </c>
      <c r="B5" s="1771" t="s">
        <v>2076</v>
      </c>
      <c r="C5" s="1772">
        <v>8.8999999999999996E-2</v>
      </c>
      <c r="D5" s="1772">
        <v>7.3999999999999996E-2</v>
      </c>
      <c r="E5" s="1772">
        <v>7.4999999999999997E-2</v>
      </c>
      <c r="F5" s="1773">
        <v>0.1</v>
      </c>
    </row>
    <row r="6" spans="1:6" ht="15" thickBot="1">
      <c r="A6" s="1770" t="s">
        <v>1087</v>
      </c>
      <c r="B6" s="1774" t="s">
        <v>2077</v>
      </c>
      <c r="C6" s="1775">
        <v>0.1</v>
      </c>
      <c r="D6" s="1775">
        <v>9.0999999999999998E-2</v>
      </c>
      <c r="E6" s="1775">
        <v>9.0999999999999998E-2</v>
      </c>
      <c r="F6" s="1776">
        <v>0.1</v>
      </c>
    </row>
    <row r="7" spans="1:6" ht="15" thickBot="1">
      <c r="A7" s="1770" t="s">
        <v>1087</v>
      </c>
      <c r="B7" s="1777" t="s">
        <v>1075</v>
      </c>
      <c r="C7" s="1775">
        <v>8.5999999999999993E-2</v>
      </c>
      <c r="D7" s="1775">
        <v>9.6000000000000002E-2</v>
      </c>
      <c r="E7" s="1775">
        <v>7.5999999999999998E-2</v>
      </c>
      <c r="F7" s="1776">
        <v>0.1</v>
      </c>
    </row>
    <row r="8" spans="1:6" ht="15" thickBot="1">
      <c r="A8" s="1770" t="s">
        <v>1087</v>
      </c>
      <c r="B8" s="1774" t="s">
        <v>1088</v>
      </c>
      <c r="C8" s="1775">
        <v>9.9000000000000005E-2</v>
      </c>
      <c r="D8" s="1775">
        <v>9.8000000000000004E-2</v>
      </c>
      <c r="E8" s="1775">
        <v>9.8000000000000004E-2</v>
      </c>
      <c r="F8" s="1776">
        <v>0.1</v>
      </c>
    </row>
    <row r="9" spans="1:6" ht="15" thickBot="1">
      <c r="A9" s="1778" t="s">
        <v>1087</v>
      </c>
      <c r="B9" s="1779" t="s">
        <v>1102</v>
      </c>
      <c r="C9" s="1780">
        <v>0.05</v>
      </c>
      <c r="D9" s="1781"/>
      <c r="E9" s="1781"/>
      <c r="F9" s="1782"/>
    </row>
    <row r="10" spans="1:6" ht="15" thickBot="1">
      <c r="A10" s="1770" t="s">
        <v>1146</v>
      </c>
      <c r="B10" s="1771" t="s">
        <v>2078</v>
      </c>
      <c r="C10" s="1772">
        <v>8.8999999999999996E-2</v>
      </c>
      <c r="D10" s="1772">
        <v>7.2999999999999995E-2</v>
      </c>
      <c r="E10" s="1772">
        <v>8.2000000000000003E-2</v>
      </c>
      <c r="F10" s="1773">
        <v>0.1</v>
      </c>
    </row>
    <row r="11" spans="1:6" ht="15" thickBot="1">
      <c r="A11" s="1770" t="s">
        <v>1146</v>
      </c>
      <c r="B11" s="1777" t="s">
        <v>1062</v>
      </c>
      <c r="C11" s="1775">
        <v>8.8999999999999996E-2</v>
      </c>
      <c r="D11" s="1775">
        <v>7.2999999999999995E-2</v>
      </c>
      <c r="E11" s="1775">
        <v>8.2000000000000003E-2</v>
      </c>
      <c r="F11" s="1776">
        <v>0.1</v>
      </c>
    </row>
    <row r="12" spans="1:6" ht="15" thickBot="1">
      <c r="A12" s="1770" t="s">
        <v>1146</v>
      </c>
      <c r="B12" s="1777" t="s">
        <v>1076</v>
      </c>
      <c r="C12" s="1775">
        <v>6.0999999999999999E-2</v>
      </c>
      <c r="D12" s="1775">
        <v>7.0999999999999994E-2</v>
      </c>
      <c r="E12" s="1775">
        <v>9.6000000000000002E-2</v>
      </c>
      <c r="F12" s="1776">
        <v>0.1</v>
      </c>
    </row>
    <row r="13" spans="1:6" ht="15" thickBot="1">
      <c r="A13" s="1770" t="s">
        <v>1146</v>
      </c>
      <c r="B13" s="1777" t="s">
        <v>1089</v>
      </c>
      <c r="C13" s="1775">
        <v>6.9000000000000006E-2</v>
      </c>
      <c r="D13" s="1775">
        <v>6.5000000000000002E-2</v>
      </c>
      <c r="E13" s="1775">
        <v>6.6000000000000003E-2</v>
      </c>
      <c r="F13" s="1776">
        <v>0.1</v>
      </c>
    </row>
    <row r="14" spans="1:6" ht="15" thickBot="1">
      <c r="A14" s="1770" t="s">
        <v>1146</v>
      </c>
      <c r="B14" s="1777" t="s">
        <v>1103</v>
      </c>
      <c r="C14" s="1775">
        <v>0.1</v>
      </c>
      <c r="D14" s="1775">
        <v>6.5000000000000002E-2</v>
      </c>
      <c r="E14" s="1775">
        <v>7.0000000000000007E-2</v>
      </c>
      <c r="F14" s="1776">
        <v>0.1</v>
      </c>
    </row>
    <row r="15" spans="1:6" ht="15" thickBot="1">
      <c r="A15" s="1770" t="s">
        <v>1146</v>
      </c>
      <c r="B15" s="1777" t="s">
        <v>1114</v>
      </c>
      <c r="C15" s="1775">
        <v>9.8000000000000004E-2</v>
      </c>
      <c r="D15" s="1775">
        <v>8.8999999999999996E-2</v>
      </c>
      <c r="E15" s="1775">
        <v>8.8999999999999996E-2</v>
      </c>
      <c r="F15" s="1776">
        <v>0.1</v>
      </c>
    </row>
    <row r="16" spans="1:6" ht="15" thickBot="1">
      <c r="A16" s="1770" t="s">
        <v>1146</v>
      </c>
      <c r="B16" s="1777" t="s">
        <v>1125</v>
      </c>
      <c r="C16" s="1775">
        <v>7.0000000000000007E-2</v>
      </c>
      <c r="D16" s="1775">
        <v>9.2999999999999999E-2</v>
      </c>
      <c r="E16" s="1775">
        <v>9.6000000000000002E-2</v>
      </c>
      <c r="F16" s="1776">
        <v>0.1</v>
      </c>
    </row>
    <row r="17" spans="1:6" ht="15" thickBot="1">
      <c r="A17" s="1770" t="s">
        <v>1146</v>
      </c>
      <c r="B17" s="1777" t="s">
        <v>1136</v>
      </c>
      <c r="C17" s="1775">
        <v>9.5000000000000001E-2</v>
      </c>
      <c r="D17" s="1775">
        <v>0.1</v>
      </c>
      <c r="E17" s="1775">
        <v>0.1</v>
      </c>
      <c r="F17" s="1783"/>
    </row>
    <row r="18" spans="1:6" ht="15" thickBot="1">
      <c r="A18" s="1770" t="s">
        <v>1146</v>
      </c>
      <c r="B18" s="1777" t="s">
        <v>1148</v>
      </c>
      <c r="C18" s="1775">
        <v>7.3999999999999996E-2</v>
      </c>
      <c r="D18" s="1775">
        <v>9.9000000000000005E-2</v>
      </c>
      <c r="E18" s="1775">
        <v>0.1</v>
      </c>
      <c r="F18" s="1783"/>
    </row>
    <row r="19" spans="1:6" ht="15" thickBot="1">
      <c r="A19" s="1770" t="s">
        <v>1146</v>
      </c>
      <c r="B19" s="1777" t="s">
        <v>1158</v>
      </c>
      <c r="C19" s="1775">
        <v>9.9000000000000005E-2</v>
      </c>
      <c r="D19" s="1775">
        <v>7.5999999999999998E-2</v>
      </c>
      <c r="E19" s="1775">
        <v>8.6999999999999994E-2</v>
      </c>
      <c r="F19" s="1783"/>
    </row>
    <row r="20" spans="1:6" ht="15" thickBot="1">
      <c r="A20" s="1770" t="s">
        <v>1146</v>
      </c>
      <c r="B20" s="1777" t="s">
        <v>1168</v>
      </c>
      <c r="C20" s="1775">
        <v>9.8000000000000004E-2</v>
      </c>
      <c r="D20" s="1775">
        <v>8.5000000000000006E-2</v>
      </c>
      <c r="E20" s="1775">
        <v>8.2000000000000003E-2</v>
      </c>
      <c r="F20" s="1783"/>
    </row>
    <row r="21" spans="1:6" ht="15" thickBot="1">
      <c r="A21" s="1770" t="s">
        <v>1146</v>
      </c>
      <c r="B21" s="1777" t="s">
        <v>1178</v>
      </c>
      <c r="C21" s="1775">
        <v>6.6000000000000003E-2</v>
      </c>
      <c r="D21" s="1775">
        <v>6.4000000000000001E-2</v>
      </c>
      <c r="E21" s="1775">
        <v>6.5000000000000002E-2</v>
      </c>
      <c r="F21" s="1783"/>
    </row>
    <row r="22" spans="1:6" ht="15" thickBot="1">
      <c r="A22" s="1770" t="s">
        <v>1146</v>
      </c>
      <c r="B22" s="1777" t="s">
        <v>2079</v>
      </c>
      <c r="C22" s="1775">
        <v>0.08</v>
      </c>
      <c r="D22" s="1775">
        <v>9.8000000000000004E-2</v>
      </c>
      <c r="E22" s="1775">
        <v>9.8000000000000004E-2</v>
      </c>
      <c r="F22" s="1783"/>
    </row>
    <row r="23" spans="1:6" ht="15" thickBot="1">
      <c r="A23" s="1770" t="s">
        <v>1146</v>
      </c>
      <c r="B23" s="1777" t="s">
        <v>1198</v>
      </c>
      <c r="C23" s="1775">
        <v>9.9000000000000005E-2</v>
      </c>
      <c r="D23" s="1775">
        <v>9.8000000000000004E-2</v>
      </c>
      <c r="E23" s="1775">
        <v>9.0999999999999998E-2</v>
      </c>
      <c r="F23" s="1783"/>
    </row>
    <row r="24" spans="1:6" ht="15" thickBot="1">
      <c r="A24" s="1770" t="s">
        <v>1146</v>
      </c>
      <c r="B24" s="1777" t="s">
        <v>1208</v>
      </c>
      <c r="C24" s="1775">
        <v>8.8999999999999996E-2</v>
      </c>
      <c r="D24" s="1775">
        <v>9.7000000000000003E-2</v>
      </c>
      <c r="E24" s="1775">
        <v>7.0000000000000007E-2</v>
      </c>
      <c r="F24" s="1783"/>
    </row>
    <row r="25" spans="1:6" ht="15" thickBot="1">
      <c r="A25" s="1770" t="s">
        <v>1146</v>
      </c>
      <c r="B25" s="1777" t="s">
        <v>1218</v>
      </c>
      <c r="C25" s="1775">
        <v>8.8999999999999996E-2</v>
      </c>
      <c r="D25" s="1775">
        <v>0.1</v>
      </c>
      <c r="E25" s="1775">
        <v>8.1000000000000003E-2</v>
      </c>
      <c r="F25" s="1783"/>
    </row>
    <row r="26" spans="1:6" ht="15" thickBot="1">
      <c r="A26" s="1770" t="s">
        <v>1146</v>
      </c>
      <c r="B26" s="1777" t="s">
        <v>1228</v>
      </c>
      <c r="C26" s="1784"/>
      <c r="D26" s="1775">
        <v>9.6000000000000002E-2</v>
      </c>
      <c r="E26" s="1775">
        <v>9.2999999999999999E-2</v>
      </c>
      <c r="F26" s="1783"/>
    </row>
    <row r="27" spans="1:6" ht="15" thickBot="1">
      <c r="A27" s="1770" t="s">
        <v>1146</v>
      </c>
      <c r="B27" s="1777" t="s">
        <v>1238</v>
      </c>
      <c r="C27" s="1784"/>
      <c r="D27" s="1775">
        <v>7.5999999999999998E-2</v>
      </c>
      <c r="E27" s="1775">
        <v>9.1999999999999998E-2</v>
      </c>
      <c r="F27" s="1783"/>
    </row>
    <row r="28" spans="1:6" ht="15" thickBot="1">
      <c r="A28" s="1778" t="s">
        <v>1146</v>
      </c>
      <c r="B28" s="1779" t="s">
        <v>1248</v>
      </c>
      <c r="C28" s="1781"/>
      <c r="D28" s="1780">
        <v>7.5999999999999998E-2</v>
      </c>
      <c r="E28" s="1780">
        <v>9.1999999999999998E-2</v>
      </c>
      <c r="F28" s="1782"/>
    </row>
    <row r="29" spans="1:6" ht="15" thickBot="1">
      <c r="A29" s="1770" t="s">
        <v>1317</v>
      </c>
      <c r="B29" s="1771" t="s">
        <v>2080</v>
      </c>
      <c r="C29" s="1772">
        <v>6.4000000000000001E-2</v>
      </c>
      <c r="D29" s="1772">
        <v>6.5000000000000002E-2</v>
      </c>
      <c r="E29" s="1772">
        <v>6.9000000000000006E-2</v>
      </c>
      <c r="F29" s="1773">
        <v>0.1</v>
      </c>
    </row>
    <row r="30" spans="1:6" ht="15" thickBot="1">
      <c r="A30" s="1770" t="s">
        <v>1317</v>
      </c>
      <c r="B30" s="1777" t="s">
        <v>1063</v>
      </c>
      <c r="C30" s="1775">
        <v>6.4000000000000001E-2</v>
      </c>
      <c r="D30" s="1775">
        <v>9.9000000000000005E-2</v>
      </c>
      <c r="E30" s="1775">
        <v>0.1</v>
      </c>
      <c r="F30" s="1776">
        <v>0.1</v>
      </c>
    </row>
    <row r="31" spans="1:6" ht="15" thickBot="1">
      <c r="A31" s="1770" t="s">
        <v>1317</v>
      </c>
      <c r="B31" s="1777" t="s">
        <v>1077</v>
      </c>
      <c r="C31" s="1775">
        <v>0.1</v>
      </c>
      <c r="D31" s="1775">
        <v>9.5000000000000001E-2</v>
      </c>
      <c r="E31" s="1775">
        <v>8.8999999999999996E-2</v>
      </c>
      <c r="F31" s="1776">
        <v>0.1</v>
      </c>
    </row>
    <row r="32" spans="1:6" ht="15" thickBot="1">
      <c r="A32" s="1770" t="s">
        <v>1317</v>
      </c>
      <c r="B32" s="1777" t="s">
        <v>1090</v>
      </c>
      <c r="C32" s="1775">
        <v>0.05</v>
      </c>
      <c r="D32" s="1775">
        <v>0.05</v>
      </c>
      <c r="E32" s="1775">
        <v>8.7999999999999995E-2</v>
      </c>
      <c r="F32" s="1776">
        <v>0.1</v>
      </c>
    </row>
    <row r="33" spans="1:6" ht="15" thickBot="1">
      <c r="A33" s="1770" t="s">
        <v>1317</v>
      </c>
      <c r="B33" s="1777" t="s">
        <v>1104</v>
      </c>
      <c r="C33" s="1775">
        <v>7.4999999999999997E-2</v>
      </c>
      <c r="D33" s="1775">
        <v>9.4E-2</v>
      </c>
      <c r="E33" s="1775">
        <v>9.7000000000000003E-2</v>
      </c>
      <c r="F33" s="1776">
        <v>0.1</v>
      </c>
    </row>
    <row r="34" spans="1:6" ht="15" thickBot="1">
      <c r="A34" s="1770" t="s">
        <v>1317</v>
      </c>
      <c r="B34" s="1777" t="s">
        <v>1115</v>
      </c>
      <c r="C34" s="1775">
        <v>9.8000000000000004E-2</v>
      </c>
      <c r="D34" s="1775">
        <v>8.5999999999999993E-2</v>
      </c>
      <c r="E34" s="1775">
        <v>9.7000000000000003E-2</v>
      </c>
      <c r="F34" s="1776">
        <v>0.1</v>
      </c>
    </row>
    <row r="35" spans="1:6" ht="15" thickBot="1">
      <c r="A35" s="1770" t="s">
        <v>1317</v>
      </c>
      <c r="B35" s="1777" t="s">
        <v>1126</v>
      </c>
      <c r="C35" s="1775">
        <v>5.8999999999999997E-2</v>
      </c>
      <c r="D35" s="1775">
        <v>6.5000000000000002E-2</v>
      </c>
      <c r="E35" s="1775">
        <v>7.0000000000000007E-2</v>
      </c>
      <c r="F35" s="1776">
        <v>0.1</v>
      </c>
    </row>
    <row r="36" spans="1:6" ht="15" thickBot="1">
      <c r="A36" s="1770" t="s">
        <v>1317</v>
      </c>
      <c r="B36" s="1777" t="s">
        <v>1137</v>
      </c>
      <c r="C36" s="1775">
        <v>6.3E-2</v>
      </c>
      <c r="D36" s="1775">
        <v>0.1</v>
      </c>
      <c r="E36" s="1775">
        <v>0.1</v>
      </c>
      <c r="F36" s="1776">
        <v>0.1</v>
      </c>
    </row>
    <row r="37" spans="1:6" ht="15" thickBot="1">
      <c r="A37" s="1770" t="s">
        <v>1317</v>
      </c>
      <c r="B37" s="1777" t="s">
        <v>1149</v>
      </c>
      <c r="C37" s="1775">
        <v>7.3999999999999996E-2</v>
      </c>
      <c r="D37" s="1775">
        <v>0.1</v>
      </c>
      <c r="E37" s="1775">
        <v>0.1</v>
      </c>
      <c r="F37" s="1776">
        <v>0.1</v>
      </c>
    </row>
    <row r="38" spans="1:6" ht="15" thickBot="1">
      <c r="A38" s="1770" t="s">
        <v>1317</v>
      </c>
      <c r="B38" s="1777" t="s">
        <v>1159</v>
      </c>
      <c r="C38" s="1775">
        <v>0.1</v>
      </c>
      <c r="D38" s="1775">
        <v>9.6000000000000002E-2</v>
      </c>
      <c r="E38" s="1775">
        <v>9.6000000000000002E-2</v>
      </c>
      <c r="F38" s="1783"/>
    </row>
    <row r="39" spans="1:6" ht="15" thickBot="1">
      <c r="A39" s="1770" t="s">
        <v>1317</v>
      </c>
      <c r="B39" s="1777" t="s">
        <v>1169</v>
      </c>
      <c r="C39" s="1775">
        <v>0.1</v>
      </c>
      <c r="D39" s="1775">
        <v>9.6000000000000002E-2</v>
      </c>
      <c r="E39" s="1775">
        <v>9.6000000000000002E-2</v>
      </c>
      <c r="F39" s="1783"/>
    </row>
    <row r="40" spans="1:6" ht="15" thickBot="1">
      <c r="A40" s="1770" t="s">
        <v>1317</v>
      </c>
      <c r="B40" s="1777" t="s">
        <v>1179</v>
      </c>
      <c r="C40" s="1775">
        <v>9.6000000000000002E-2</v>
      </c>
      <c r="D40" s="1775">
        <v>0.1</v>
      </c>
      <c r="E40" s="1775">
        <v>9.9000000000000005E-2</v>
      </c>
      <c r="F40" s="1783"/>
    </row>
    <row r="41" spans="1:6" ht="15" thickBot="1">
      <c r="A41" s="1770" t="s">
        <v>1317</v>
      </c>
      <c r="B41" s="1777" t="s">
        <v>1189</v>
      </c>
      <c r="C41" s="1775">
        <v>9.6000000000000002E-2</v>
      </c>
      <c r="D41" s="1775">
        <v>9.8000000000000004E-2</v>
      </c>
      <c r="E41" s="1775">
        <v>9.8000000000000004E-2</v>
      </c>
      <c r="F41" s="1783"/>
    </row>
    <row r="42" spans="1:6" ht="15" thickBot="1">
      <c r="A42" s="1770" t="s">
        <v>1317</v>
      </c>
      <c r="B42" s="1777" t="s">
        <v>1199</v>
      </c>
      <c r="C42" s="1775">
        <v>0.1</v>
      </c>
      <c r="D42" s="1775">
        <v>8.7999999999999995E-2</v>
      </c>
      <c r="E42" s="1775">
        <v>0.1</v>
      </c>
      <c r="F42" s="1783"/>
    </row>
    <row r="43" spans="1:6" ht="15" thickBot="1">
      <c r="A43" s="1770" t="s">
        <v>1317</v>
      </c>
      <c r="B43" s="1777" t="s">
        <v>1209</v>
      </c>
      <c r="C43" s="1775">
        <v>9.8000000000000004E-2</v>
      </c>
      <c r="D43" s="1775">
        <v>9.7000000000000003E-2</v>
      </c>
      <c r="E43" s="1775">
        <v>9.6000000000000002E-2</v>
      </c>
      <c r="F43" s="1783"/>
    </row>
    <row r="44" spans="1:6" ht="15" thickBot="1">
      <c r="A44" s="1770" t="s">
        <v>1317</v>
      </c>
      <c r="B44" s="1777" t="s">
        <v>1219</v>
      </c>
      <c r="C44" s="1775">
        <v>8.5999999999999993E-2</v>
      </c>
      <c r="D44" s="1775">
        <v>7.9000000000000001E-2</v>
      </c>
      <c r="E44" s="1775">
        <v>7.0999999999999994E-2</v>
      </c>
      <c r="F44" s="1783"/>
    </row>
    <row r="45" spans="1:6" ht="15" thickBot="1">
      <c r="A45" s="1770" t="s">
        <v>1317</v>
      </c>
      <c r="B45" s="1777" t="s">
        <v>1229</v>
      </c>
      <c r="C45" s="1775">
        <v>9.8000000000000004E-2</v>
      </c>
      <c r="D45" s="1775">
        <v>9.6000000000000002E-2</v>
      </c>
      <c r="E45" s="1775">
        <v>9.6000000000000002E-2</v>
      </c>
      <c r="F45" s="1783"/>
    </row>
    <row r="46" spans="1:6" ht="15" thickBot="1">
      <c r="A46" s="1770" t="s">
        <v>1317</v>
      </c>
      <c r="B46" s="1777" t="s">
        <v>1239</v>
      </c>
      <c r="C46" s="1775">
        <v>8.5999999999999993E-2</v>
      </c>
      <c r="D46" s="1775">
        <v>9.8000000000000004E-2</v>
      </c>
      <c r="E46" s="1775">
        <v>8.7999999999999995E-2</v>
      </c>
      <c r="F46" s="1783"/>
    </row>
    <row r="47" spans="1:6" ht="15" thickBot="1">
      <c r="A47" s="1770" t="s">
        <v>1317</v>
      </c>
      <c r="B47" s="1777" t="s">
        <v>1249</v>
      </c>
      <c r="C47" s="1775">
        <v>9.6000000000000002E-2</v>
      </c>
      <c r="D47" s="1784"/>
      <c r="E47" s="1775">
        <v>6.9000000000000006E-2</v>
      </c>
      <c r="F47" s="1783"/>
    </row>
    <row r="48" spans="1:6" ht="15" thickBot="1">
      <c r="A48" s="1778" t="s">
        <v>1317</v>
      </c>
      <c r="B48" s="1779" t="s">
        <v>1258</v>
      </c>
      <c r="C48" s="1780">
        <v>9.8000000000000004E-2</v>
      </c>
      <c r="D48" s="1781"/>
      <c r="E48" s="1780">
        <v>9.5000000000000001E-2</v>
      </c>
      <c r="F48" s="1782"/>
    </row>
    <row r="49" spans="1:6" ht="15" thickBot="1">
      <c r="A49" s="1770" t="s">
        <v>916</v>
      </c>
      <c r="B49" s="1771" t="s">
        <v>2081</v>
      </c>
      <c r="C49" s="1772">
        <v>9.7000000000000003E-2</v>
      </c>
      <c r="D49" s="1772">
        <v>9.5000000000000001E-2</v>
      </c>
      <c r="E49" s="1772">
        <v>9.7000000000000003E-2</v>
      </c>
      <c r="F49" s="1773">
        <v>0.1</v>
      </c>
    </row>
    <row r="50" spans="1:6" ht="15" thickBot="1">
      <c r="A50" s="1770" t="s">
        <v>916</v>
      </c>
      <c r="B50" s="1774" t="s">
        <v>1064</v>
      </c>
      <c r="C50" s="1775">
        <v>7.4999999999999997E-2</v>
      </c>
      <c r="D50" s="1775">
        <v>9.5000000000000001E-2</v>
      </c>
      <c r="E50" s="1775">
        <v>0.1</v>
      </c>
      <c r="F50" s="1776">
        <v>0.1</v>
      </c>
    </row>
    <row r="51" spans="1:6" ht="15" thickBot="1">
      <c r="A51" s="1770" t="s">
        <v>916</v>
      </c>
      <c r="B51" s="1774" t="s">
        <v>1078</v>
      </c>
      <c r="C51" s="1775">
        <v>9.8000000000000004E-2</v>
      </c>
      <c r="D51" s="1775">
        <v>8.8999999999999996E-2</v>
      </c>
      <c r="E51" s="1775">
        <v>0.1</v>
      </c>
      <c r="F51" s="1776">
        <v>0.1</v>
      </c>
    </row>
    <row r="52" spans="1:6" ht="15" thickBot="1">
      <c r="A52" s="1770" t="s">
        <v>916</v>
      </c>
      <c r="B52" s="1774" t="s">
        <v>1091</v>
      </c>
      <c r="C52" s="1775">
        <v>9.8000000000000004E-2</v>
      </c>
      <c r="D52" s="1775">
        <v>9.7000000000000003E-2</v>
      </c>
      <c r="E52" s="1775">
        <v>8.1000000000000003E-2</v>
      </c>
      <c r="F52" s="1776">
        <v>0.1</v>
      </c>
    </row>
    <row r="53" spans="1:6" ht="15" thickBot="1">
      <c r="A53" s="1770" t="s">
        <v>916</v>
      </c>
      <c r="B53" s="1774" t="s">
        <v>1105</v>
      </c>
      <c r="C53" s="1775">
        <v>9.7000000000000003E-2</v>
      </c>
      <c r="D53" s="1775">
        <v>7.5999999999999998E-2</v>
      </c>
      <c r="E53" s="1775">
        <v>7.0999999999999994E-2</v>
      </c>
      <c r="F53" s="1776">
        <v>0.1</v>
      </c>
    </row>
    <row r="54" spans="1:6" ht="15" thickBot="1">
      <c r="A54" s="1770" t="s">
        <v>916</v>
      </c>
      <c r="B54" s="1774" t="s">
        <v>1116</v>
      </c>
      <c r="C54" s="1775">
        <v>7.5999999999999998E-2</v>
      </c>
      <c r="D54" s="1775">
        <v>0.1</v>
      </c>
      <c r="E54" s="1775">
        <v>9.9000000000000005E-2</v>
      </c>
      <c r="F54" s="1776">
        <v>0.1</v>
      </c>
    </row>
    <row r="55" spans="1:6" ht="15" thickBot="1">
      <c r="A55" s="1770" t="s">
        <v>916</v>
      </c>
      <c r="B55" s="1774" t="s">
        <v>1127</v>
      </c>
      <c r="C55" s="1775">
        <v>0.1</v>
      </c>
      <c r="D55" s="1775">
        <v>0.1</v>
      </c>
      <c r="E55" s="1775">
        <v>9.6000000000000002E-2</v>
      </c>
      <c r="F55" s="1776">
        <v>0.1</v>
      </c>
    </row>
    <row r="56" spans="1:6" ht="15" thickBot="1">
      <c r="A56" s="1770" t="s">
        <v>916</v>
      </c>
      <c r="B56" s="1774" t="s">
        <v>1138</v>
      </c>
      <c r="C56" s="1775">
        <v>0.1</v>
      </c>
      <c r="D56" s="1775">
        <v>9.6000000000000002E-2</v>
      </c>
      <c r="E56" s="1775">
        <v>5.1999999999999998E-2</v>
      </c>
      <c r="F56" s="1776">
        <v>0.1</v>
      </c>
    </row>
    <row r="57" spans="1:6" ht="15" thickBot="1">
      <c r="A57" s="1770" t="s">
        <v>916</v>
      </c>
      <c r="B57" s="1774" t="s">
        <v>1150</v>
      </c>
      <c r="C57" s="1775">
        <v>9.7000000000000003E-2</v>
      </c>
      <c r="D57" s="1775">
        <v>9.6000000000000002E-2</v>
      </c>
      <c r="E57" s="1775">
        <v>9.6000000000000002E-2</v>
      </c>
      <c r="F57" s="1776">
        <v>0.1</v>
      </c>
    </row>
    <row r="58" spans="1:6" ht="15" thickBot="1">
      <c r="A58" s="1770" t="s">
        <v>916</v>
      </c>
      <c r="B58" s="1774" t="s">
        <v>1160</v>
      </c>
      <c r="C58" s="1775">
        <v>9.6000000000000002E-2</v>
      </c>
      <c r="D58" s="1775">
        <v>9.9000000000000005E-2</v>
      </c>
      <c r="E58" s="1775">
        <v>9.6000000000000002E-2</v>
      </c>
      <c r="F58" s="1776">
        <v>0.1</v>
      </c>
    </row>
    <row r="59" spans="1:6" ht="15" thickBot="1">
      <c r="A59" s="1770" t="s">
        <v>916</v>
      </c>
      <c r="B59" s="1774" t="s">
        <v>1170</v>
      </c>
      <c r="C59" s="1775">
        <v>7.1999999999999995E-2</v>
      </c>
      <c r="D59" s="1775">
        <v>9.6000000000000002E-2</v>
      </c>
      <c r="E59" s="1775">
        <v>7.0999999999999994E-2</v>
      </c>
      <c r="F59" s="1776">
        <v>0.1</v>
      </c>
    </row>
    <row r="60" spans="1:6" ht="15" thickBot="1">
      <c r="A60" s="1770" t="s">
        <v>916</v>
      </c>
      <c r="B60" s="1774" t="s">
        <v>1180</v>
      </c>
      <c r="C60" s="1775">
        <v>9.6000000000000002E-2</v>
      </c>
      <c r="D60" s="1775">
        <v>8.8999999999999996E-2</v>
      </c>
      <c r="E60" s="1775">
        <v>9.6000000000000002E-2</v>
      </c>
      <c r="F60" s="1776">
        <v>0.1</v>
      </c>
    </row>
    <row r="61" spans="1:6" ht="15" thickBot="1">
      <c r="A61" s="1770" t="s">
        <v>916</v>
      </c>
      <c r="B61" s="1774" t="s">
        <v>1190</v>
      </c>
      <c r="C61" s="1775">
        <v>8.8999999999999996E-2</v>
      </c>
      <c r="D61" s="1775">
        <v>9.8000000000000004E-2</v>
      </c>
      <c r="E61" s="1775">
        <v>8.7999999999999995E-2</v>
      </c>
      <c r="F61" s="1783"/>
    </row>
    <row r="62" spans="1:6" ht="15" thickBot="1">
      <c r="A62" s="1770" t="s">
        <v>916</v>
      </c>
      <c r="B62" s="1774" t="s">
        <v>1200</v>
      </c>
      <c r="C62" s="1775">
        <v>9.8000000000000004E-2</v>
      </c>
      <c r="D62" s="1775">
        <v>9.2999999999999999E-2</v>
      </c>
      <c r="E62" s="1775">
        <v>9.7000000000000003E-2</v>
      </c>
      <c r="F62" s="1783"/>
    </row>
    <row r="63" spans="1:6" ht="15" thickBot="1">
      <c r="A63" s="1770" t="s">
        <v>916</v>
      </c>
      <c r="B63" s="1774" t="s">
        <v>1210</v>
      </c>
      <c r="C63" s="1775">
        <v>9.6000000000000002E-2</v>
      </c>
      <c r="D63" s="1775">
        <v>9.8000000000000004E-2</v>
      </c>
      <c r="E63" s="1775">
        <v>0.09</v>
      </c>
      <c r="F63" s="1783"/>
    </row>
    <row r="64" spans="1:6" ht="15" thickBot="1">
      <c r="A64" s="1770" t="s">
        <v>916</v>
      </c>
      <c r="B64" s="1774" t="s">
        <v>1220</v>
      </c>
      <c r="C64" s="1775">
        <v>9.9000000000000005E-2</v>
      </c>
      <c r="D64" s="1775">
        <v>9.7000000000000003E-2</v>
      </c>
      <c r="E64" s="1775">
        <v>9.9000000000000005E-2</v>
      </c>
      <c r="F64" s="1783"/>
    </row>
    <row r="65" spans="1:6" ht="15" thickBot="1">
      <c r="A65" s="1770" t="s">
        <v>916</v>
      </c>
      <c r="B65" s="1774" t="s">
        <v>1230</v>
      </c>
      <c r="C65" s="1775">
        <v>9.8000000000000004E-2</v>
      </c>
      <c r="D65" s="1775">
        <v>9.6000000000000002E-2</v>
      </c>
      <c r="E65" s="1775">
        <v>9.6000000000000002E-2</v>
      </c>
      <c r="F65" s="1783"/>
    </row>
    <row r="66" spans="1:6" ht="15" thickBot="1">
      <c r="A66" s="1770" t="s">
        <v>916</v>
      </c>
      <c r="B66" s="1774" t="s">
        <v>1240</v>
      </c>
      <c r="C66" s="1775">
        <v>9.6000000000000002E-2</v>
      </c>
      <c r="D66" s="1775">
        <v>9.1999999999999998E-2</v>
      </c>
      <c r="E66" s="1775">
        <v>9.6000000000000002E-2</v>
      </c>
      <c r="F66" s="1783"/>
    </row>
    <row r="67" spans="1:6" ht="15" thickBot="1">
      <c r="A67" s="1770" t="s">
        <v>916</v>
      </c>
      <c r="B67" s="1774" t="s">
        <v>1250</v>
      </c>
      <c r="C67" s="1775">
        <v>9.4E-2</v>
      </c>
      <c r="D67" s="1775">
        <v>0.1</v>
      </c>
      <c r="E67" s="1775">
        <v>8.7999999999999995E-2</v>
      </c>
      <c r="F67" s="1783"/>
    </row>
    <row r="68" spans="1:6" ht="15" thickBot="1">
      <c r="A68" s="1770" t="s">
        <v>916</v>
      </c>
      <c r="B68" s="1774" t="s">
        <v>1259</v>
      </c>
      <c r="C68" s="1775">
        <v>0.1</v>
      </c>
      <c r="D68" s="1775">
        <v>8.7999999999999995E-2</v>
      </c>
      <c r="E68" s="1775">
        <v>9.7000000000000003E-2</v>
      </c>
      <c r="F68" s="1783"/>
    </row>
    <row r="69" spans="1:6" ht="15" thickBot="1">
      <c r="A69" s="1770" t="s">
        <v>916</v>
      </c>
      <c r="B69" s="1774" t="s">
        <v>1268</v>
      </c>
      <c r="C69" s="1775">
        <v>6.4000000000000001E-2</v>
      </c>
      <c r="D69" s="1775">
        <v>0.1</v>
      </c>
      <c r="E69" s="1775">
        <v>0.1</v>
      </c>
      <c r="F69" s="1783"/>
    </row>
    <row r="70" spans="1:6" ht="15" thickBot="1">
      <c r="A70" s="1770" t="s">
        <v>916</v>
      </c>
      <c r="B70" s="1774" t="s">
        <v>1276</v>
      </c>
      <c r="C70" s="1775">
        <v>9.0999999999999998E-2</v>
      </c>
      <c r="D70" s="1784"/>
      <c r="E70" s="1784"/>
      <c r="F70" s="1783"/>
    </row>
    <row r="71" spans="1:6" ht="15" thickBot="1">
      <c r="A71" s="1770" t="s">
        <v>916</v>
      </c>
      <c r="B71" s="1774" t="s">
        <v>1283</v>
      </c>
      <c r="C71" s="1775">
        <v>0.1</v>
      </c>
      <c r="D71" s="1784"/>
      <c r="E71" s="1784"/>
      <c r="F71" s="1783"/>
    </row>
    <row r="72" spans="1:6" ht="24.6" thickBot="1">
      <c r="A72" s="1770" t="s">
        <v>916</v>
      </c>
      <c r="B72" s="1774" t="s">
        <v>2082</v>
      </c>
      <c r="C72" s="1784"/>
      <c r="D72" s="1784"/>
      <c r="E72" s="1784"/>
      <c r="F72" s="1776">
        <v>0.05</v>
      </c>
    </row>
    <row r="73" spans="1:6" ht="24.6" thickBot="1">
      <c r="A73" s="1770" t="s">
        <v>916</v>
      </c>
      <c r="B73" s="1774" t="s">
        <v>2083</v>
      </c>
      <c r="C73" s="1784"/>
      <c r="D73" s="1784"/>
      <c r="E73" s="1784"/>
      <c r="F73" s="1776">
        <v>0.05</v>
      </c>
    </row>
    <row r="74" spans="1:6" ht="24.6" thickBot="1">
      <c r="A74" s="1770" t="s">
        <v>916</v>
      </c>
      <c r="B74" s="1774" t="s">
        <v>2084</v>
      </c>
      <c r="C74" s="1784"/>
      <c r="D74" s="1784"/>
      <c r="E74" s="1784"/>
      <c r="F74" s="1776">
        <v>0.05</v>
      </c>
    </row>
    <row r="75" spans="1:6" ht="24.6" thickBot="1">
      <c r="A75" s="1778" t="s">
        <v>916</v>
      </c>
      <c r="B75" s="1785" t="s">
        <v>2085</v>
      </c>
      <c r="C75" s="1781"/>
      <c r="D75" s="1781"/>
      <c r="E75" s="1781"/>
      <c r="F75" s="1786">
        <v>0.05</v>
      </c>
    </row>
    <row r="76" spans="1:6" ht="15" thickBot="1">
      <c r="A76" s="1770" t="s">
        <v>1398</v>
      </c>
      <c r="B76" s="1771" t="s">
        <v>2086</v>
      </c>
      <c r="C76" s="1772">
        <v>0.1</v>
      </c>
      <c r="D76" s="1772">
        <v>0.1</v>
      </c>
      <c r="E76" s="1772">
        <v>0.1</v>
      </c>
      <c r="F76" s="1773">
        <v>0.1</v>
      </c>
    </row>
    <row r="77" spans="1:6" ht="15" thickBot="1">
      <c r="A77" s="1770" t="s">
        <v>1398</v>
      </c>
      <c r="B77" s="1774" t="s">
        <v>1065</v>
      </c>
      <c r="C77" s="1775">
        <v>8.7999999999999995E-2</v>
      </c>
      <c r="D77" s="1775">
        <v>8.6999999999999994E-2</v>
      </c>
      <c r="E77" s="1775">
        <v>7.9000000000000001E-2</v>
      </c>
      <c r="F77" s="1776">
        <v>0.1</v>
      </c>
    </row>
    <row r="78" spans="1:6" ht="15" thickBot="1">
      <c r="A78" s="1770" t="s">
        <v>1398</v>
      </c>
      <c r="B78" s="1774" t="s">
        <v>1079</v>
      </c>
      <c r="C78" s="1775">
        <v>8.6999999999999994E-2</v>
      </c>
      <c r="D78" s="1775">
        <v>8.4000000000000005E-2</v>
      </c>
      <c r="E78" s="1775">
        <v>9.6000000000000002E-2</v>
      </c>
      <c r="F78" s="1776">
        <v>0.1</v>
      </c>
    </row>
    <row r="79" spans="1:6" ht="15" thickBot="1">
      <c r="A79" s="1770" t="s">
        <v>1398</v>
      </c>
      <c r="B79" s="1774" t="s">
        <v>1092</v>
      </c>
      <c r="C79" s="1775">
        <v>9.8000000000000004E-2</v>
      </c>
      <c r="D79" s="1775">
        <v>9.8000000000000004E-2</v>
      </c>
      <c r="E79" s="1775">
        <v>9.0999999999999998E-2</v>
      </c>
      <c r="F79" s="1776">
        <v>0.1</v>
      </c>
    </row>
    <row r="80" spans="1:6" ht="15" thickBot="1">
      <c r="A80" s="1770" t="s">
        <v>1398</v>
      </c>
      <c r="B80" s="1774" t="s">
        <v>1106</v>
      </c>
      <c r="C80" s="1775">
        <v>9.6000000000000002E-2</v>
      </c>
      <c r="D80" s="1775">
        <v>9.6000000000000002E-2</v>
      </c>
      <c r="E80" s="1775">
        <v>0.1</v>
      </c>
      <c r="F80" s="1776">
        <v>0.1</v>
      </c>
    </row>
    <row r="81" spans="1:6" ht="15" thickBot="1">
      <c r="A81" s="1770" t="s">
        <v>1398</v>
      </c>
      <c r="B81" s="1774" t="s">
        <v>1117</v>
      </c>
      <c r="C81" s="1775">
        <v>9.9000000000000005E-2</v>
      </c>
      <c r="D81" s="1775">
        <v>9.9000000000000005E-2</v>
      </c>
      <c r="E81" s="1775">
        <v>9.8000000000000004E-2</v>
      </c>
      <c r="F81" s="1776">
        <v>0.1</v>
      </c>
    </row>
    <row r="82" spans="1:6" ht="15" thickBot="1">
      <c r="A82" s="1770" t="s">
        <v>1398</v>
      </c>
      <c r="B82" s="1774" t="s">
        <v>1128</v>
      </c>
      <c r="C82" s="1775">
        <v>9.9000000000000005E-2</v>
      </c>
      <c r="D82" s="1775">
        <v>9.9000000000000005E-2</v>
      </c>
      <c r="E82" s="1775">
        <v>9.7000000000000003E-2</v>
      </c>
      <c r="F82" s="1776">
        <v>0.1</v>
      </c>
    </row>
    <row r="83" spans="1:6" ht="15" thickBot="1">
      <c r="A83" s="1770" t="s">
        <v>1398</v>
      </c>
      <c r="B83" s="1774" t="s">
        <v>1139</v>
      </c>
      <c r="C83" s="1775">
        <v>9.8000000000000004E-2</v>
      </c>
      <c r="D83" s="1775">
        <v>9.8000000000000004E-2</v>
      </c>
      <c r="E83" s="1775">
        <v>9.8000000000000004E-2</v>
      </c>
      <c r="F83" s="1776">
        <v>0.1</v>
      </c>
    </row>
    <row r="84" spans="1:6" ht="15" thickBot="1">
      <c r="A84" s="1770" t="s">
        <v>1398</v>
      </c>
      <c r="B84" s="1774" t="s">
        <v>1151</v>
      </c>
      <c r="C84" s="1775">
        <v>9.9000000000000005E-2</v>
      </c>
      <c r="D84" s="1775">
        <v>9.9000000000000005E-2</v>
      </c>
      <c r="E84" s="1775">
        <v>9.9000000000000005E-2</v>
      </c>
      <c r="F84" s="1776">
        <v>0.1</v>
      </c>
    </row>
    <row r="85" spans="1:6" ht="15" thickBot="1">
      <c r="A85" s="1770" t="s">
        <v>1398</v>
      </c>
      <c r="B85" s="1774" t="s">
        <v>1161</v>
      </c>
      <c r="C85" s="1775">
        <v>9.9000000000000005E-2</v>
      </c>
      <c r="D85" s="1775">
        <v>9.9000000000000005E-2</v>
      </c>
      <c r="E85" s="1775">
        <v>9.9000000000000005E-2</v>
      </c>
      <c r="F85" s="1776">
        <v>0.1</v>
      </c>
    </row>
    <row r="86" spans="1:6" ht="15" thickBot="1">
      <c r="A86" s="1770" t="s">
        <v>1398</v>
      </c>
      <c r="B86" s="1774" t="s">
        <v>1171</v>
      </c>
      <c r="C86" s="1775">
        <v>0.1</v>
      </c>
      <c r="D86" s="1775">
        <v>0.1</v>
      </c>
      <c r="E86" s="1775">
        <v>7.6999999999999999E-2</v>
      </c>
      <c r="F86" s="1776">
        <v>0.1</v>
      </c>
    </row>
    <row r="87" spans="1:6" ht="15" thickBot="1">
      <c r="A87" s="1770" t="s">
        <v>1398</v>
      </c>
      <c r="B87" s="1774" t="s">
        <v>1181</v>
      </c>
      <c r="C87" s="1775">
        <v>0.1</v>
      </c>
      <c r="D87" s="1775">
        <v>0.1</v>
      </c>
      <c r="E87" s="1775">
        <v>9.8000000000000004E-2</v>
      </c>
      <c r="F87" s="1783"/>
    </row>
    <row r="88" spans="1:6" ht="15" thickBot="1">
      <c r="A88" s="1770" t="s">
        <v>1398</v>
      </c>
      <c r="B88" s="1774" t="s">
        <v>1191</v>
      </c>
      <c r="C88" s="1775">
        <v>9.1999999999999998E-2</v>
      </c>
      <c r="D88" s="1775">
        <v>8.5000000000000006E-2</v>
      </c>
      <c r="E88" s="1775">
        <v>9.6000000000000002E-2</v>
      </c>
      <c r="F88" s="1783"/>
    </row>
    <row r="89" spans="1:6" ht="15" thickBot="1">
      <c r="A89" s="1770" t="s">
        <v>1398</v>
      </c>
      <c r="B89" s="1774" t="s">
        <v>1201</v>
      </c>
      <c r="C89" s="1775">
        <v>0.1</v>
      </c>
      <c r="D89" s="1775">
        <v>0.1</v>
      </c>
      <c r="E89" s="1775">
        <v>9.7000000000000003E-2</v>
      </c>
      <c r="F89" s="1783"/>
    </row>
    <row r="90" spans="1:6" ht="15" thickBot="1">
      <c r="A90" s="1770" t="s">
        <v>1398</v>
      </c>
      <c r="B90" s="1774" t="s">
        <v>1211</v>
      </c>
      <c r="C90" s="1775">
        <v>9.8000000000000004E-2</v>
      </c>
      <c r="D90" s="1775">
        <v>9.8000000000000004E-2</v>
      </c>
      <c r="E90" s="1775">
        <v>8.7999999999999995E-2</v>
      </c>
      <c r="F90" s="1783"/>
    </row>
    <row r="91" spans="1:6" ht="15" thickBot="1">
      <c r="A91" s="1770" t="s">
        <v>1398</v>
      </c>
      <c r="B91" s="1774" t="s">
        <v>1221</v>
      </c>
      <c r="C91" s="1775">
        <v>9.9000000000000005E-2</v>
      </c>
      <c r="D91" s="1775">
        <v>9.9000000000000005E-2</v>
      </c>
      <c r="E91" s="1775">
        <v>9.0999999999999998E-2</v>
      </c>
      <c r="F91" s="1783"/>
    </row>
    <row r="92" spans="1:6" ht="15" thickBot="1">
      <c r="A92" s="1770" t="s">
        <v>1398</v>
      </c>
      <c r="B92" s="1774" t="s">
        <v>1231</v>
      </c>
      <c r="C92" s="1775">
        <v>9.6000000000000002E-2</v>
      </c>
      <c r="D92" s="1775">
        <v>9.6000000000000002E-2</v>
      </c>
      <c r="E92" s="1775">
        <v>7.2999999999999995E-2</v>
      </c>
      <c r="F92" s="1783"/>
    </row>
    <row r="93" spans="1:6" ht="15" thickBot="1">
      <c r="A93" s="1770" t="s">
        <v>1398</v>
      </c>
      <c r="B93" s="1774" t="s">
        <v>1241</v>
      </c>
      <c r="C93" s="1775">
        <v>9.6000000000000002E-2</v>
      </c>
      <c r="D93" s="1775">
        <v>9.6000000000000002E-2</v>
      </c>
      <c r="E93" s="1775">
        <v>9.9000000000000005E-2</v>
      </c>
      <c r="F93" s="1783"/>
    </row>
    <row r="94" spans="1:6" ht="15" thickBot="1">
      <c r="A94" s="1770" t="s">
        <v>1398</v>
      </c>
      <c r="B94" s="1774" t="s">
        <v>1251</v>
      </c>
      <c r="C94" s="1775">
        <v>7.5999999999999998E-2</v>
      </c>
      <c r="D94" s="1775">
        <v>7.3999999999999996E-2</v>
      </c>
      <c r="E94" s="1775">
        <v>9.7000000000000003E-2</v>
      </c>
      <c r="F94" s="1783"/>
    </row>
    <row r="95" spans="1:6" ht="15" thickBot="1">
      <c r="A95" s="1770" t="s">
        <v>1398</v>
      </c>
      <c r="B95" s="1774" t="s">
        <v>1260</v>
      </c>
      <c r="C95" s="1775">
        <v>9.9000000000000005E-2</v>
      </c>
      <c r="D95" s="1775">
        <v>9.4E-2</v>
      </c>
      <c r="E95" s="1775">
        <v>9.6000000000000002E-2</v>
      </c>
      <c r="F95" s="1783"/>
    </row>
    <row r="96" spans="1:6" ht="15" thickBot="1">
      <c r="A96" s="1770" t="s">
        <v>1398</v>
      </c>
      <c r="B96" s="1774" t="s">
        <v>1269</v>
      </c>
      <c r="C96" s="1775">
        <v>9.9000000000000005E-2</v>
      </c>
      <c r="D96" s="1775">
        <v>9.9000000000000005E-2</v>
      </c>
      <c r="E96" s="1775">
        <v>9.9000000000000005E-2</v>
      </c>
      <c r="F96" s="1783"/>
    </row>
    <row r="97" spans="1:6" ht="15" thickBot="1">
      <c r="A97" s="1770" t="s">
        <v>1398</v>
      </c>
      <c r="B97" s="1774" t="s">
        <v>1277</v>
      </c>
      <c r="C97" s="1775">
        <v>9.8000000000000004E-2</v>
      </c>
      <c r="D97" s="1775">
        <v>9.8000000000000004E-2</v>
      </c>
      <c r="E97" s="1775">
        <v>9.7000000000000003E-2</v>
      </c>
      <c r="F97" s="1783"/>
    </row>
    <row r="98" spans="1:6" ht="15" thickBot="1">
      <c r="A98" s="1770" t="s">
        <v>1398</v>
      </c>
      <c r="B98" s="1774" t="s">
        <v>1284</v>
      </c>
      <c r="C98" s="1775">
        <v>0.1</v>
      </c>
      <c r="D98" s="1775">
        <v>0.1</v>
      </c>
      <c r="E98" s="1775">
        <v>9.7000000000000003E-2</v>
      </c>
      <c r="F98" s="1783"/>
    </row>
    <row r="99" spans="1:6" ht="15" thickBot="1">
      <c r="A99" s="1770" t="s">
        <v>1398</v>
      </c>
      <c r="B99" s="1774" t="s">
        <v>1291</v>
      </c>
      <c r="C99" s="1775">
        <v>0.1</v>
      </c>
      <c r="D99" s="1775">
        <v>0.1</v>
      </c>
      <c r="E99" s="1784"/>
      <c r="F99" s="1783"/>
    </row>
    <row r="100" spans="1:6" ht="15" thickBot="1">
      <c r="A100" s="1770" t="s">
        <v>1398</v>
      </c>
      <c r="B100" s="1774" t="s">
        <v>1298</v>
      </c>
      <c r="C100" s="1775">
        <v>0.09</v>
      </c>
      <c r="D100" s="1775">
        <v>8.8999999999999996E-2</v>
      </c>
      <c r="E100" s="1784"/>
      <c r="F100" s="1783"/>
    </row>
    <row r="101" spans="1:6" ht="15" thickBot="1">
      <c r="A101" s="1770" t="s">
        <v>1398</v>
      </c>
      <c r="B101" s="1774" t="s">
        <v>1305</v>
      </c>
      <c r="C101" s="1775">
        <v>9.8000000000000004E-2</v>
      </c>
      <c r="D101" s="1775">
        <v>9.7000000000000003E-2</v>
      </c>
      <c r="E101" s="1784"/>
      <c r="F101" s="1783"/>
    </row>
    <row r="102" spans="1:6" ht="24.6" thickBot="1">
      <c r="A102" s="1770" t="s">
        <v>1398</v>
      </c>
      <c r="B102" s="1774" t="s">
        <v>2087</v>
      </c>
      <c r="C102" s="1784"/>
      <c r="D102" s="1784"/>
      <c r="E102" s="1784"/>
      <c r="F102" s="1776">
        <v>0.05</v>
      </c>
    </row>
    <row r="103" spans="1:6" ht="24.6" thickBot="1">
      <c r="A103" s="1770" t="s">
        <v>1398</v>
      </c>
      <c r="B103" s="1774" t="s">
        <v>2088</v>
      </c>
      <c r="C103" s="1784"/>
      <c r="D103" s="1784"/>
      <c r="E103" s="1784"/>
      <c r="F103" s="1776">
        <v>0.05</v>
      </c>
    </row>
    <row r="104" spans="1:6" ht="15" thickBot="1">
      <c r="A104" s="1770" t="s">
        <v>1398</v>
      </c>
      <c r="B104" s="1774" t="s">
        <v>2089</v>
      </c>
      <c r="C104" s="1784"/>
      <c r="D104" s="1784"/>
      <c r="E104" s="1784"/>
      <c r="F104" s="1776">
        <v>0.05</v>
      </c>
    </row>
    <row r="105" spans="1:6" ht="24.6" thickBot="1">
      <c r="A105" s="1770" t="s">
        <v>1398</v>
      </c>
      <c r="B105" s="1774" t="s">
        <v>2090</v>
      </c>
      <c r="C105" s="1784"/>
      <c r="D105" s="1784"/>
      <c r="E105" s="1784"/>
      <c r="F105" s="1776">
        <v>0.05</v>
      </c>
    </row>
    <row r="106" spans="1:6" ht="24.6" thickBot="1">
      <c r="A106" s="1770" t="s">
        <v>1398</v>
      </c>
      <c r="B106" s="1774" t="s">
        <v>2091</v>
      </c>
      <c r="C106" s="1784"/>
      <c r="D106" s="1784"/>
      <c r="E106" s="1784"/>
      <c r="F106" s="1776">
        <v>0.05</v>
      </c>
    </row>
    <row r="107" spans="1:6" ht="24.6" thickBot="1">
      <c r="A107" s="1770" t="s">
        <v>1398</v>
      </c>
      <c r="B107" s="1774" t="s">
        <v>2092</v>
      </c>
      <c r="C107" s="1784"/>
      <c r="D107" s="1784"/>
      <c r="E107" s="1784"/>
      <c r="F107" s="1776">
        <v>0.05</v>
      </c>
    </row>
    <row r="108" spans="1:6" ht="24.6" thickBot="1">
      <c r="A108" s="1770" t="s">
        <v>1398</v>
      </c>
      <c r="B108" s="1774" t="s">
        <v>2093</v>
      </c>
      <c r="C108" s="1784"/>
      <c r="D108" s="1784"/>
      <c r="E108" s="1784"/>
      <c r="F108" s="1776">
        <v>0.05</v>
      </c>
    </row>
    <row r="109" spans="1:6" ht="24.6" thickBot="1">
      <c r="A109" s="1778" t="s">
        <v>1398</v>
      </c>
      <c r="B109" s="1785" t="s">
        <v>2094</v>
      </c>
      <c r="C109" s="1781"/>
      <c r="D109" s="1781"/>
      <c r="E109" s="1781"/>
      <c r="F109" s="1786">
        <v>0.05</v>
      </c>
    </row>
    <row r="110" spans="1:6" ht="15" thickBot="1">
      <c r="A110" s="1770" t="s">
        <v>1400</v>
      </c>
      <c r="B110" s="1771" t="s">
        <v>2095</v>
      </c>
      <c r="C110" s="1772">
        <v>0.129</v>
      </c>
      <c r="D110" s="1772">
        <v>0.129</v>
      </c>
      <c r="E110" s="1772">
        <v>0.126</v>
      </c>
      <c r="F110" s="1773">
        <v>0.13</v>
      </c>
    </row>
    <row r="111" spans="1:6" ht="15" thickBot="1">
      <c r="A111" s="1770" t="s">
        <v>1400</v>
      </c>
      <c r="B111" s="1774" t="s">
        <v>1066</v>
      </c>
      <c r="C111" s="1775">
        <v>0.11</v>
      </c>
      <c r="D111" s="1775">
        <v>0.11</v>
      </c>
      <c r="E111" s="1775">
        <v>9.9000000000000005E-2</v>
      </c>
      <c r="F111" s="1776">
        <v>0.128</v>
      </c>
    </row>
    <row r="112" spans="1:6" ht="15" thickBot="1">
      <c r="A112" s="1770" t="s">
        <v>1400</v>
      </c>
      <c r="B112" s="1774" t="s">
        <v>1080</v>
      </c>
      <c r="C112" s="1775">
        <v>0.125</v>
      </c>
      <c r="D112" s="1775">
        <v>0.125</v>
      </c>
      <c r="E112" s="1775">
        <v>0.12</v>
      </c>
      <c r="F112" s="1776">
        <v>0.125</v>
      </c>
    </row>
    <row r="113" spans="1:6" ht="15" thickBot="1">
      <c r="A113" s="1770" t="s">
        <v>1400</v>
      </c>
      <c r="B113" s="1774" t="s">
        <v>1093</v>
      </c>
      <c r="C113" s="1775">
        <v>0.13</v>
      </c>
      <c r="D113" s="1775">
        <v>0.13</v>
      </c>
      <c r="E113" s="1775">
        <v>0.13</v>
      </c>
      <c r="F113" s="1776">
        <v>0.13</v>
      </c>
    </row>
    <row r="114" spans="1:6" ht="15" thickBot="1">
      <c r="A114" s="1770" t="s">
        <v>1400</v>
      </c>
      <c r="B114" s="1774" t="s">
        <v>1107</v>
      </c>
      <c r="C114" s="1775">
        <v>0.123</v>
      </c>
      <c r="D114" s="1775">
        <v>0.123</v>
      </c>
      <c r="E114" s="1775">
        <v>0.12</v>
      </c>
      <c r="F114" s="1776">
        <v>0.13</v>
      </c>
    </row>
    <row r="115" spans="1:6" ht="15" thickBot="1">
      <c r="A115" s="1770" t="s">
        <v>1400</v>
      </c>
      <c r="B115" s="1774" t="s">
        <v>1118</v>
      </c>
      <c r="C115" s="1775">
        <v>0.125</v>
      </c>
      <c r="D115" s="1775">
        <v>0.125</v>
      </c>
      <c r="E115" s="1775">
        <v>0.11700000000000001</v>
      </c>
      <c r="F115" s="1776">
        <v>0.13</v>
      </c>
    </row>
    <row r="116" spans="1:6" ht="15" thickBot="1">
      <c r="A116" s="1770" t="s">
        <v>1400</v>
      </c>
      <c r="B116" s="1774" t="s">
        <v>1129</v>
      </c>
      <c r="C116" s="1775">
        <v>0.11700000000000001</v>
      </c>
      <c r="D116" s="1775">
        <v>0.11700000000000001</v>
      </c>
      <c r="E116" s="1775">
        <v>8.7999999999999995E-2</v>
      </c>
      <c r="F116" s="1776">
        <v>0.13</v>
      </c>
    </row>
    <row r="117" spans="1:6" ht="15" thickBot="1">
      <c r="A117" s="1770" t="s">
        <v>1400</v>
      </c>
      <c r="B117" s="1774" t="s">
        <v>1140</v>
      </c>
      <c r="C117" s="1775">
        <v>0.13</v>
      </c>
      <c r="D117" s="1775">
        <v>0.13</v>
      </c>
      <c r="E117" s="1775">
        <v>0.129</v>
      </c>
      <c r="F117" s="1776">
        <v>0.13</v>
      </c>
    </row>
    <row r="118" spans="1:6" ht="15" thickBot="1">
      <c r="A118" s="1770" t="s">
        <v>1400</v>
      </c>
      <c r="B118" s="1774" t="s">
        <v>1152</v>
      </c>
      <c r="C118" s="1775">
        <v>0.123</v>
      </c>
      <c r="D118" s="1775">
        <v>0.123</v>
      </c>
      <c r="E118" s="1775">
        <v>0.11600000000000001</v>
      </c>
      <c r="F118" s="1776">
        <v>0.13</v>
      </c>
    </row>
    <row r="119" spans="1:6" ht="15" thickBot="1">
      <c r="A119" s="1770" t="s">
        <v>1400</v>
      </c>
      <c r="B119" s="1774" t="s">
        <v>1162</v>
      </c>
      <c r="C119" s="1775">
        <v>0.127</v>
      </c>
      <c r="D119" s="1775">
        <v>0.127</v>
      </c>
      <c r="E119" s="1775">
        <v>0.124</v>
      </c>
      <c r="F119" s="1776">
        <v>0.13</v>
      </c>
    </row>
    <row r="120" spans="1:6" ht="15" thickBot="1">
      <c r="A120" s="1770" t="s">
        <v>1400</v>
      </c>
      <c r="B120" s="1774" t="s">
        <v>1172</v>
      </c>
      <c r="C120" s="1775">
        <v>0.125</v>
      </c>
      <c r="D120" s="1775">
        <v>0.125</v>
      </c>
      <c r="E120" s="1775">
        <v>0.122</v>
      </c>
      <c r="F120" s="1776">
        <v>0.13</v>
      </c>
    </row>
    <row r="121" spans="1:6" ht="15" thickBot="1">
      <c r="A121" s="1770" t="s">
        <v>1400</v>
      </c>
      <c r="B121" s="1774" t="s">
        <v>1182</v>
      </c>
      <c r="C121" s="1775">
        <v>0.13</v>
      </c>
      <c r="D121" s="1775">
        <v>0.13</v>
      </c>
      <c r="E121" s="1775">
        <v>0.13</v>
      </c>
      <c r="F121" s="1776">
        <v>0.13</v>
      </c>
    </row>
    <row r="122" spans="1:6" ht="15" thickBot="1">
      <c r="A122" s="1770" t="s">
        <v>1400</v>
      </c>
      <c r="B122" s="1774" t="s">
        <v>1192</v>
      </c>
      <c r="C122" s="1775">
        <v>0.13</v>
      </c>
      <c r="D122" s="1775">
        <v>0.13</v>
      </c>
      <c r="E122" s="1775">
        <v>0.125</v>
      </c>
      <c r="F122" s="1776">
        <v>0.13</v>
      </c>
    </row>
    <row r="123" spans="1:6" ht="15" thickBot="1">
      <c r="A123" s="1770" t="s">
        <v>1400</v>
      </c>
      <c r="B123" s="1774" t="s">
        <v>1202</v>
      </c>
      <c r="C123" s="1775">
        <v>0.129</v>
      </c>
      <c r="D123" s="1775">
        <v>0.129</v>
      </c>
      <c r="E123" s="1775">
        <v>0.123</v>
      </c>
      <c r="F123" s="1776">
        <v>0.13</v>
      </c>
    </row>
    <row r="124" spans="1:6" ht="15" thickBot="1">
      <c r="A124" s="1770" t="s">
        <v>1400</v>
      </c>
      <c r="B124" s="1774" t="s">
        <v>1212</v>
      </c>
      <c r="C124" s="1775">
        <v>0.10199999999999999</v>
      </c>
      <c r="D124" s="1775">
        <v>0.10100000000000001</v>
      </c>
      <c r="E124" s="1775">
        <v>0.08</v>
      </c>
      <c r="F124" s="1783"/>
    </row>
    <row r="125" spans="1:6" ht="15" thickBot="1">
      <c r="A125" s="1770" t="s">
        <v>1400</v>
      </c>
      <c r="B125" s="1774" t="s">
        <v>1222</v>
      </c>
      <c r="C125" s="1775">
        <v>0.13</v>
      </c>
      <c r="D125" s="1775">
        <v>0.13</v>
      </c>
      <c r="E125" s="1775">
        <v>0.129</v>
      </c>
      <c r="F125" s="1783"/>
    </row>
    <row r="126" spans="1:6" ht="15" thickBot="1">
      <c r="A126" s="1770" t="s">
        <v>1400</v>
      </c>
      <c r="B126" s="1774" t="s">
        <v>1232</v>
      </c>
      <c r="C126" s="1775">
        <v>0.13</v>
      </c>
      <c r="D126" s="1775">
        <v>0.13</v>
      </c>
      <c r="E126" s="1775">
        <v>0.126</v>
      </c>
      <c r="F126" s="1783"/>
    </row>
    <row r="127" spans="1:6" ht="15" thickBot="1">
      <c r="A127" s="1770" t="s">
        <v>1400</v>
      </c>
      <c r="B127" s="1774" t="s">
        <v>1242</v>
      </c>
      <c r="C127" s="1775">
        <v>0.125</v>
      </c>
      <c r="D127" s="1775">
        <v>0.125</v>
      </c>
      <c r="E127" s="1775">
        <v>0.121</v>
      </c>
      <c r="F127" s="1783"/>
    </row>
    <row r="128" spans="1:6" ht="15" thickBot="1">
      <c r="A128" s="1770" t="s">
        <v>1400</v>
      </c>
      <c r="B128" s="1774" t="s">
        <v>1252</v>
      </c>
      <c r="C128" s="1775">
        <v>0.12</v>
      </c>
      <c r="D128" s="1775">
        <v>0.12</v>
      </c>
      <c r="E128" s="1775">
        <v>0.105</v>
      </c>
      <c r="F128" s="1783"/>
    </row>
    <row r="129" spans="1:6" ht="15" thickBot="1">
      <c r="A129" s="1770" t="s">
        <v>1400</v>
      </c>
      <c r="B129" s="1774" t="s">
        <v>1261</v>
      </c>
      <c r="C129" s="1775">
        <v>0.13</v>
      </c>
      <c r="D129" s="1775">
        <v>0.13</v>
      </c>
      <c r="E129" s="1775">
        <v>0.126</v>
      </c>
      <c r="F129" s="1783"/>
    </row>
    <row r="130" spans="1:6" ht="15" thickBot="1">
      <c r="A130" s="1770" t="s">
        <v>1400</v>
      </c>
      <c r="B130" s="1774" t="s">
        <v>1270</v>
      </c>
      <c r="C130" s="1775">
        <v>0.125</v>
      </c>
      <c r="D130" s="1775">
        <v>0.125</v>
      </c>
      <c r="E130" s="1775">
        <v>0.122</v>
      </c>
      <c r="F130" s="1783"/>
    </row>
    <row r="131" spans="1:6" ht="15" thickBot="1">
      <c r="A131" s="1770" t="s">
        <v>1400</v>
      </c>
      <c r="B131" s="1774" t="s">
        <v>1278</v>
      </c>
      <c r="C131" s="1775">
        <v>0.127</v>
      </c>
      <c r="D131" s="1775">
        <v>0.126</v>
      </c>
      <c r="E131" s="1775">
        <v>0.123</v>
      </c>
      <c r="F131" s="1783"/>
    </row>
    <row r="132" spans="1:6" ht="15" thickBot="1">
      <c r="A132" s="1770" t="s">
        <v>1400</v>
      </c>
      <c r="B132" s="1774" t="s">
        <v>1285</v>
      </c>
      <c r="C132" s="1775">
        <v>9.0999999999999998E-2</v>
      </c>
      <c r="D132" s="1775">
        <v>0.121</v>
      </c>
      <c r="E132" s="1775">
        <v>9.9000000000000005E-2</v>
      </c>
      <c r="F132" s="1783"/>
    </row>
    <row r="133" spans="1:6" ht="15" thickBot="1">
      <c r="A133" s="1770" t="s">
        <v>1400</v>
      </c>
      <c r="B133" s="1774" t="s">
        <v>1292</v>
      </c>
      <c r="C133" s="1775">
        <v>0.13</v>
      </c>
      <c r="D133" s="1775">
        <v>0.13</v>
      </c>
      <c r="E133" s="1775">
        <v>0.129</v>
      </c>
      <c r="F133" s="1783"/>
    </row>
    <row r="134" spans="1:6" ht="15" thickBot="1">
      <c r="A134" s="1770" t="s">
        <v>1400</v>
      </c>
      <c r="B134" s="1774" t="s">
        <v>2096</v>
      </c>
      <c r="C134" s="1775">
        <v>6.8000000000000005E-2</v>
      </c>
      <c r="D134" s="1775">
        <v>6.5000000000000002E-2</v>
      </c>
      <c r="E134" s="1775">
        <v>6.5000000000000002E-2</v>
      </c>
      <c r="F134" s="1776">
        <v>0.13</v>
      </c>
    </row>
    <row r="135" spans="1:6" ht="15" thickBot="1">
      <c r="A135" s="1770" t="s">
        <v>1400</v>
      </c>
      <c r="B135" s="1774" t="s">
        <v>1306</v>
      </c>
      <c r="C135" s="1775">
        <v>0.123</v>
      </c>
      <c r="D135" s="1775">
        <v>0.123</v>
      </c>
      <c r="E135" s="1775">
        <v>0.11</v>
      </c>
      <c r="F135" s="1783"/>
    </row>
    <row r="136" spans="1:6" ht="15" thickBot="1">
      <c r="A136" s="1770" t="s">
        <v>1400</v>
      </c>
      <c r="B136" s="1774" t="s">
        <v>1313</v>
      </c>
      <c r="C136" s="1775">
        <v>0.13</v>
      </c>
      <c r="D136" s="1775">
        <v>0.13</v>
      </c>
      <c r="E136" s="1775">
        <v>0.125</v>
      </c>
      <c r="F136" s="1783"/>
    </row>
    <row r="137" spans="1:6" ht="15" thickBot="1">
      <c r="A137" s="1770" t="s">
        <v>1400</v>
      </c>
      <c r="B137" s="1774" t="s">
        <v>1320</v>
      </c>
      <c r="C137" s="1775">
        <v>0.121</v>
      </c>
      <c r="D137" s="1775">
        <v>0.122</v>
      </c>
      <c r="E137" s="1775">
        <v>0.115</v>
      </c>
      <c r="F137" s="1783"/>
    </row>
    <row r="138" spans="1:6" ht="15" thickBot="1">
      <c r="A138" s="1770" t="s">
        <v>1400</v>
      </c>
      <c r="B138" s="1774" t="s">
        <v>2097</v>
      </c>
      <c r="C138" s="1775">
        <v>0.105</v>
      </c>
      <c r="D138" s="1775">
        <v>0.125</v>
      </c>
      <c r="E138" s="1775">
        <v>0.112</v>
      </c>
      <c r="F138" s="1783"/>
    </row>
    <row r="139" spans="1:6" ht="15" thickBot="1">
      <c r="A139" s="1770" t="s">
        <v>1400</v>
      </c>
      <c r="B139" s="1774" t="s">
        <v>2098</v>
      </c>
      <c r="C139" s="1775">
        <v>0.127</v>
      </c>
      <c r="D139" s="1775">
        <v>0.127</v>
      </c>
      <c r="E139" s="1775">
        <v>0.122</v>
      </c>
      <c r="F139" s="1776">
        <v>0.13</v>
      </c>
    </row>
    <row r="140" spans="1:6" ht="15" thickBot="1">
      <c r="A140" s="1770" t="s">
        <v>1400</v>
      </c>
      <c r="B140" s="1774" t="s">
        <v>2099</v>
      </c>
      <c r="C140" s="1775">
        <v>0.125</v>
      </c>
      <c r="D140" s="1775">
        <v>0.125</v>
      </c>
      <c r="E140" s="1775">
        <v>0.11899999999999999</v>
      </c>
      <c r="F140" s="1776">
        <v>0.13</v>
      </c>
    </row>
    <row r="141" spans="1:6" ht="15" thickBot="1">
      <c r="A141" s="1770" t="s">
        <v>1400</v>
      </c>
      <c r="B141" s="1774" t="s">
        <v>1339</v>
      </c>
      <c r="C141" s="1775">
        <v>0.125</v>
      </c>
      <c r="D141" s="1775">
        <v>0.125</v>
      </c>
      <c r="E141" s="1775">
        <v>0.11700000000000001</v>
      </c>
      <c r="F141" s="1783"/>
    </row>
    <row r="142" spans="1:6" ht="15" thickBot="1">
      <c r="A142" s="1770" t="s">
        <v>1400</v>
      </c>
      <c r="B142" s="1774" t="s">
        <v>1344</v>
      </c>
      <c r="C142" s="1775">
        <v>0.125</v>
      </c>
      <c r="D142" s="1775">
        <v>0.125</v>
      </c>
      <c r="E142" s="1775">
        <v>0.115</v>
      </c>
      <c r="F142" s="1783"/>
    </row>
    <row r="143" spans="1:6" ht="15" thickBot="1">
      <c r="A143" s="1770" t="s">
        <v>1400</v>
      </c>
      <c r="B143" s="1774" t="s">
        <v>1349</v>
      </c>
      <c r="C143" s="1775">
        <v>0.121</v>
      </c>
      <c r="D143" s="1775">
        <v>0.121</v>
      </c>
      <c r="E143" s="1775">
        <v>0.108</v>
      </c>
      <c r="F143" s="1783"/>
    </row>
    <row r="144" spans="1:6" ht="15" thickBot="1">
      <c r="A144" s="1770" t="s">
        <v>1400</v>
      </c>
      <c r="B144" s="1787" t="s">
        <v>2100</v>
      </c>
      <c r="C144" s="1788">
        <v>0.126</v>
      </c>
      <c r="D144" s="1788">
        <v>0.126</v>
      </c>
      <c r="E144" s="1788">
        <v>0.121</v>
      </c>
      <c r="F144" s="1783"/>
    </row>
    <row r="145" spans="1:6" ht="15" thickBot="1">
      <c r="A145" s="1778" t="s">
        <v>1400</v>
      </c>
      <c r="B145" s="1789" t="s">
        <v>2101</v>
      </c>
      <c r="C145" s="1790"/>
      <c r="D145" s="1790"/>
      <c r="E145" s="1790"/>
      <c r="F145" s="1791">
        <v>0.05</v>
      </c>
    </row>
    <row r="146" spans="1:6" ht="24.6" thickBot="1">
      <c r="A146" s="1792" t="s">
        <v>1400</v>
      </c>
      <c r="B146" s="1777" t="s">
        <v>2102</v>
      </c>
      <c r="C146" s="1784"/>
      <c r="D146" s="1784"/>
      <c r="E146" s="1784"/>
      <c r="F146" s="1793">
        <v>0.05</v>
      </c>
    </row>
    <row r="147" spans="1:6" ht="24.6" thickBot="1">
      <c r="A147" s="1770" t="s">
        <v>1400</v>
      </c>
      <c r="B147" s="1774" t="s">
        <v>2103</v>
      </c>
      <c r="C147" s="1784"/>
      <c r="D147" s="1784"/>
      <c r="E147" s="1784"/>
      <c r="F147" s="1776">
        <v>0.05</v>
      </c>
    </row>
    <row r="148" spans="1:6" ht="24.6" thickBot="1">
      <c r="A148" s="1770" t="s">
        <v>1400</v>
      </c>
      <c r="B148" s="1774" t="s">
        <v>2104</v>
      </c>
      <c r="C148" s="1784"/>
      <c r="D148" s="1784"/>
      <c r="E148" s="1784"/>
      <c r="F148" s="1776">
        <v>0.05</v>
      </c>
    </row>
    <row r="149" spans="1:6" ht="24.6" thickBot="1">
      <c r="A149" s="1770" t="s">
        <v>1400</v>
      </c>
      <c r="B149" s="1774" t="s">
        <v>2105</v>
      </c>
      <c r="C149" s="1784"/>
      <c r="D149" s="1784"/>
      <c r="E149" s="1784"/>
      <c r="F149" s="1776">
        <v>0.05</v>
      </c>
    </row>
    <row r="150" spans="1:6" ht="24.6" thickBot="1">
      <c r="A150" s="1770" t="s">
        <v>1400</v>
      </c>
      <c r="B150" s="1774" t="s">
        <v>2106</v>
      </c>
      <c r="C150" s="1784"/>
      <c r="D150" s="1784"/>
      <c r="E150" s="1784"/>
      <c r="F150" s="1776">
        <v>0.05</v>
      </c>
    </row>
    <row r="151" spans="1:6" ht="24.6" thickBot="1">
      <c r="A151" s="1770" t="s">
        <v>1400</v>
      </c>
      <c r="B151" s="1774" t="s">
        <v>2107</v>
      </c>
      <c r="C151" s="1784"/>
      <c r="D151" s="1784"/>
      <c r="E151" s="1784"/>
      <c r="F151" s="1776">
        <v>0.05</v>
      </c>
    </row>
    <row r="152" spans="1:6" ht="24.6" thickBot="1">
      <c r="A152" s="1770" t="s">
        <v>1400</v>
      </c>
      <c r="B152" s="1774" t="s">
        <v>1382</v>
      </c>
      <c r="C152" s="1784"/>
      <c r="D152" s="1784"/>
      <c r="E152" s="1784"/>
      <c r="F152" s="1776">
        <v>0.05</v>
      </c>
    </row>
    <row r="153" spans="1:6" ht="15" thickBot="1">
      <c r="A153" s="1770" t="s">
        <v>1400</v>
      </c>
      <c r="B153" s="1774" t="s">
        <v>2108</v>
      </c>
      <c r="C153" s="1784"/>
      <c r="D153" s="1784"/>
      <c r="E153" s="1784"/>
      <c r="F153" s="1776">
        <v>0.05</v>
      </c>
    </row>
    <row r="154" spans="1:6" ht="15" thickBot="1">
      <c r="A154" s="1770" t="s">
        <v>1400</v>
      </c>
      <c r="B154" s="1774" t="s">
        <v>2109</v>
      </c>
      <c r="C154" s="1784"/>
      <c r="D154" s="1784"/>
      <c r="E154" s="1784"/>
      <c r="F154" s="1776">
        <v>0.05</v>
      </c>
    </row>
    <row r="155" spans="1:6" ht="24.6" thickBot="1">
      <c r="A155" s="1770" t="s">
        <v>1400</v>
      </c>
      <c r="B155" s="1774" t="s">
        <v>2110</v>
      </c>
      <c r="C155" s="1784"/>
      <c r="D155" s="1784"/>
      <c r="E155" s="1784"/>
      <c r="F155" s="1776">
        <v>0.05</v>
      </c>
    </row>
    <row r="156" spans="1:6" ht="24.6" thickBot="1">
      <c r="A156" s="1770" t="s">
        <v>1400</v>
      </c>
      <c r="B156" s="1774" t="s">
        <v>2111</v>
      </c>
      <c r="C156" s="1784"/>
      <c r="D156" s="1784"/>
      <c r="E156" s="1784"/>
      <c r="F156" s="1776">
        <v>0.05</v>
      </c>
    </row>
    <row r="157" spans="1:6" ht="24.6" thickBot="1">
      <c r="A157" s="1778" t="s">
        <v>1400</v>
      </c>
      <c r="B157" s="1785" t="s">
        <v>2112</v>
      </c>
      <c r="C157" s="1781"/>
      <c r="D157" s="1781"/>
      <c r="E157" s="1781"/>
      <c r="F157" s="1786">
        <v>0.05</v>
      </c>
    </row>
    <row r="158" spans="1:6" ht="15" thickBot="1">
      <c r="A158" s="1770" t="s">
        <v>1402</v>
      </c>
      <c r="B158" s="1771" t="s">
        <v>2113</v>
      </c>
      <c r="C158" s="1772">
        <v>0.13</v>
      </c>
      <c r="D158" s="1772">
        <v>0.13</v>
      </c>
      <c r="E158" s="1772">
        <v>0.13</v>
      </c>
      <c r="F158" s="1773">
        <v>0.13</v>
      </c>
    </row>
    <row r="159" spans="1:6" ht="15" thickBot="1">
      <c r="A159" s="1770" t="s">
        <v>1402</v>
      </c>
      <c r="B159" s="1774" t="s">
        <v>1067</v>
      </c>
      <c r="C159" s="1775">
        <v>0.13</v>
      </c>
      <c r="D159" s="1775">
        <v>0.13</v>
      </c>
      <c r="E159" s="1775">
        <v>0.13</v>
      </c>
      <c r="F159" s="1776">
        <v>0.13</v>
      </c>
    </row>
    <row r="160" spans="1:6" ht="15" thickBot="1">
      <c r="A160" s="1770" t="s">
        <v>1402</v>
      </c>
      <c r="B160" s="1774" t="s">
        <v>1081</v>
      </c>
      <c r="C160" s="1775">
        <v>0.13</v>
      </c>
      <c r="D160" s="1775">
        <v>0.13</v>
      </c>
      <c r="E160" s="1775">
        <v>0.129</v>
      </c>
      <c r="F160" s="1776">
        <v>0.13</v>
      </c>
    </row>
    <row r="161" spans="1:6" ht="15" thickBot="1">
      <c r="A161" s="1770" t="s">
        <v>1402</v>
      </c>
      <c r="B161" s="1774" t="s">
        <v>1094</v>
      </c>
      <c r="C161" s="1775">
        <v>0.128</v>
      </c>
      <c r="D161" s="1775">
        <v>0.128</v>
      </c>
      <c r="E161" s="1775">
        <v>0.125</v>
      </c>
      <c r="F161" s="1776">
        <v>0.13</v>
      </c>
    </row>
    <row r="162" spans="1:6" ht="15" thickBot="1">
      <c r="A162" s="1770" t="s">
        <v>1402</v>
      </c>
      <c r="B162" s="1774" t="s">
        <v>1108</v>
      </c>
      <c r="C162" s="1775">
        <v>0.122</v>
      </c>
      <c r="D162" s="1775">
        <v>0.122</v>
      </c>
      <c r="E162" s="1775">
        <v>0.126</v>
      </c>
      <c r="F162" s="1776">
        <v>0.122</v>
      </c>
    </row>
    <row r="163" spans="1:6" ht="15" thickBot="1">
      <c r="A163" s="1770" t="s">
        <v>1402</v>
      </c>
      <c r="B163" s="1774" t="s">
        <v>1119</v>
      </c>
      <c r="C163" s="1775">
        <v>0.13</v>
      </c>
      <c r="D163" s="1775">
        <v>0.13</v>
      </c>
      <c r="E163" s="1775">
        <v>0.125</v>
      </c>
      <c r="F163" s="1776">
        <v>0.13</v>
      </c>
    </row>
    <row r="164" spans="1:6" ht="15" thickBot="1">
      <c r="A164" s="1770" t="s">
        <v>1402</v>
      </c>
      <c r="B164" s="1774" t="s">
        <v>1130</v>
      </c>
      <c r="C164" s="1775">
        <v>0.13</v>
      </c>
      <c r="D164" s="1775">
        <v>0.13</v>
      </c>
      <c r="E164" s="1775">
        <v>0.13</v>
      </c>
      <c r="F164" s="1776">
        <v>0.13</v>
      </c>
    </row>
    <row r="165" spans="1:6" ht="15" thickBot="1">
      <c r="A165" s="1770" t="s">
        <v>1402</v>
      </c>
      <c r="B165" s="1774" t="s">
        <v>1141</v>
      </c>
      <c r="C165" s="1775">
        <v>0.13</v>
      </c>
      <c r="D165" s="1775">
        <v>0.13</v>
      </c>
      <c r="E165" s="1775">
        <v>0.124</v>
      </c>
      <c r="F165" s="1776">
        <v>0.13</v>
      </c>
    </row>
    <row r="166" spans="1:6" ht="15" thickBot="1">
      <c r="A166" s="1770" t="s">
        <v>1402</v>
      </c>
      <c r="B166" s="1774" t="s">
        <v>1153</v>
      </c>
      <c r="C166" s="1775">
        <v>0.13</v>
      </c>
      <c r="D166" s="1775">
        <v>0.13</v>
      </c>
      <c r="E166" s="1775">
        <v>0.13</v>
      </c>
      <c r="F166" s="1776">
        <v>0.13</v>
      </c>
    </row>
    <row r="167" spans="1:6" ht="15" thickBot="1">
      <c r="A167" s="1770" t="s">
        <v>1402</v>
      </c>
      <c r="B167" s="1774" t="s">
        <v>1163</v>
      </c>
      <c r="C167" s="1775">
        <v>0.125</v>
      </c>
      <c r="D167" s="1775">
        <v>0.125</v>
      </c>
      <c r="E167" s="1775">
        <v>0.121</v>
      </c>
      <c r="F167" s="1783"/>
    </row>
    <row r="168" spans="1:6" ht="15" thickBot="1">
      <c r="A168" s="1770" t="s">
        <v>1402</v>
      </c>
      <c r="B168" s="1774" t="s">
        <v>1173</v>
      </c>
      <c r="C168" s="1775">
        <v>0.13</v>
      </c>
      <c r="D168" s="1775">
        <v>0.13</v>
      </c>
      <c r="E168" s="1775">
        <v>0.126</v>
      </c>
      <c r="F168" s="1783"/>
    </row>
    <row r="169" spans="1:6" ht="15" thickBot="1">
      <c r="A169" s="1770" t="s">
        <v>1402</v>
      </c>
      <c r="B169" s="1774" t="s">
        <v>1183</v>
      </c>
      <c r="C169" s="1775">
        <v>0.128</v>
      </c>
      <c r="D169" s="1775">
        <v>0.129</v>
      </c>
      <c r="E169" s="1775">
        <v>0.13</v>
      </c>
      <c r="F169" s="1783"/>
    </row>
    <row r="170" spans="1:6" ht="15" thickBot="1">
      <c r="A170" s="1770" t="s">
        <v>1402</v>
      </c>
      <c r="B170" s="1774" t="s">
        <v>1193</v>
      </c>
      <c r="C170" s="1775">
        <v>0.14099999999999999</v>
      </c>
      <c r="D170" s="1775">
        <v>0.13</v>
      </c>
      <c r="E170" s="1775">
        <v>0.125</v>
      </c>
      <c r="F170" s="1783"/>
    </row>
    <row r="171" spans="1:6" ht="15" thickBot="1">
      <c r="A171" s="1770" t="s">
        <v>1402</v>
      </c>
      <c r="B171" s="1774" t="s">
        <v>2114</v>
      </c>
      <c r="C171" s="1775">
        <v>0.127</v>
      </c>
      <c r="D171" s="1775">
        <v>0.126</v>
      </c>
      <c r="E171" s="1775">
        <v>0.126</v>
      </c>
      <c r="F171" s="1776">
        <v>0.11799999999999999</v>
      </c>
    </row>
    <row r="172" spans="1:6" ht="15" thickBot="1">
      <c r="A172" s="1770" t="s">
        <v>1402</v>
      </c>
      <c r="B172" s="1774" t="s">
        <v>2115</v>
      </c>
      <c r="C172" s="1775">
        <v>0.13</v>
      </c>
      <c r="D172" s="1775">
        <v>0.13</v>
      </c>
      <c r="E172" s="1775">
        <v>0.13</v>
      </c>
      <c r="F172" s="1783"/>
    </row>
    <row r="173" spans="1:6" ht="15" thickBot="1">
      <c r="A173" s="1770" t="s">
        <v>1402</v>
      </c>
      <c r="B173" s="1774" t="s">
        <v>1223</v>
      </c>
      <c r="C173" s="1775">
        <v>0.13</v>
      </c>
      <c r="D173" s="1775">
        <v>0.13</v>
      </c>
      <c r="E173" s="1775">
        <v>0.13</v>
      </c>
      <c r="F173" s="1783"/>
    </row>
    <row r="174" spans="1:6" ht="15" thickBot="1">
      <c r="A174" s="1770" t="s">
        <v>1402</v>
      </c>
      <c r="B174" s="1774" t="s">
        <v>2116</v>
      </c>
      <c r="C174" s="1775">
        <v>0.13</v>
      </c>
      <c r="D174" s="1775">
        <v>0.13</v>
      </c>
      <c r="E174" s="1775">
        <v>0.13</v>
      </c>
      <c r="F174" s="1776">
        <v>0.13</v>
      </c>
    </row>
    <row r="175" spans="1:6" ht="15" thickBot="1">
      <c r="A175" s="1770" t="s">
        <v>1402</v>
      </c>
      <c r="B175" s="1774" t="s">
        <v>2117</v>
      </c>
      <c r="C175" s="1775">
        <v>0.13</v>
      </c>
      <c r="D175" s="1775">
        <v>0.13</v>
      </c>
      <c r="E175" s="1775">
        <v>0.13</v>
      </c>
      <c r="F175" s="1776">
        <v>0.13</v>
      </c>
    </row>
    <row r="176" spans="1:6" ht="15" thickBot="1">
      <c r="A176" s="1770" t="s">
        <v>1402</v>
      </c>
      <c r="B176" s="1774" t="s">
        <v>1253</v>
      </c>
      <c r="C176" s="1775">
        <v>0.13</v>
      </c>
      <c r="D176" s="1775">
        <v>0.13</v>
      </c>
      <c r="E176" s="1775">
        <v>0.13</v>
      </c>
      <c r="F176" s="1776">
        <v>0.13</v>
      </c>
    </row>
    <row r="177" spans="1:6" ht="15" thickBot="1">
      <c r="A177" s="1770" t="s">
        <v>1402</v>
      </c>
      <c r="B177" s="1774" t="s">
        <v>2118</v>
      </c>
      <c r="C177" s="1775">
        <v>0.13</v>
      </c>
      <c r="D177" s="1775">
        <v>0.13</v>
      </c>
      <c r="E177" s="1775">
        <v>0.13</v>
      </c>
      <c r="F177" s="1776">
        <v>0.13</v>
      </c>
    </row>
    <row r="178" spans="1:6" ht="15" thickBot="1">
      <c r="A178" s="1770" t="s">
        <v>1402</v>
      </c>
      <c r="B178" s="1774" t="s">
        <v>1271</v>
      </c>
      <c r="C178" s="1775">
        <v>0.13</v>
      </c>
      <c r="D178" s="1775">
        <v>0.13</v>
      </c>
      <c r="E178" s="1775">
        <v>0.13</v>
      </c>
      <c r="F178" s="1776">
        <v>0.127</v>
      </c>
    </row>
    <row r="179" spans="1:6" ht="15" thickBot="1">
      <c r="A179" s="1770" t="s">
        <v>1402</v>
      </c>
      <c r="B179" s="1774" t="s">
        <v>1279</v>
      </c>
      <c r="C179" s="1775">
        <v>0.13</v>
      </c>
      <c r="D179" s="1775">
        <v>0.13</v>
      </c>
      <c r="E179" s="1775">
        <v>0.13</v>
      </c>
      <c r="F179" s="1783"/>
    </row>
    <row r="180" spans="1:6" ht="15" thickBot="1">
      <c r="A180" s="1770" t="s">
        <v>1402</v>
      </c>
      <c r="B180" s="1774" t="s">
        <v>2119</v>
      </c>
      <c r="C180" s="1775">
        <v>0.13</v>
      </c>
      <c r="D180" s="1775">
        <v>0.13</v>
      </c>
      <c r="E180" s="1775">
        <v>0.125</v>
      </c>
      <c r="F180" s="1776">
        <v>0.13</v>
      </c>
    </row>
    <row r="181" spans="1:6" ht="15" thickBot="1">
      <c r="A181" s="1770" t="s">
        <v>1402</v>
      </c>
      <c r="B181" s="1774" t="s">
        <v>1293</v>
      </c>
      <c r="C181" s="1775">
        <v>0.122</v>
      </c>
      <c r="D181" s="1775">
        <v>0.123</v>
      </c>
      <c r="E181" s="1775">
        <v>0.126</v>
      </c>
      <c r="F181" s="1776">
        <v>0.121</v>
      </c>
    </row>
    <row r="182" spans="1:6" ht="15" thickBot="1">
      <c r="A182" s="1770" t="s">
        <v>1402</v>
      </c>
      <c r="B182" s="1774" t="s">
        <v>1300</v>
      </c>
      <c r="C182" s="1775">
        <v>0.125</v>
      </c>
      <c r="D182" s="1775">
        <v>0.125</v>
      </c>
      <c r="E182" s="1775">
        <v>0.11700000000000001</v>
      </c>
      <c r="F182" s="1776">
        <v>0.13</v>
      </c>
    </row>
    <row r="183" spans="1:6" ht="15" thickBot="1">
      <c r="A183" s="1770" t="s">
        <v>1402</v>
      </c>
      <c r="B183" s="1774" t="s">
        <v>1307</v>
      </c>
      <c r="C183" s="1775">
        <v>0.127</v>
      </c>
      <c r="D183" s="1775">
        <v>0.127</v>
      </c>
      <c r="E183" s="1775">
        <v>0.128</v>
      </c>
      <c r="F183" s="1783"/>
    </row>
    <row r="184" spans="1:6" ht="15" thickBot="1">
      <c r="A184" s="1770" t="s">
        <v>1402</v>
      </c>
      <c r="B184" s="1774" t="s">
        <v>1314</v>
      </c>
      <c r="C184" s="1775">
        <v>0.125</v>
      </c>
      <c r="D184" s="1775">
        <v>0.125</v>
      </c>
      <c r="E184" s="1775">
        <v>0.127</v>
      </c>
      <c r="F184" s="1783"/>
    </row>
    <row r="185" spans="1:6" ht="15" thickBot="1">
      <c r="A185" s="1770" t="s">
        <v>1402</v>
      </c>
      <c r="B185" s="1774" t="s">
        <v>2120</v>
      </c>
      <c r="C185" s="1775">
        <v>0.127</v>
      </c>
      <c r="D185" s="1775">
        <v>0.127</v>
      </c>
      <c r="E185" s="1775">
        <v>0.128</v>
      </c>
      <c r="F185" s="1776">
        <v>0.13</v>
      </c>
    </row>
    <row r="186" spans="1:6" ht="24.6" thickBot="1">
      <c r="A186" s="1770" t="s">
        <v>1402</v>
      </c>
      <c r="B186" s="1774" t="s">
        <v>2121</v>
      </c>
      <c r="C186" s="1784"/>
      <c r="D186" s="1784"/>
      <c r="E186" s="1784"/>
      <c r="F186" s="1776">
        <v>0.05</v>
      </c>
    </row>
    <row r="187" spans="1:6" ht="15" thickBot="1">
      <c r="A187" s="1770" t="s">
        <v>1402</v>
      </c>
      <c r="B187" s="1774" t="s">
        <v>2122</v>
      </c>
      <c r="C187" s="1784"/>
      <c r="D187" s="1784"/>
      <c r="E187" s="1784"/>
      <c r="F187" s="1776">
        <v>0.05</v>
      </c>
    </row>
    <row r="188" spans="1:6" ht="24.6" thickBot="1">
      <c r="A188" s="1770" t="s">
        <v>1402</v>
      </c>
      <c r="B188" s="1774" t="s">
        <v>2123</v>
      </c>
      <c r="C188" s="1784"/>
      <c r="D188" s="1784"/>
      <c r="E188" s="1784"/>
      <c r="F188" s="1776">
        <v>0.05</v>
      </c>
    </row>
    <row r="189" spans="1:6" ht="24.6" thickBot="1">
      <c r="A189" s="1770" t="s">
        <v>1402</v>
      </c>
      <c r="B189" s="1774" t="s">
        <v>2124</v>
      </c>
      <c r="C189" s="1784"/>
      <c r="D189" s="1784"/>
      <c r="E189" s="1784"/>
      <c r="F189" s="1776">
        <v>0.05</v>
      </c>
    </row>
    <row r="190" spans="1:6" ht="24.6" thickBot="1">
      <c r="A190" s="1770" t="s">
        <v>1402</v>
      </c>
      <c r="B190" s="1774" t="s">
        <v>2125</v>
      </c>
      <c r="C190" s="1784"/>
      <c r="D190" s="1784"/>
      <c r="E190" s="1784"/>
      <c r="F190" s="1776">
        <v>0.05</v>
      </c>
    </row>
    <row r="191" spans="1:6" ht="24.6" thickBot="1">
      <c r="A191" s="1770" t="s">
        <v>1402</v>
      </c>
      <c r="B191" s="1774" t="s">
        <v>2126</v>
      </c>
      <c r="C191" s="1784"/>
      <c r="D191" s="1784"/>
      <c r="E191" s="1784"/>
      <c r="F191" s="1776">
        <v>0.05</v>
      </c>
    </row>
    <row r="192" spans="1:6" ht="24.6" thickBot="1">
      <c r="A192" s="1770" t="s">
        <v>1402</v>
      </c>
      <c r="B192" s="1774" t="s">
        <v>2127</v>
      </c>
      <c r="C192" s="1784"/>
      <c r="D192" s="1784"/>
      <c r="E192" s="1784"/>
      <c r="F192" s="1776">
        <v>0.05</v>
      </c>
    </row>
    <row r="193" spans="1:6" ht="24.6" thickBot="1">
      <c r="A193" s="1770" t="s">
        <v>1402</v>
      </c>
      <c r="B193" s="1774" t="s">
        <v>2128</v>
      </c>
      <c r="C193" s="1784"/>
      <c r="D193" s="1784"/>
      <c r="E193" s="1784"/>
      <c r="F193" s="1776">
        <v>0.05</v>
      </c>
    </row>
    <row r="194" spans="1:6" ht="24.6" thickBot="1">
      <c r="A194" s="1770" t="s">
        <v>1402</v>
      </c>
      <c r="B194" s="1774" t="s">
        <v>2129</v>
      </c>
      <c r="C194" s="1784"/>
      <c r="D194" s="1784"/>
      <c r="E194" s="1784"/>
      <c r="F194" s="1776">
        <v>0.05</v>
      </c>
    </row>
    <row r="195" spans="1:6" ht="15" thickBot="1">
      <c r="A195" s="1770" t="s">
        <v>1402</v>
      </c>
      <c r="B195" s="1774" t="s">
        <v>2130</v>
      </c>
      <c r="C195" s="1784"/>
      <c r="D195" s="1784"/>
      <c r="E195" s="1784"/>
      <c r="F195" s="1776">
        <v>0.05</v>
      </c>
    </row>
    <row r="196" spans="1:6" ht="24.6" thickBot="1">
      <c r="A196" s="1770" t="s">
        <v>1402</v>
      </c>
      <c r="B196" s="1774" t="s">
        <v>2131</v>
      </c>
      <c r="C196" s="1784"/>
      <c r="D196" s="1784"/>
      <c r="E196" s="1784"/>
      <c r="F196" s="1776">
        <v>0.05</v>
      </c>
    </row>
    <row r="197" spans="1:6" ht="24.6" thickBot="1">
      <c r="A197" s="1770" t="s">
        <v>1402</v>
      </c>
      <c r="B197" s="1774" t="s">
        <v>2132</v>
      </c>
      <c r="C197" s="1784"/>
      <c r="D197" s="1784"/>
      <c r="E197" s="1784"/>
      <c r="F197" s="1776">
        <v>0.05</v>
      </c>
    </row>
    <row r="198" spans="1:6" ht="24.6" thickBot="1">
      <c r="A198" s="1770" t="s">
        <v>1402</v>
      </c>
      <c r="B198" s="1774" t="s">
        <v>2133</v>
      </c>
      <c r="C198" s="1784"/>
      <c r="D198" s="1784"/>
      <c r="E198" s="1784"/>
      <c r="F198" s="1776">
        <v>0.05</v>
      </c>
    </row>
    <row r="199" spans="1:6" ht="24.6" thickBot="1">
      <c r="A199" s="1770" t="s">
        <v>1402</v>
      </c>
      <c r="B199" s="1774" t="s">
        <v>2134</v>
      </c>
      <c r="C199" s="1784"/>
      <c r="D199" s="1784"/>
      <c r="E199" s="1784"/>
      <c r="F199" s="1776">
        <v>0.05</v>
      </c>
    </row>
    <row r="200" spans="1:6" ht="24.6" thickBot="1">
      <c r="A200" s="1770" t="s">
        <v>1402</v>
      </c>
      <c r="B200" s="1774" t="s">
        <v>2135</v>
      </c>
      <c r="C200" s="1784"/>
      <c r="D200" s="1784"/>
      <c r="E200" s="1784"/>
      <c r="F200" s="1776">
        <v>0.05</v>
      </c>
    </row>
    <row r="201" spans="1:6" ht="24.6" thickBot="1">
      <c r="A201" s="1770" t="s">
        <v>1402</v>
      </c>
      <c r="B201" s="1774" t="s">
        <v>2136</v>
      </c>
      <c r="C201" s="1784"/>
      <c r="D201" s="1784"/>
      <c r="E201" s="1784"/>
      <c r="F201" s="1776">
        <v>0.05</v>
      </c>
    </row>
    <row r="202" spans="1:6" ht="24.6" thickBot="1">
      <c r="A202" s="1770" t="s">
        <v>1402</v>
      </c>
      <c r="B202" s="1774" t="s">
        <v>2137</v>
      </c>
      <c r="C202" s="1784"/>
      <c r="D202" s="1784"/>
      <c r="E202" s="1784"/>
      <c r="F202" s="1776">
        <v>0.05</v>
      </c>
    </row>
    <row r="203" spans="1:6" ht="24.6" thickBot="1">
      <c r="A203" s="1770" t="s">
        <v>1402</v>
      </c>
      <c r="B203" s="1774" t="s">
        <v>2138</v>
      </c>
      <c r="C203" s="1784"/>
      <c r="D203" s="1784"/>
      <c r="E203" s="1784"/>
      <c r="F203" s="1776">
        <v>0.05</v>
      </c>
    </row>
    <row r="204" spans="1:6" ht="15" thickBot="1">
      <c r="A204" s="1770" t="s">
        <v>1402</v>
      </c>
      <c r="B204" s="1774" t="s">
        <v>2139</v>
      </c>
      <c r="C204" s="1784"/>
      <c r="D204" s="1784"/>
      <c r="E204" s="1784"/>
      <c r="F204" s="1776">
        <v>0.05</v>
      </c>
    </row>
    <row r="205" spans="1:6" ht="15" thickBot="1">
      <c r="A205" s="1778" t="s">
        <v>1402</v>
      </c>
      <c r="B205" s="1785" t="s">
        <v>2140</v>
      </c>
      <c r="C205" s="1781"/>
      <c r="D205" s="1781"/>
      <c r="E205" s="1781"/>
      <c r="F205" s="1786">
        <v>0.05</v>
      </c>
    </row>
    <row r="206" spans="1:6" ht="15" thickBot="1">
      <c r="A206" s="1770" t="s">
        <v>1404</v>
      </c>
      <c r="B206" s="1771" t="s">
        <v>2141</v>
      </c>
      <c r="C206" s="1772">
        <v>0.15</v>
      </c>
      <c r="D206" s="1772">
        <v>0.15</v>
      </c>
      <c r="E206" s="1772">
        <v>0.15</v>
      </c>
      <c r="F206" s="1773">
        <v>0.15</v>
      </c>
    </row>
    <row r="207" spans="1:6" ht="15" thickBot="1">
      <c r="A207" s="1770" t="s">
        <v>1404</v>
      </c>
      <c r="B207" s="1774" t="s">
        <v>1068</v>
      </c>
      <c r="C207" s="1775">
        <v>0.15</v>
      </c>
      <c r="D207" s="1775">
        <v>0.15</v>
      </c>
      <c r="E207" s="1775">
        <v>0.15</v>
      </c>
      <c r="F207" s="1776">
        <v>0.14399999999999999</v>
      </c>
    </row>
    <row r="208" spans="1:6" ht="15" thickBot="1">
      <c r="A208" s="1770" t="s">
        <v>1404</v>
      </c>
      <c r="B208" s="1774" t="s">
        <v>1082</v>
      </c>
      <c r="C208" s="1775">
        <v>0.15</v>
      </c>
      <c r="D208" s="1775">
        <v>0.15</v>
      </c>
      <c r="E208" s="1775">
        <v>0.15</v>
      </c>
      <c r="F208" s="1776">
        <v>0.15</v>
      </c>
    </row>
    <row r="209" spans="1:6" ht="15" thickBot="1">
      <c r="A209" s="1770" t="s">
        <v>1404</v>
      </c>
      <c r="B209" s="1774" t="s">
        <v>1095</v>
      </c>
      <c r="C209" s="1775">
        <v>0.13700000000000001</v>
      </c>
      <c r="D209" s="1775">
        <v>0.13700000000000001</v>
      </c>
      <c r="E209" s="1775">
        <v>0.14000000000000001</v>
      </c>
      <c r="F209" s="1776">
        <v>0.11700000000000001</v>
      </c>
    </row>
    <row r="210" spans="1:6" ht="15" thickBot="1">
      <c r="A210" s="1770" t="s">
        <v>1404</v>
      </c>
      <c r="B210" s="1774" t="s">
        <v>2142</v>
      </c>
      <c r="C210" s="1775">
        <v>0.15</v>
      </c>
      <c r="D210" s="1775">
        <v>0.15</v>
      </c>
      <c r="E210" s="1775">
        <v>0.15</v>
      </c>
      <c r="F210" s="1776">
        <v>0.13800000000000001</v>
      </c>
    </row>
    <row r="211" spans="1:6" ht="15" thickBot="1">
      <c r="A211" s="1770" t="s">
        <v>1404</v>
      </c>
      <c r="B211" s="1774" t="s">
        <v>2143</v>
      </c>
      <c r="C211" s="1775">
        <v>0.13700000000000001</v>
      </c>
      <c r="D211" s="1775">
        <v>0.13500000000000001</v>
      </c>
      <c r="E211" s="1775">
        <v>0.13600000000000001</v>
      </c>
      <c r="F211" s="1776">
        <v>0.1</v>
      </c>
    </row>
    <row r="212" spans="1:6" ht="15" thickBot="1">
      <c r="A212" s="1770" t="s">
        <v>1404</v>
      </c>
      <c r="B212" s="1774" t="s">
        <v>2144</v>
      </c>
      <c r="C212" s="1775">
        <v>0.15</v>
      </c>
      <c r="D212" s="1775">
        <v>0.15</v>
      </c>
      <c r="E212" s="1775">
        <v>0.14799999999999999</v>
      </c>
      <c r="F212" s="1776">
        <v>0.13600000000000001</v>
      </c>
    </row>
    <row r="213" spans="1:6" ht="15" thickBot="1">
      <c r="A213" s="1770" t="s">
        <v>1404</v>
      </c>
      <c r="B213" s="1774" t="s">
        <v>1142</v>
      </c>
      <c r="C213" s="1775">
        <v>0.15</v>
      </c>
      <c r="D213" s="1775">
        <v>0.15</v>
      </c>
      <c r="E213" s="1775">
        <v>0.15</v>
      </c>
      <c r="F213" s="1776">
        <v>0.13800000000000001</v>
      </c>
    </row>
    <row r="214" spans="1:6" ht="15" thickBot="1">
      <c r="A214" s="1770" t="s">
        <v>1404</v>
      </c>
      <c r="B214" s="1774" t="s">
        <v>1154</v>
      </c>
      <c r="C214" s="1775">
        <v>9.0999999999999998E-2</v>
      </c>
      <c r="D214" s="1775">
        <v>0.09</v>
      </c>
      <c r="E214" s="1775">
        <v>9.1999999999999998E-2</v>
      </c>
      <c r="F214" s="1783"/>
    </row>
    <row r="215" spans="1:6" ht="15" thickBot="1">
      <c r="A215" s="1770" t="s">
        <v>1404</v>
      </c>
      <c r="B215" s="1774" t="s">
        <v>2145</v>
      </c>
      <c r="C215" s="1775">
        <v>0.15</v>
      </c>
      <c r="D215" s="1775">
        <v>0.15</v>
      </c>
      <c r="E215" s="1775">
        <v>0.15</v>
      </c>
      <c r="F215" s="1776">
        <v>0.15</v>
      </c>
    </row>
    <row r="216" spans="1:6" ht="15" thickBot="1">
      <c r="A216" s="1770" t="s">
        <v>1404</v>
      </c>
      <c r="B216" s="1774" t="s">
        <v>1174</v>
      </c>
      <c r="C216" s="1775">
        <v>0.14699999999999999</v>
      </c>
      <c r="D216" s="1775">
        <v>0.14699999999999999</v>
      </c>
      <c r="E216" s="1775">
        <v>0.15</v>
      </c>
      <c r="F216" s="1776">
        <v>0.14000000000000001</v>
      </c>
    </row>
    <row r="217" spans="1:6" ht="15" thickBot="1">
      <c r="A217" s="1770" t="s">
        <v>1404</v>
      </c>
      <c r="B217" s="1774" t="s">
        <v>1184</v>
      </c>
      <c r="C217" s="1775">
        <v>0.15</v>
      </c>
      <c r="D217" s="1775">
        <v>0.15</v>
      </c>
      <c r="E217" s="1775">
        <v>0.15</v>
      </c>
      <c r="F217" s="1776">
        <v>0.15</v>
      </c>
    </row>
    <row r="218" spans="1:6" ht="15" thickBot="1">
      <c r="A218" s="1770" t="s">
        <v>1404</v>
      </c>
      <c r="B218" s="1774" t="s">
        <v>2146</v>
      </c>
      <c r="C218" s="1775">
        <v>0.15</v>
      </c>
      <c r="D218" s="1775">
        <v>0.15</v>
      </c>
      <c r="E218" s="1775">
        <v>0.15</v>
      </c>
      <c r="F218" s="1776">
        <v>0.15</v>
      </c>
    </row>
    <row r="219" spans="1:6" ht="15" thickBot="1">
      <c r="A219" s="1770" t="s">
        <v>1404</v>
      </c>
      <c r="B219" s="1774" t="s">
        <v>1204</v>
      </c>
      <c r="C219" s="1775">
        <v>0.15</v>
      </c>
      <c r="D219" s="1775">
        <v>0.15</v>
      </c>
      <c r="E219" s="1775">
        <v>0.15</v>
      </c>
      <c r="F219" s="1776">
        <v>0.14799999999999999</v>
      </c>
    </row>
    <row r="220" spans="1:6" ht="15" thickBot="1">
      <c r="A220" s="1770" t="s">
        <v>1404</v>
      </c>
      <c r="B220" s="1774" t="s">
        <v>2147</v>
      </c>
      <c r="C220" s="1775">
        <v>0.15</v>
      </c>
      <c r="D220" s="1775">
        <v>0.15</v>
      </c>
      <c r="E220" s="1775">
        <v>0.15</v>
      </c>
      <c r="F220" s="1776">
        <v>0.15</v>
      </c>
    </row>
    <row r="221" spans="1:6" ht="15" thickBot="1">
      <c r="A221" s="1770" t="s">
        <v>1404</v>
      </c>
      <c r="B221" s="1774" t="s">
        <v>1224</v>
      </c>
      <c r="C221" s="1775"/>
      <c r="D221" s="1784"/>
      <c r="E221" s="1784"/>
      <c r="F221" s="1776">
        <v>0.14799999999999999</v>
      </c>
    </row>
    <row r="222" spans="1:6" ht="15" thickBot="1">
      <c r="A222" s="1770" t="s">
        <v>1404</v>
      </c>
      <c r="B222" s="1774" t="s">
        <v>1234</v>
      </c>
      <c r="C222" s="1775"/>
      <c r="D222" s="1784"/>
      <c r="E222" s="1784"/>
      <c r="F222" s="1776">
        <v>0.1</v>
      </c>
    </row>
    <row r="223" spans="1:6" ht="15" thickBot="1">
      <c r="A223" s="1770" t="s">
        <v>1404</v>
      </c>
      <c r="B223" s="1774" t="s">
        <v>1244</v>
      </c>
      <c r="C223" s="1775"/>
      <c r="D223" s="1784"/>
      <c r="E223" s="1784"/>
      <c r="F223" s="1776">
        <v>0.15</v>
      </c>
    </row>
    <row r="224" spans="1:6" ht="15" thickBot="1">
      <c r="A224" s="1770" t="s">
        <v>1404</v>
      </c>
      <c r="B224" s="1774" t="s">
        <v>1254</v>
      </c>
      <c r="C224" s="1775"/>
      <c r="D224" s="1784"/>
      <c r="E224" s="1784"/>
      <c r="F224" s="1776">
        <v>0.15</v>
      </c>
    </row>
    <row r="225" spans="1:6" ht="15" thickBot="1">
      <c r="A225" s="1770" t="s">
        <v>1404</v>
      </c>
      <c r="B225" s="1774" t="s">
        <v>2148</v>
      </c>
      <c r="C225" s="1775">
        <v>0.15</v>
      </c>
      <c r="D225" s="1775">
        <v>0.15</v>
      </c>
      <c r="E225" s="1775">
        <v>0.15</v>
      </c>
      <c r="F225" s="1776">
        <v>0.15</v>
      </c>
    </row>
    <row r="226" spans="1:6" ht="15" thickBot="1">
      <c r="A226" s="1770" t="s">
        <v>1404</v>
      </c>
      <c r="B226" s="1774" t="s">
        <v>1272</v>
      </c>
      <c r="C226" s="1775">
        <v>0.15</v>
      </c>
      <c r="D226" s="1775">
        <v>0.15</v>
      </c>
      <c r="E226" s="1775">
        <v>0.15</v>
      </c>
      <c r="F226" s="1776">
        <v>0.14799999999999999</v>
      </c>
    </row>
    <row r="227" spans="1:6" ht="15" thickBot="1">
      <c r="A227" s="1770" t="s">
        <v>1404</v>
      </c>
      <c r="B227" s="1774" t="s">
        <v>2149</v>
      </c>
      <c r="C227" s="1775">
        <v>0.15</v>
      </c>
      <c r="D227" s="1775">
        <v>0.15</v>
      </c>
      <c r="E227" s="1775">
        <v>0.15</v>
      </c>
      <c r="F227" s="1776">
        <v>0.15</v>
      </c>
    </row>
    <row r="228" spans="1:6" ht="15" thickBot="1">
      <c r="A228" s="1770" t="s">
        <v>1404</v>
      </c>
      <c r="B228" s="1774" t="s">
        <v>1287</v>
      </c>
      <c r="C228" s="1775">
        <v>0.15</v>
      </c>
      <c r="D228" s="1775">
        <v>0.15</v>
      </c>
      <c r="E228" s="1775">
        <v>0.15</v>
      </c>
      <c r="F228" s="1776">
        <v>0.15</v>
      </c>
    </row>
    <row r="229" spans="1:6" ht="15" thickBot="1">
      <c r="A229" s="1770" t="s">
        <v>1404</v>
      </c>
      <c r="B229" s="1774" t="s">
        <v>1294</v>
      </c>
      <c r="C229" s="1775">
        <v>0.15</v>
      </c>
      <c r="D229" s="1775">
        <v>0.15</v>
      </c>
      <c r="E229" s="1775">
        <v>0.15</v>
      </c>
      <c r="F229" s="1783"/>
    </row>
    <row r="230" spans="1:6" ht="15" thickBot="1">
      <c r="A230" s="1770" t="s">
        <v>1404</v>
      </c>
      <c r="B230" s="1774" t="s">
        <v>1301</v>
      </c>
      <c r="C230" s="1775">
        <v>0.14499999999999999</v>
      </c>
      <c r="D230" s="1775">
        <v>0.14499999999999999</v>
      </c>
      <c r="E230" s="1775">
        <v>0.14399999999999999</v>
      </c>
      <c r="F230" s="1783"/>
    </row>
    <row r="231" spans="1:6" ht="15" thickBot="1">
      <c r="A231" s="1770" t="s">
        <v>1404</v>
      </c>
      <c r="B231" s="1774" t="s">
        <v>2150</v>
      </c>
      <c r="C231" s="1775">
        <v>0.128</v>
      </c>
      <c r="D231" s="1775">
        <v>0.125</v>
      </c>
      <c r="E231" s="1775">
        <v>0.13200000000000001</v>
      </c>
      <c r="F231" s="1783"/>
    </row>
    <row r="232" spans="1:6" ht="15" thickBot="1">
      <c r="A232" s="1770" t="s">
        <v>1404</v>
      </c>
      <c r="B232" s="1774" t="s">
        <v>2151</v>
      </c>
      <c r="C232" s="1775">
        <v>0.14499999999999999</v>
      </c>
      <c r="D232" s="1775">
        <v>0.14399999999999999</v>
      </c>
      <c r="E232" s="1775">
        <v>0.14599999999999999</v>
      </c>
      <c r="F232" s="1776">
        <v>0.13800000000000001</v>
      </c>
    </row>
    <row r="233" spans="1:6" ht="15" thickBot="1">
      <c r="A233" s="1770" t="s">
        <v>1404</v>
      </c>
      <c r="B233" s="1774" t="s">
        <v>2152</v>
      </c>
      <c r="C233" s="1775">
        <v>0.14499999999999999</v>
      </c>
      <c r="D233" s="1775">
        <v>0.14299999999999999</v>
      </c>
      <c r="E233" s="1775">
        <v>0.14199999999999999</v>
      </c>
      <c r="F233" s="1783"/>
    </row>
    <row r="234" spans="1:6" ht="15" thickBot="1">
      <c r="A234" s="1770" t="s">
        <v>1404</v>
      </c>
      <c r="B234" s="1774" t="s">
        <v>2153</v>
      </c>
      <c r="C234" s="1775">
        <v>0.14000000000000001</v>
      </c>
      <c r="D234" s="1775">
        <v>0.14000000000000001</v>
      </c>
      <c r="E234" s="1775">
        <v>0.14399999999999999</v>
      </c>
      <c r="F234" s="1783"/>
    </row>
    <row r="235" spans="1:6" ht="15" thickBot="1">
      <c r="A235" s="1770" t="s">
        <v>1404</v>
      </c>
      <c r="B235" s="1774" t="s">
        <v>2154</v>
      </c>
      <c r="C235" s="1775">
        <v>0.14099999999999999</v>
      </c>
      <c r="D235" s="1775">
        <v>0.14199999999999999</v>
      </c>
      <c r="E235" s="1775">
        <v>0.14499999999999999</v>
      </c>
      <c r="F235" s="1776">
        <v>0.15</v>
      </c>
    </row>
    <row r="236" spans="1:6" ht="15" thickBot="1">
      <c r="A236" s="1770" t="s">
        <v>1404</v>
      </c>
      <c r="B236" s="1774" t="s">
        <v>1336</v>
      </c>
      <c r="C236" s="1784"/>
      <c r="D236" s="1784"/>
      <c r="E236" s="1784"/>
      <c r="F236" s="1776">
        <v>0.14299999999999999</v>
      </c>
    </row>
    <row r="237" spans="1:6" ht="24.6" thickBot="1">
      <c r="A237" s="1770" t="s">
        <v>1404</v>
      </c>
      <c r="B237" s="1774" t="s">
        <v>2155</v>
      </c>
      <c r="C237" s="1784"/>
      <c r="D237" s="1784"/>
      <c r="E237" s="1784"/>
      <c r="F237" s="1776">
        <v>0.05</v>
      </c>
    </row>
    <row r="238" spans="1:6" ht="24.6" thickBot="1">
      <c r="A238" s="1770" t="s">
        <v>1404</v>
      </c>
      <c r="B238" s="1774" t="s">
        <v>2156</v>
      </c>
      <c r="C238" s="1784"/>
      <c r="D238" s="1784"/>
      <c r="E238" s="1784"/>
      <c r="F238" s="1776">
        <v>0.05</v>
      </c>
    </row>
    <row r="239" spans="1:6" ht="24.6" thickBot="1">
      <c r="A239" s="1770" t="s">
        <v>1404</v>
      </c>
      <c r="B239" s="1774" t="s">
        <v>2157</v>
      </c>
      <c r="C239" s="1784"/>
      <c r="D239" s="1784"/>
      <c r="E239" s="1784"/>
      <c r="F239" s="1776">
        <v>0.05</v>
      </c>
    </row>
    <row r="240" spans="1:6" ht="24.6" thickBot="1">
      <c r="A240" s="1770" t="s">
        <v>1404</v>
      </c>
      <c r="B240" s="1774" t="s">
        <v>2158</v>
      </c>
      <c r="C240" s="1784"/>
      <c r="D240" s="1784"/>
      <c r="E240" s="1784"/>
      <c r="F240" s="1776">
        <v>0.05</v>
      </c>
    </row>
    <row r="241" spans="1:6" ht="24.6" thickBot="1">
      <c r="A241" s="1770" t="s">
        <v>1404</v>
      </c>
      <c r="B241" s="1774" t="s">
        <v>2159</v>
      </c>
      <c r="C241" s="1784"/>
      <c r="D241" s="1784"/>
      <c r="E241" s="1784"/>
      <c r="F241" s="1776">
        <v>0.05</v>
      </c>
    </row>
    <row r="242" spans="1:6" ht="24.6" thickBot="1">
      <c r="A242" s="1770" t="s">
        <v>1404</v>
      </c>
      <c r="B242" s="1774" t="s">
        <v>2160</v>
      </c>
      <c r="C242" s="1784"/>
      <c r="D242" s="1784"/>
      <c r="E242" s="1784"/>
      <c r="F242" s="1776">
        <v>0.05</v>
      </c>
    </row>
    <row r="243" spans="1:6" ht="24.6" thickBot="1">
      <c r="A243" s="1770" t="s">
        <v>1404</v>
      </c>
      <c r="B243" s="1774" t="s">
        <v>2161</v>
      </c>
      <c r="C243" s="1784"/>
      <c r="D243" s="1784"/>
      <c r="E243" s="1784"/>
      <c r="F243" s="1776">
        <v>0.05</v>
      </c>
    </row>
    <row r="244" spans="1:6" ht="24.6" thickBot="1">
      <c r="A244" s="1778" t="s">
        <v>1404</v>
      </c>
      <c r="B244" s="1785" t="s">
        <v>2162</v>
      </c>
      <c r="C244" s="1781"/>
      <c r="D244" s="1781"/>
      <c r="E244" s="1781"/>
      <c r="F244" s="1786">
        <v>0.05</v>
      </c>
    </row>
    <row r="245" spans="1:6" ht="15" thickBot="1">
      <c r="A245" s="1770" t="s">
        <v>1406</v>
      </c>
      <c r="B245" s="1771" t="s">
        <v>2163</v>
      </c>
      <c r="C245" s="1772">
        <v>0.15</v>
      </c>
      <c r="D245" s="1772">
        <v>0.15</v>
      </c>
      <c r="E245" s="1772">
        <v>0.15</v>
      </c>
      <c r="F245" s="1773">
        <v>0.14299999999999999</v>
      </c>
    </row>
    <row r="246" spans="1:6" ht="15" thickBot="1">
      <c r="A246" s="1770" t="s">
        <v>1406</v>
      </c>
      <c r="B246" s="1774" t="s">
        <v>1069</v>
      </c>
      <c r="C246" s="1775">
        <v>0.15</v>
      </c>
      <c r="D246" s="1775">
        <v>0.15</v>
      </c>
      <c r="E246" s="1775">
        <v>0.15</v>
      </c>
      <c r="F246" s="1776">
        <v>0.114</v>
      </c>
    </row>
    <row r="247" spans="1:6" ht="15" thickBot="1">
      <c r="A247" s="1770" t="s">
        <v>1406</v>
      </c>
      <c r="B247" s="1774" t="s">
        <v>2164</v>
      </c>
      <c r="C247" s="1775">
        <v>0.15</v>
      </c>
      <c r="D247" s="1775">
        <v>0.15</v>
      </c>
      <c r="E247" s="1775">
        <v>0.15</v>
      </c>
      <c r="F247" s="1776">
        <v>0.15</v>
      </c>
    </row>
    <row r="248" spans="1:6" ht="15" thickBot="1">
      <c r="A248" s="1770" t="s">
        <v>1406</v>
      </c>
      <c r="B248" s="1774" t="s">
        <v>2165</v>
      </c>
      <c r="C248" s="1775">
        <v>0.15</v>
      </c>
      <c r="D248" s="1775">
        <v>0.15</v>
      </c>
      <c r="E248" s="1775">
        <v>0.15</v>
      </c>
      <c r="F248" s="1776">
        <v>0.14000000000000001</v>
      </c>
    </row>
    <row r="249" spans="1:6" ht="15" thickBot="1">
      <c r="A249" s="1770" t="s">
        <v>1406</v>
      </c>
      <c r="B249" s="1774" t="s">
        <v>2166</v>
      </c>
      <c r="C249" s="1775">
        <v>0.15</v>
      </c>
      <c r="D249" s="1775">
        <v>0.14899999999999999</v>
      </c>
      <c r="E249" s="1775">
        <v>0.15</v>
      </c>
      <c r="F249" s="1776">
        <v>0.1</v>
      </c>
    </row>
    <row r="250" spans="1:6" ht="15" thickBot="1">
      <c r="A250" s="1770" t="s">
        <v>1406</v>
      </c>
      <c r="B250" s="1774" t="s">
        <v>2167</v>
      </c>
      <c r="C250" s="1775">
        <v>0.15</v>
      </c>
      <c r="D250" s="1775">
        <v>0.15</v>
      </c>
      <c r="E250" s="1775">
        <v>0.15</v>
      </c>
      <c r="F250" s="1776">
        <v>0.14399999999999999</v>
      </c>
    </row>
    <row r="251" spans="1:6" ht="15" thickBot="1">
      <c r="A251" s="1770" t="s">
        <v>1406</v>
      </c>
      <c r="B251" s="1774" t="s">
        <v>1132</v>
      </c>
      <c r="C251" s="1775">
        <v>0.15</v>
      </c>
      <c r="D251" s="1775">
        <v>0.15</v>
      </c>
      <c r="E251" s="1775">
        <v>0.15</v>
      </c>
      <c r="F251" s="1776">
        <v>0.14299999999999999</v>
      </c>
    </row>
    <row r="252" spans="1:6" ht="15" thickBot="1">
      <c r="A252" s="1770" t="s">
        <v>1406</v>
      </c>
      <c r="B252" s="1774" t="s">
        <v>1143</v>
      </c>
      <c r="C252" s="1775">
        <v>0.15</v>
      </c>
      <c r="D252" s="1775">
        <v>0.15</v>
      </c>
      <c r="E252" s="1775">
        <v>0.15</v>
      </c>
      <c r="F252" s="1776">
        <v>0.1</v>
      </c>
    </row>
    <row r="253" spans="1:6" ht="15" thickBot="1">
      <c r="A253" s="1770" t="s">
        <v>1406</v>
      </c>
      <c r="B253" s="1774" t="s">
        <v>1155</v>
      </c>
      <c r="C253" s="1775">
        <v>0.15</v>
      </c>
      <c r="D253" s="1775">
        <v>0.15</v>
      </c>
      <c r="E253" s="1775">
        <v>0.15</v>
      </c>
      <c r="F253" s="1776">
        <v>0.1</v>
      </c>
    </row>
    <row r="254" spans="1:6" ht="15" thickBot="1">
      <c r="A254" s="1770" t="s">
        <v>1406</v>
      </c>
      <c r="B254" s="1774" t="s">
        <v>1165</v>
      </c>
      <c r="C254" s="1784"/>
      <c r="D254" s="1784"/>
      <c r="E254" s="1784"/>
      <c r="F254" s="1776">
        <v>0.15</v>
      </c>
    </row>
    <row r="255" spans="1:6" ht="15" thickBot="1">
      <c r="A255" s="1770" t="s">
        <v>1406</v>
      </c>
      <c r="B255" s="1774" t="s">
        <v>1175</v>
      </c>
      <c r="C255" s="1784"/>
      <c r="D255" s="1784"/>
      <c r="E255" s="1784"/>
      <c r="F255" s="1776">
        <v>0.14299999999999999</v>
      </c>
    </row>
    <row r="256" spans="1:6" ht="15" thickBot="1">
      <c r="A256" s="1770" t="s">
        <v>1406</v>
      </c>
      <c r="B256" s="1774" t="s">
        <v>2168</v>
      </c>
      <c r="C256" s="1775">
        <v>0.14599999999999999</v>
      </c>
      <c r="D256" s="1775">
        <v>0.14699999999999999</v>
      </c>
      <c r="E256" s="1775">
        <v>0.15</v>
      </c>
      <c r="F256" s="1776">
        <v>0.13200000000000001</v>
      </c>
    </row>
    <row r="257" spans="1:6" ht="15" thickBot="1">
      <c r="A257" s="1770" t="s">
        <v>1406</v>
      </c>
      <c r="B257" s="1774" t="s">
        <v>1195</v>
      </c>
      <c r="C257" s="1775">
        <v>0.15</v>
      </c>
      <c r="D257" s="1775">
        <v>0.15</v>
      </c>
      <c r="E257" s="1775">
        <v>0.15</v>
      </c>
      <c r="F257" s="1776">
        <v>0.13900000000000001</v>
      </c>
    </row>
    <row r="258" spans="1:6" ht="15" thickBot="1">
      <c r="A258" s="1770" t="s">
        <v>1406</v>
      </c>
      <c r="B258" s="1774" t="s">
        <v>1205</v>
      </c>
      <c r="C258" s="1775">
        <v>0.15</v>
      </c>
      <c r="D258" s="1775">
        <v>0.15</v>
      </c>
      <c r="E258" s="1775">
        <v>0.15</v>
      </c>
      <c r="F258" s="1776">
        <v>0.13</v>
      </c>
    </row>
    <row r="259" spans="1:6" ht="15" thickBot="1">
      <c r="A259" s="1770" t="s">
        <v>1406</v>
      </c>
      <c r="B259" s="1774" t="s">
        <v>2169</v>
      </c>
      <c r="C259" s="1775">
        <v>0.14799999999999999</v>
      </c>
      <c r="D259" s="1775">
        <v>0.14899999999999999</v>
      </c>
      <c r="E259" s="1775">
        <v>0.15</v>
      </c>
      <c r="F259" s="1776">
        <v>0.13700000000000001</v>
      </c>
    </row>
    <row r="260" spans="1:6" ht="15" thickBot="1">
      <c r="A260" s="1770" t="s">
        <v>1406</v>
      </c>
      <c r="B260" s="1774" t="s">
        <v>1225</v>
      </c>
      <c r="C260" s="1775">
        <v>0.15</v>
      </c>
      <c r="D260" s="1775">
        <v>0.15</v>
      </c>
      <c r="E260" s="1775">
        <v>0.15</v>
      </c>
      <c r="F260" s="1776">
        <v>0.14199999999999999</v>
      </c>
    </row>
    <row r="261" spans="1:6" ht="15" thickBot="1">
      <c r="A261" s="1770" t="s">
        <v>1406</v>
      </c>
      <c r="B261" s="1774" t="s">
        <v>1235</v>
      </c>
      <c r="C261" s="1775">
        <v>0.15</v>
      </c>
      <c r="D261" s="1775">
        <v>0.15</v>
      </c>
      <c r="E261" s="1775">
        <v>0.14899999999999999</v>
      </c>
      <c r="F261" s="1776">
        <v>0.14799999999999999</v>
      </c>
    </row>
    <row r="262" spans="1:6" ht="15" thickBot="1">
      <c r="A262" s="1770" t="s">
        <v>1406</v>
      </c>
      <c r="B262" s="1774" t="s">
        <v>1245</v>
      </c>
      <c r="C262" s="1775">
        <v>0.15</v>
      </c>
      <c r="D262" s="1775">
        <v>0.15</v>
      </c>
      <c r="E262" s="1775">
        <v>0.15</v>
      </c>
      <c r="F262" s="1783"/>
    </row>
    <row r="263" spans="1:6" ht="15" thickBot="1">
      <c r="A263" s="1770" t="s">
        <v>1406</v>
      </c>
      <c r="B263" s="1774" t="s">
        <v>2170</v>
      </c>
      <c r="C263" s="1775">
        <v>0.14899999999999999</v>
      </c>
      <c r="D263" s="1775">
        <v>0.14899999999999999</v>
      </c>
      <c r="E263" s="1775">
        <v>0.15</v>
      </c>
      <c r="F263" s="1776">
        <v>0.13</v>
      </c>
    </row>
    <row r="264" spans="1:6" ht="15" thickBot="1">
      <c r="A264" s="1770" t="s">
        <v>1406</v>
      </c>
      <c r="B264" s="1774" t="s">
        <v>1264</v>
      </c>
      <c r="C264" s="1775">
        <v>0.14799999999999999</v>
      </c>
      <c r="D264" s="1775">
        <v>0.14699999999999999</v>
      </c>
      <c r="E264" s="1775">
        <v>0.15</v>
      </c>
      <c r="F264" s="1776">
        <v>7.8E-2</v>
      </c>
    </row>
    <row r="265" spans="1:6" ht="15" thickBot="1">
      <c r="A265" s="1770" t="s">
        <v>1406</v>
      </c>
      <c r="B265" s="1774" t="s">
        <v>1273</v>
      </c>
      <c r="C265" s="1775">
        <v>0.15</v>
      </c>
      <c r="D265" s="1775">
        <v>0.15</v>
      </c>
      <c r="E265" s="1775">
        <v>0.15</v>
      </c>
      <c r="F265" s="1776">
        <v>7.3999999999999996E-2</v>
      </c>
    </row>
    <row r="266" spans="1:6" ht="15" thickBot="1">
      <c r="A266" s="1770" t="s">
        <v>1406</v>
      </c>
      <c r="B266" s="1774" t="s">
        <v>1281</v>
      </c>
      <c r="C266" s="1775">
        <v>0.14699999999999999</v>
      </c>
      <c r="D266" s="1775">
        <v>0.14699999999999999</v>
      </c>
      <c r="E266" s="1775">
        <v>0.15</v>
      </c>
      <c r="F266" s="1776">
        <v>0.14299999999999999</v>
      </c>
    </row>
    <row r="267" spans="1:6" ht="15" thickBot="1">
      <c r="A267" s="1770" t="s">
        <v>1406</v>
      </c>
      <c r="B267" s="1774" t="s">
        <v>1288</v>
      </c>
      <c r="C267" s="1775">
        <v>0.14199999999999999</v>
      </c>
      <c r="D267" s="1775">
        <v>0.14299999999999999</v>
      </c>
      <c r="E267" s="1775">
        <v>0.15</v>
      </c>
      <c r="F267" s="1783"/>
    </row>
    <row r="268" spans="1:6" ht="15" thickBot="1">
      <c r="A268" s="1770" t="s">
        <v>1406</v>
      </c>
      <c r="B268" s="1774" t="s">
        <v>2171</v>
      </c>
      <c r="C268" s="1775">
        <v>0.15</v>
      </c>
      <c r="D268" s="1775">
        <v>0.15</v>
      </c>
      <c r="E268" s="1775">
        <v>0.15</v>
      </c>
      <c r="F268" s="1776">
        <v>0.13</v>
      </c>
    </row>
    <row r="269" spans="1:6" ht="15" thickBot="1">
      <c r="A269" s="1770" t="s">
        <v>1406</v>
      </c>
      <c r="B269" s="1774" t="s">
        <v>1302</v>
      </c>
      <c r="C269" s="1775">
        <v>0.15</v>
      </c>
      <c r="D269" s="1775">
        <v>0.15</v>
      </c>
      <c r="E269" s="1775">
        <v>0.15</v>
      </c>
      <c r="F269" s="1776">
        <v>0.14299999999999999</v>
      </c>
    </row>
    <row r="270" spans="1:6" ht="15" thickBot="1">
      <c r="A270" s="1770" t="s">
        <v>1406</v>
      </c>
      <c r="B270" s="1774" t="s">
        <v>1309</v>
      </c>
      <c r="C270" s="1775">
        <v>0.14499999999999999</v>
      </c>
      <c r="D270" s="1775">
        <v>0.14499999999999999</v>
      </c>
      <c r="E270" s="1775">
        <v>0.15</v>
      </c>
      <c r="F270" s="1776">
        <v>0.14699999999999999</v>
      </c>
    </row>
    <row r="271" spans="1:6" ht="15" thickBot="1">
      <c r="A271" s="1770" t="s">
        <v>1406</v>
      </c>
      <c r="B271" s="1774" t="s">
        <v>1316</v>
      </c>
      <c r="C271" s="1775">
        <v>0.15</v>
      </c>
      <c r="D271" s="1775">
        <v>0.15</v>
      </c>
      <c r="E271" s="1775">
        <v>0.15</v>
      </c>
      <c r="F271" s="1776">
        <v>0.13800000000000001</v>
      </c>
    </row>
    <row r="272" spans="1:6" ht="15" thickBot="1">
      <c r="A272" s="1770" t="s">
        <v>1406</v>
      </c>
      <c r="B272" s="1774" t="s">
        <v>1323</v>
      </c>
      <c r="C272" s="1784"/>
      <c r="D272" s="1784"/>
      <c r="E272" s="1784"/>
      <c r="F272" s="1776">
        <v>0.14000000000000001</v>
      </c>
    </row>
    <row r="273" spans="1:6" ht="15" thickBot="1">
      <c r="A273" s="1770" t="s">
        <v>1406</v>
      </c>
      <c r="B273" s="1774" t="s">
        <v>2172</v>
      </c>
      <c r="C273" s="1775">
        <v>0.14199999999999999</v>
      </c>
      <c r="D273" s="1775">
        <v>0.14299999999999999</v>
      </c>
      <c r="E273" s="1775">
        <v>0.15</v>
      </c>
      <c r="F273" s="1776">
        <v>0.1</v>
      </c>
    </row>
    <row r="274" spans="1:6" ht="15" thickBot="1">
      <c r="A274" s="1770" t="s">
        <v>1406</v>
      </c>
      <c r="B274" s="1774" t="s">
        <v>2173</v>
      </c>
      <c r="C274" s="1775">
        <v>0.14799999999999999</v>
      </c>
      <c r="D274" s="1775">
        <v>0.14799999999999999</v>
      </c>
      <c r="E274" s="1775">
        <v>0.15</v>
      </c>
      <c r="F274" s="1776">
        <v>6.7000000000000004E-2</v>
      </c>
    </row>
    <row r="275" spans="1:6" ht="15" thickBot="1">
      <c r="A275" s="1770" t="s">
        <v>1406</v>
      </c>
      <c r="B275" s="1774" t="s">
        <v>2174</v>
      </c>
      <c r="C275" s="1775">
        <v>0.15</v>
      </c>
      <c r="D275" s="1775">
        <v>0.15</v>
      </c>
      <c r="E275" s="1775">
        <v>0.15</v>
      </c>
      <c r="F275" s="1776">
        <v>0.15</v>
      </c>
    </row>
    <row r="276" spans="1:6" ht="15" thickBot="1">
      <c r="A276" s="1770" t="s">
        <v>1406</v>
      </c>
      <c r="B276" s="1774" t="s">
        <v>2175</v>
      </c>
      <c r="C276" s="1775">
        <v>0.14499999999999999</v>
      </c>
      <c r="D276" s="1775">
        <v>0.14299999999999999</v>
      </c>
      <c r="E276" s="1775">
        <v>0.15</v>
      </c>
      <c r="F276" s="1776">
        <v>5.8999999999999997E-2</v>
      </c>
    </row>
    <row r="277" spans="1:6" ht="15" thickBot="1">
      <c r="A277" s="1770" t="s">
        <v>1406</v>
      </c>
      <c r="B277" s="1774" t="s">
        <v>2176</v>
      </c>
      <c r="C277" s="1775">
        <v>0.15</v>
      </c>
      <c r="D277" s="1775">
        <v>0.15</v>
      </c>
      <c r="E277" s="1775">
        <v>0.15</v>
      </c>
      <c r="F277" s="1776">
        <v>0.121</v>
      </c>
    </row>
    <row r="278" spans="1:6" ht="15" thickBot="1">
      <c r="A278" s="1770" t="s">
        <v>1406</v>
      </c>
      <c r="B278" s="1774" t="s">
        <v>2177</v>
      </c>
      <c r="C278" s="1775">
        <v>0.15</v>
      </c>
      <c r="D278" s="1775">
        <v>0.15</v>
      </c>
      <c r="E278" s="1775">
        <v>0.15</v>
      </c>
      <c r="F278" s="1776">
        <v>0.13800000000000001</v>
      </c>
    </row>
    <row r="279" spans="1:6" ht="24.6" thickBot="1">
      <c r="A279" s="1770" t="s">
        <v>1406</v>
      </c>
      <c r="B279" s="1774" t="s">
        <v>2178</v>
      </c>
      <c r="C279" s="1784"/>
      <c r="D279" s="1784"/>
      <c r="E279" s="1784"/>
      <c r="F279" s="1776">
        <v>0.05</v>
      </c>
    </row>
    <row r="280" spans="1:6" ht="24.6" thickBot="1">
      <c r="A280" s="1770" t="s">
        <v>1406</v>
      </c>
      <c r="B280" s="1774" t="s">
        <v>2179</v>
      </c>
      <c r="C280" s="1784"/>
      <c r="D280" s="1784"/>
      <c r="E280" s="1784"/>
      <c r="F280" s="1776">
        <v>0.05</v>
      </c>
    </row>
    <row r="281" spans="1:6" ht="24.6" thickBot="1">
      <c r="A281" s="1770" t="s">
        <v>1406</v>
      </c>
      <c r="B281" s="1774" t="s">
        <v>2180</v>
      </c>
      <c r="C281" s="1784"/>
      <c r="D281" s="1784"/>
      <c r="E281" s="1784"/>
      <c r="F281" s="1776">
        <v>0.05</v>
      </c>
    </row>
    <row r="282" spans="1:6" ht="24.6" thickBot="1">
      <c r="A282" s="1770" t="s">
        <v>1406</v>
      </c>
      <c r="B282" s="1774" t="s">
        <v>2181</v>
      </c>
      <c r="C282" s="1784"/>
      <c r="D282" s="1784"/>
      <c r="E282" s="1784"/>
      <c r="F282" s="1776">
        <v>0.05</v>
      </c>
    </row>
    <row r="283" spans="1:6" ht="24.6" thickBot="1">
      <c r="A283" s="1770" t="s">
        <v>1406</v>
      </c>
      <c r="B283" s="1774" t="s">
        <v>2182</v>
      </c>
      <c r="C283" s="1784"/>
      <c r="D283" s="1784"/>
      <c r="E283" s="1784"/>
      <c r="F283" s="1776">
        <v>0.05</v>
      </c>
    </row>
    <row r="284" spans="1:6" ht="24.6" thickBot="1">
      <c r="A284" s="1770" t="s">
        <v>1406</v>
      </c>
      <c r="B284" s="1774" t="s">
        <v>2183</v>
      </c>
      <c r="C284" s="1784"/>
      <c r="D284" s="1784"/>
      <c r="E284" s="1784"/>
      <c r="F284" s="1776">
        <v>0.05</v>
      </c>
    </row>
    <row r="285" spans="1:6" ht="24.6" thickBot="1">
      <c r="A285" s="1770" t="s">
        <v>1406</v>
      </c>
      <c r="B285" s="1774" t="s">
        <v>2184</v>
      </c>
      <c r="C285" s="1784"/>
      <c r="D285" s="1784"/>
      <c r="E285" s="1784"/>
      <c r="F285" s="1776">
        <v>0.05</v>
      </c>
    </row>
    <row r="286" spans="1:6" ht="24.6" thickBot="1">
      <c r="A286" s="1770" t="s">
        <v>1406</v>
      </c>
      <c r="B286" s="1774" t="s">
        <v>2185</v>
      </c>
      <c r="C286" s="1784"/>
      <c r="D286" s="1784"/>
      <c r="E286" s="1784"/>
      <c r="F286" s="1776">
        <v>0.05</v>
      </c>
    </row>
    <row r="287" spans="1:6" ht="24.6" thickBot="1">
      <c r="A287" s="1770" t="s">
        <v>1406</v>
      </c>
      <c r="B287" s="1774" t="s">
        <v>2186</v>
      </c>
      <c r="C287" s="1784"/>
      <c r="D287" s="1784"/>
      <c r="E287" s="1784"/>
      <c r="F287" s="1776">
        <v>0.05</v>
      </c>
    </row>
    <row r="288" spans="1:6" ht="24.6" thickBot="1">
      <c r="A288" s="1770" t="s">
        <v>1406</v>
      </c>
      <c r="B288" s="1774" t="s">
        <v>2187</v>
      </c>
      <c r="C288" s="1784"/>
      <c r="D288" s="1784"/>
      <c r="E288" s="1784"/>
      <c r="F288" s="1776">
        <v>0.05</v>
      </c>
    </row>
    <row r="289" spans="1:6" ht="24.6" thickBot="1">
      <c r="A289" s="1778" t="s">
        <v>1406</v>
      </c>
      <c r="B289" s="1785" t="s">
        <v>2188</v>
      </c>
      <c r="C289" s="1781"/>
      <c r="D289" s="1781"/>
      <c r="E289" s="1781"/>
      <c r="F289" s="1786">
        <v>0.05</v>
      </c>
    </row>
    <row r="290" spans="1:6" ht="15" thickBot="1">
      <c r="A290" s="1770" t="s">
        <v>1410</v>
      </c>
      <c r="B290" s="1771" t="s">
        <v>2189</v>
      </c>
      <c r="C290" s="1772">
        <v>0.15</v>
      </c>
      <c r="D290" s="1772">
        <v>0.15</v>
      </c>
      <c r="E290" s="1772">
        <v>0.15</v>
      </c>
      <c r="F290" s="1794"/>
    </row>
    <row r="291" spans="1:6" ht="15" thickBot="1">
      <c r="A291" s="1770" t="s">
        <v>1410</v>
      </c>
      <c r="B291" s="1774" t="s">
        <v>1070</v>
      </c>
      <c r="C291" s="1775">
        <v>0.15</v>
      </c>
      <c r="D291" s="1775">
        <v>0.15</v>
      </c>
      <c r="E291" s="1775">
        <v>0.15</v>
      </c>
      <c r="F291" s="1783"/>
    </row>
    <row r="292" spans="1:6" ht="15" thickBot="1">
      <c r="A292" s="1770" t="s">
        <v>1410</v>
      </c>
      <c r="B292" s="1774" t="s">
        <v>2190</v>
      </c>
      <c r="C292" s="1775">
        <v>0.15</v>
      </c>
      <c r="D292" s="1775">
        <v>0.15</v>
      </c>
      <c r="E292" s="1775">
        <v>0.15</v>
      </c>
      <c r="F292" s="1776">
        <v>0.14699999999999999</v>
      </c>
    </row>
    <row r="293" spans="1:6" ht="15" thickBot="1">
      <c r="A293" s="1770" t="s">
        <v>1410</v>
      </c>
      <c r="B293" s="1774" t="s">
        <v>2191</v>
      </c>
      <c r="C293" s="1784"/>
      <c r="D293" s="1784"/>
      <c r="E293" s="1784"/>
      <c r="F293" s="1776">
        <v>0.1</v>
      </c>
    </row>
    <row r="294" spans="1:6" ht="15" thickBot="1">
      <c r="A294" s="1770" t="s">
        <v>1410</v>
      </c>
      <c r="B294" s="1774" t="s">
        <v>2192</v>
      </c>
      <c r="C294" s="1775">
        <v>0.15</v>
      </c>
      <c r="D294" s="1775">
        <v>0.15</v>
      </c>
      <c r="E294" s="1775">
        <v>0.15</v>
      </c>
      <c r="F294" s="1776">
        <v>0.15</v>
      </c>
    </row>
    <row r="295" spans="1:6" ht="15" thickBot="1">
      <c r="A295" s="1770" t="s">
        <v>1410</v>
      </c>
      <c r="B295" s="1774" t="s">
        <v>1111</v>
      </c>
      <c r="C295" s="1775">
        <v>0.15</v>
      </c>
      <c r="D295" s="1775">
        <v>0.15</v>
      </c>
      <c r="E295" s="1775">
        <v>0.15</v>
      </c>
      <c r="F295" s="1776">
        <v>0.15</v>
      </c>
    </row>
    <row r="296" spans="1:6" ht="15" thickBot="1">
      <c r="A296" s="1770" t="s">
        <v>1410</v>
      </c>
      <c r="B296" s="1774" t="s">
        <v>2193</v>
      </c>
      <c r="C296" s="1775">
        <v>0.15</v>
      </c>
      <c r="D296" s="1775">
        <v>0.15</v>
      </c>
      <c r="E296" s="1775">
        <v>0.15</v>
      </c>
      <c r="F296" s="1776">
        <v>0.15</v>
      </c>
    </row>
    <row r="297" spans="1:6" ht="15" thickBot="1">
      <c r="A297" s="1770" t="s">
        <v>1410</v>
      </c>
      <c r="B297" s="1774" t="s">
        <v>2194</v>
      </c>
      <c r="C297" s="1775">
        <v>0.14799999999999999</v>
      </c>
      <c r="D297" s="1775">
        <v>0.14899999999999999</v>
      </c>
      <c r="E297" s="1775">
        <v>0.15</v>
      </c>
      <c r="F297" s="1776">
        <v>0.13700000000000001</v>
      </c>
    </row>
    <row r="298" spans="1:6" ht="15" thickBot="1">
      <c r="A298" s="1770" t="s">
        <v>1410</v>
      </c>
      <c r="B298" s="1774" t="s">
        <v>1144</v>
      </c>
      <c r="C298" s="1775">
        <v>0.13400000000000001</v>
      </c>
      <c r="D298" s="1775">
        <v>0.13400000000000001</v>
      </c>
      <c r="E298" s="1775">
        <v>0.14499999999999999</v>
      </c>
      <c r="F298" s="1776">
        <v>0.14799999999999999</v>
      </c>
    </row>
    <row r="299" spans="1:6" ht="15" thickBot="1">
      <c r="A299" s="1770" t="s">
        <v>1410</v>
      </c>
      <c r="B299" s="1774" t="s">
        <v>1156</v>
      </c>
      <c r="C299" s="1775">
        <v>0.15</v>
      </c>
      <c r="D299" s="1775">
        <v>0.15</v>
      </c>
      <c r="E299" s="1775">
        <v>0.15</v>
      </c>
      <c r="F299" s="1783"/>
    </row>
    <row r="300" spans="1:6" ht="15" thickBot="1">
      <c r="A300" s="1770" t="s">
        <v>1410</v>
      </c>
      <c r="B300" s="1774" t="s">
        <v>2195</v>
      </c>
      <c r="C300" s="1775">
        <v>0.15</v>
      </c>
      <c r="D300" s="1775">
        <v>0.15</v>
      </c>
      <c r="E300" s="1775">
        <v>0.15</v>
      </c>
      <c r="F300" s="1776">
        <v>0.15</v>
      </c>
    </row>
    <row r="301" spans="1:6" ht="15" thickBot="1">
      <c r="A301" s="1770" t="s">
        <v>1410</v>
      </c>
      <c r="B301" s="1774" t="s">
        <v>1176</v>
      </c>
      <c r="C301" s="1775">
        <v>0.15</v>
      </c>
      <c r="D301" s="1775">
        <v>0.15</v>
      </c>
      <c r="E301" s="1775">
        <v>0.15</v>
      </c>
      <c r="F301" s="1783"/>
    </row>
    <row r="302" spans="1:6" ht="15" thickBot="1">
      <c r="A302" s="1770" t="s">
        <v>1410</v>
      </c>
      <c r="B302" s="1774" t="s">
        <v>2196</v>
      </c>
      <c r="C302" s="1775">
        <v>0.15</v>
      </c>
      <c r="D302" s="1775">
        <v>0.15</v>
      </c>
      <c r="E302" s="1775">
        <v>0.15</v>
      </c>
      <c r="F302" s="1776">
        <v>0.15</v>
      </c>
    </row>
    <row r="303" spans="1:6" ht="15" thickBot="1">
      <c r="A303" s="1770" t="s">
        <v>1410</v>
      </c>
      <c r="B303" s="1774" t="s">
        <v>1196</v>
      </c>
      <c r="C303" s="1775">
        <v>0.15</v>
      </c>
      <c r="D303" s="1775">
        <v>0.15</v>
      </c>
      <c r="E303" s="1775">
        <v>0.15</v>
      </c>
      <c r="F303" s="1776">
        <v>0.15</v>
      </c>
    </row>
    <row r="304" spans="1:6" ht="15" thickBot="1">
      <c r="A304" s="1770" t="s">
        <v>1410</v>
      </c>
      <c r="B304" s="1774" t="s">
        <v>1206</v>
      </c>
      <c r="C304" s="1775">
        <v>0.15</v>
      </c>
      <c r="D304" s="1775">
        <v>0.15</v>
      </c>
      <c r="E304" s="1775">
        <v>0.15</v>
      </c>
      <c r="F304" s="1783"/>
    </row>
    <row r="305" spans="1:6" ht="15" thickBot="1">
      <c r="A305" s="1770" t="s">
        <v>1410</v>
      </c>
      <c r="B305" s="1774" t="s">
        <v>2197</v>
      </c>
      <c r="C305" s="1775">
        <v>0.15</v>
      </c>
      <c r="D305" s="1775">
        <v>0.15</v>
      </c>
      <c r="E305" s="1775">
        <v>0.15</v>
      </c>
      <c r="F305" s="1776">
        <v>0.14000000000000001</v>
      </c>
    </row>
    <row r="306" spans="1:6" ht="15" thickBot="1">
      <c r="A306" s="1770" t="s">
        <v>1410</v>
      </c>
      <c r="B306" s="1774" t="s">
        <v>1226</v>
      </c>
      <c r="C306" s="1775">
        <v>0.15</v>
      </c>
      <c r="D306" s="1775">
        <v>0.15</v>
      </c>
      <c r="E306" s="1775">
        <v>0.15</v>
      </c>
      <c r="F306" s="1783"/>
    </row>
    <row r="307" spans="1:6" ht="15" thickBot="1">
      <c r="A307" s="1770" t="s">
        <v>1410</v>
      </c>
      <c r="B307" s="1774" t="s">
        <v>2198</v>
      </c>
      <c r="C307" s="1775">
        <v>0.15</v>
      </c>
      <c r="D307" s="1775">
        <v>0.15</v>
      </c>
      <c r="E307" s="1775">
        <v>0.15</v>
      </c>
      <c r="F307" s="1776">
        <v>0.14299999999999999</v>
      </c>
    </row>
    <row r="308" spans="1:6" ht="15" thickBot="1">
      <c r="A308" s="1770" t="s">
        <v>1410</v>
      </c>
      <c r="B308" s="1774" t="s">
        <v>1246</v>
      </c>
      <c r="C308" s="1775">
        <v>0.15</v>
      </c>
      <c r="D308" s="1775">
        <v>0.15</v>
      </c>
      <c r="E308" s="1775">
        <v>0.15</v>
      </c>
      <c r="F308" s="1776">
        <v>0.15</v>
      </c>
    </row>
    <row r="309" spans="1:6" ht="15" thickBot="1">
      <c r="A309" s="1770" t="s">
        <v>1410</v>
      </c>
      <c r="B309" s="1774" t="s">
        <v>1256</v>
      </c>
      <c r="C309" s="1775">
        <v>0.15</v>
      </c>
      <c r="D309" s="1775">
        <v>0.15</v>
      </c>
      <c r="E309" s="1775">
        <v>0.15</v>
      </c>
      <c r="F309" s="1783"/>
    </row>
    <row r="310" spans="1:6" ht="15" thickBot="1">
      <c r="A310" s="1770" t="s">
        <v>1410</v>
      </c>
      <c r="B310" s="1774" t="s">
        <v>2199</v>
      </c>
      <c r="C310" s="1775">
        <v>0.15</v>
      </c>
      <c r="D310" s="1775">
        <v>0.15</v>
      </c>
      <c r="E310" s="1775">
        <v>0.15</v>
      </c>
      <c r="F310" s="1776">
        <v>0.13700000000000001</v>
      </c>
    </row>
    <row r="311" spans="1:6" ht="15" thickBot="1">
      <c r="A311" s="1770" t="s">
        <v>1410</v>
      </c>
      <c r="B311" s="1774" t="s">
        <v>2200</v>
      </c>
      <c r="C311" s="1775">
        <v>0.15</v>
      </c>
      <c r="D311" s="1775">
        <v>0.15</v>
      </c>
      <c r="E311" s="1775">
        <v>0.15</v>
      </c>
      <c r="F311" s="1776">
        <v>0.15</v>
      </c>
    </row>
    <row r="312" spans="1:6" ht="15" thickBot="1">
      <c r="A312" s="1770" t="s">
        <v>1410</v>
      </c>
      <c r="B312" s="1774" t="s">
        <v>1282</v>
      </c>
      <c r="C312" s="1775">
        <v>0.15</v>
      </c>
      <c r="D312" s="1775">
        <v>0.15</v>
      </c>
      <c r="E312" s="1775">
        <v>0.15</v>
      </c>
      <c r="F312" s="1776">
        <v>0.1</v>
      </c>
    </row>
    <row r="313" spans="1:6" ht="15" thickBot="1">
      <c r="A313" s="1770" t="s">
        <v>1410</v>
      </c>
      <c r="B313" s="1774" t="s">
        <v>2201</v>
      </c>
      <c r="C313" s="1775">
        <v>0.15</v>
      </c>
      <c r="D313" s="1775">
        <v>0.15</v>
      </c>
      <c r="E313" s="1775">
        <v>0.15</v>
      </c>
      <c r="F313" s="1776">
        <v>0.15</v>
      </c>
    </row>
    <row r="314" spans="1:6" ht="24.6" thickBot="1">
      <c r="A314" s="1770" t="s">
        <v>1410</v>
      </c>
      <c r="B314" s="1774" t="s">
        <v>2202</v>
      </c>
      <c r="C314" s="1784"/>
      <c r="D314" s="1784"/>
      <c r="E314" s="1784"/>
      <c r="F314" s="1776">
        <v>0.05</v>
      </c>
    </row>
    <row r="315" spans="1:6" ht="24.6" thickBot="1">
      <c r="A315" s="1770" t="s">
        <v>1410</v>
      </c>
      <c r="B315" s="1774" t="s">
        <v>2203</v>
      </c>
      <c r="C315" s="1784"/>
      <c r="D315" s="1784"/>
      <c r="E315" s="1784"/>
      <c r="F315" s="1776">
        <v>0.05</v>
      </c>
    </row>
    <row r="316" spans="1:6" ht="24.6" thickBot="1">
      <c r="A316" s="1778" t="s">
        <v>1410</v>
      </c>
      <c r="B316" s="1785" t="s">
        <v>2204</v>
      </c>
      <c r="C316" s="1781"/>
      <c r="D316" s="1781"/>
      <c r="E316" s="1781"/>
      <c r="F316" s="1786">
        <v>0.05</v>
      </c>
    </row>
    <row r="317" spans="1:6" ht="15" thickBot="1">
      <c r="A317" s="1770" t="s">
        <v>2205</v>
      </c>
      <c r="B317" s="1771" t="s">
        <v>2206</v>
      </c>
      <c r="C317" s="1772">
        <v>0.15</v>
      </c>
      <c r="D317" s="1772">
        <v>0.15</v>
      </c>
      <c r="E317" s="1772">
        <v>0.15</v>
      </c>
      <c r="F317" s="1773">
        <v>0.15</v>
      </c>
    </row>
    <row r="318" spans="1:6" ht="15" thickBot="1">
      <c r="A318" s="1770" t="s">
        <v>2205</v>
      </c>
      <c r="B318" s="1774" t="s">
        <v>2207</v>
      </c>
      <c r="C318" s="1775">
        <v>0.107</v>
      </c>
      <c r="D318" s="1775">
        <v>0.11</v>
      </c>
      <c r="E318" s="1775">
        <v>0.112</v>
      </c>
      <c r="F318" s="1783"/>
    </row>
    <row r="319" spans="1:6" ht="15" thickBot="1">
      <c r="A319" s="1770" t="s">
        <v>2205</v>
      </c>
      <c r="B319" s="1774" t="s">
        <v>2208</v>
      </c>
      <c r="C319" s="1775">
        <v>0.15</v>
      </c>
      <c r="D319" s="1775">
        <v>0.15</v>
      </c>
      <c r="E319" s="1775">
        <v>0.15</v>
      </c>
      <c r="F319" s="1776">
        <v>0.15</v>
      </c>
    </row>
    <row r="320" spans="1:6" ht="15" thickBot="1">
      <c r="A320" s="1770" t="s">
        <v>2205</v>
      </c>
      <c r="B320" s="1774" t="s">
        <v>1098</v>
      </c>
      <c r="C320" s="1775">
        <v>0.15</v>
      </c>
      <c r="D320" s="1775">
        <v>0.15</v>
      </c>
      <c r="E320" s="1775">
        <v>0.15</v>
      </c>
      <c r="F320" s="1783"/>
    </row>
    <row r="321" spans="1:6" ht="15" thickBot="1">
      <c r="A321" s="1770" t="s">
        <v>2205</v>
      </c>
      <c r="B321" s="1774" t="s">
        <v>2209</v>
      </c>
      <c r="C321" s="1775">
        <v>0.15</v>
      </c>
      <c r="D321" s="1775">
        <v>0.15</v>
      </c>
      <c r="E321" s="1775">
        <v>0.15</v>
      </c>
      <c r="F321" s="1783"/>
    </row>
    <row r="322" spans="1:6" ht="15" thickBot="1">
      <c r="A322" s="1770" t="s">
        <v>2205</v>
      </c>
      <c r="B322" s="1774" t="s">
        <v>2210</v>
      </c>
      <c r="C322" s="1775">
        <v>0.15</v>
      </c>
      <c r="D322" s="1775">
        <v>0.15</v>
      </c>
      <c r="E322" s="1775">
        <v>0.15</v>
      </c>
      <c r="F322" s="1776">
        <v>0.15</v>
      </c>
    </row>
    <row r="323" spans="1:6" ht="15" thickBot="1">
      <c r="A323" s="1770" t="s">
        <v>2205</v>
      </c>
      <c r="B323" s="1774" t="s">
        <v>2211</v>
      </c>
      <c r="C323" s="1775">
        <v>0.15</v>
      </c>
      <c r="D323" s="1775">
        <v>0.15</v>
      </c>
      <c r="E323" s="1775">
        <v>0.15</v>
      </c>
      <c r="F323" s="1783"/>
    </row>
    <row r="324" spans="1:6" ht="15" thickBot="1">
      <c r="A324" s="1770" t="s">
        <v>2205</v>
      </c>
      <c r="B324" s="1774" t="s">
        <v>2212</v>
      </c>
      <c r="C324" s="1775">
        <v>0.15</v>
      </c>
      <c r="D324" s="1775">
        <v>0.15</v>
      </c>
      <c r="E324" s="1775">
        <v>0.15</v>
      </c>
      <c r="F324" s="1783"/>
    </row>
    <row r="325" spans="1:6" ht="15" thickBot="1">
      <c r="A325" s="1770" t="s">
        <v>2205</v>
      </c>
      <c r="B325" s="1774" t="s">
        <v>2213</v>
      </c>
      <c r="C325" s="1775">
        <v>0.15</v>
      </c>
      <c r="D325" s="1775">
        <v>0.15</v>
      </c>
      <c r="E325" s="1775">
        <v>0.15</v>
      </c>
      <c r="F325" s="1776">
        <v>0.14699999999999999</v>
      </c>
    </row>
    <row r="326" spans="1:6" ht="15" thickBot="1">
      <c r="A326" s="1770" t="s">
        <v>2205</v>
      </c>
      <c r="B326" s="1774" t="s">
        <v>1167</v>
      </c>
      <c r="C326" s="1775">
        <v>0.15</v>
      </c>
      <c r="D326" s="1775">
        <v>0.15</v>
      </c>
      <c r="E326" s="1775">
        <v>0.15</v>
      </c>
      <c r="F326" s="1783"/>
    </row>
    <row r="327" spans="1:6" ht="15" thickBot="1">
      <c r="A327" s="1770" t="s">
        <v>2205</v>
      </c>
      <c r="B327" s="1774" t="s">
        <v>2214</v>
      </c>
      <c r="C327" s="1775">
        <v>0.15</v>
      </c>
      <c r="D327" s="1775">
        <v>0.15</v>
      </c>
      <c r="E327" s="1775">
        <v>0.15</v>
      </c>
      <c r="F327" s="1776">
        <v>0.15</v>
      </c>
    </row>
    <row r="328" spans="1:6" ht="15" thickBot="1">
      <c r="A328" s="1770" t="s">
        <v>2205</v>
      </c>
      <c r="B328" s="1774" t="s">
        <v>1187</v>
      </c>
      <c r="C328" s="1775">
        <v>0.15</v>
      </c>
      <c r="D328" s="1775">
        <v>0.15</v>
      </c>
      <c r="E328" s="1775">
        <v>0.15</v>
      </c>
      <c r="F328" s="1776">
        <v>0.14099999999999999</v>
      </c>
    </row>
    <row r="329" spans="1:6" ht="15" thickBot="1">
      <c r="A329" s="1770" t="s">
        <v>2205</v>
      </c>
      <c r="B329" s="1774" t="s">
        <v>1197</v>
      </c>
      <c r="C329" s="1775">
        <v>0.15</v>
      </c>
      <c r="D329" s="1775">
        <v>0.15</v>
      </c>
      <c r="E329" s="1775">
        <v>0.15</v>
      </c>
      <c r="F329" s="1776">
        <v>0.15</v>
      </c>
    </row>
    <row r="330" spans="1:6" ht="15" thickBot="1">
      <c r="A330" s="1770" t="s">
        <v>2205</v>
      </c>
      <c r="B330" s="1774" t="s">
        <v>1207</v>
      </c>
      <c r="C330" s="1775">
        <v>0.15</v>
      </c>
      <c r="D330" s="1775">
        <v>0.15</v>
      </c>
      <c r="E330" s="1775">
        <v>0.15</v>
      </c>
      <c r="F330" s="1783"/>
    </row>
    <row r="331" spans="1:6" ht="15" thickBot="1">
      <c r="A331" s="1770" t="s">
        <v>2205</v>
      </c>
      <c r="B331" s="1774" t="s">
        <v>2215</v>
      </c>
      <c r="C331" s="1775">
        <v>0.15</v>
      </c>
      <c r="D331" s="1775">
        <v>0.15</v>
      </c>
      <c r="E331" s="1775">
        <v>0.15</v>
      </c>
      <c r="F331" s="1776">
        <v>0.15</v>
      </c>
    </row>
    <row r="332" spans="1:6" ht="15" thickBot="1">
      <c r="A332" s="1770" t="s">
        <v>2205</v>
      </c>
      <c r="B332" s="1774" t="s">
        <v>1227</v>
      </c>
      <c r="C332" s="1775">
        <v>0.15</v>
      </c>
      <c r="D332" s="1775">
        <v>0.15</v>
      </c>
      <c r="E332" s="1775">
        <v>0.15</v>
      </c>
      <c r="F332" s="1776">
        <v>0.15</v>
      </c>
    </row>
    <row r="333" spans="1:6" ht="15" thickBot="1">
      <c r="A333" s="1770" t="s">
        <v>2205</v>
      </c>
      <c r="B333" s="1774" t="s">
        <v>2216</v>
      </c>
      <c r="C333" s="1775">
        <v>0.15</v>
      </c>
      <c r="D333" s="1775">
        <v>0.15</v>
      </c>
      <c r="E333" s="1775">
        <v>0.15</v>
      </c>
      <c r="F333" s="1776">
        <v>0.14099999999999999</v>
      </c>
    </row>
    <row r="334" spans="1:6" ht="15" thickBot="1">
      <c r="A334" s="1770" t="s">
        <v>2205</v>
      </c>
      <c r="B334" s="1774" t="s">
        <v>1247</v>
      </c>
      <c r="C334" s="1775">
        <v>0.15</v>
      </c>
      <c r="D334" s="1775">
        <v>0.15</v>
      </c>
      <c r="E334" s="1775">
        <v>0.15</v>
      </c>
      <c r="F334" s="1776">
        <v>0.15</v>
      </c>
    </row>
    <row r="335" spans="1:6" ht="15" thickBot="1">
      <c r="A335" s="1770" t="s">
        <v>2205</v>
      </c>
      <c r="B335" s="1774" t="s">
        <v>1257</v>
      </c>
      <c r="C335" s="1775">
        <v>0.15</v>
      </c>
      <c r="D335" s="1775">
        <v>0.15</v>
      </c>
      <c r="E335" s="1775">
        <v>0.15</v>
      </c>
      <c r="F335" s="1783"/>
    </row>
    <row r="336" spans="1:6" ht="15" thickBot="1">
      <c r="A336" s="1770" t="s">
        <v>2205</v>
      </c>
      <c r="B336" s="1774" t="s">
        <v>2217</v>
      </c>
      <c r="C336" s="1775">
        <v>0.15</v>
      </c>
      <c r="D336" s="1775">
        <v>0.15</v>
      </c>
      <c r="E336" s="1775">
        <v>0.15</v>
      </c>
      <c r="F336" s="1776">
        <v>0.11799999999999999</v>
      </c>
    </row>
    <row r="337" spans="1:6" ht="15" thickBot="1">
      <c r="A337" s="1778" t="s">
        <v>2205</v>
      </c>
      <c r="B337" s="1785" t="s">
        <v>1275</v>
      </c>
      <c r="C337" s="1781"/>
      <c r="D337" s="1781"/>
      <c r="E337" s="1781"/>
      <c r="F337" s="1786">
        <v>0.14299999999999999</v>
      </c>
    </row>
    <row r="338" spans="1:6" ht="15" thickBot="1">
      <c r="A338" s="1770" t="s">
        <v>2218</v>
      </c>
      <c r="B338" s="1771" t="s">
        <v>2219</v>
      </c>
      <c r="C338" s="1772">
        <v>0.15</v>
      </c>
      <c r="D338" s="1772">
        <v>0.15</v>
      </c>
      <c r="E338" s="1772">
        <v>0.15</v>
      </c>
      <c r="F338" s="1794"/>
    </row>
    <row r="339" spans="1:6" ht="15" thickBot="1">
      <c r="A339" s="1770" t="s">
        <v>2218</v>
      </c>
      <c r="B339" s="1774" t="s">
        <v>2220</v>
      </c>
      <c r="C339" s="1775">
        <v>0.15</v>
      </c>
      <c r="D339" s="1775">
        <v>0.15</v>
      </c>
      <c r="E339" s="1775">
        <v>0.15</v>
      </c>
      <c r="F339" s="1783"/>
    </row>
    <row r="340" spans="1:6" ht="15" thickBot="1">
      <c r="A340" s="1770" t="s">
        <v>2218</v>
      </c>
      <c r="B340" s="1774" t="s">
        <v>2221</v>
      </c>
      <c r="C340" s="1775">
        <v>0.15</v>
      </c>
      <c r="D340" s="1775">
        <v>0.15</v>
      </c>
      <c r="E340" s="1775">
        <v>0.15</v>
      </c>
      <c r="F340" s="1783"/>
    </row>
    <row r="341" spans="1:6" ht="15" thickBot="1">
      <c r="A341" s="1770" t="s">
        <v>2222</v>
      </c>
      <c r="B341" s="1774" t="s">
        <v>2223</v>
      </c>
      <c r="C341" s="1775">
        <v>0.15</v>
      </c>
      <c r="D341" s="1775">
        <v>0.15</v>
      </c>
      <c r="E341" s="1775">
        <v>0.15</v>
      </c>
      <c r="F341" s="1776">
        <v>0.15</v>
      </c>
    </row>
    <row r="342" spans="1:6" ht="15" thickBot="1">
      <c r="A342" s="1770" t="s">
        <v>2218</v>
      </c>
      <c r="B342" s="1774" t="s">
        <v>2224</v>
      </c>
      <c r="C342" s="1775">
        <v>0.15</v>
      </c>
      <c r="D342" s="1775">
        <v>0.15</v>
      </c>
      <c r="E342" s="1775">
        <v>0.15</v>
      </c>
      <c r="F342" s="1776">
        <v>0.15</v>
      </c>
    </row>
    <row r="343" spans="1:6" ht="15" thickBot="1">
      <c r="A343" s="1770" t="s">
        <v>2218</v>
      </c>
      <c r="B343" s="1774" t="s">
        <v>2225</v>
      </c>
      <c r="C343" s="1775">
        <v>0.15</v>
      </c>
      <c r="D343" s="1775">
        <v>0.15</v>
      </c>
      <c r="E343" s="1775">
        <v>0.15</v>
      </c>
      <c r="F343" s="1776">
        <v>0.15</v>
      </c>
    </row>
    <row r="344" spans="1:6" ht="1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3.2"/>
  <cols>
    <col min="1" max="1" width="9" style="2887"/>
    <col min="2" max="6" width="9" style="2887" customWidth="1"/>
    <col min="7" max="7" width="9" style="2925" customWidth="1"/>
    <col min="8" max="12" width="9" style="2887" customWidth="1"/>
    <col min="13" max="13" width="2.21875" style="2887" customWidth="1"/>
    <col min="14" max="14" width="9" style="2925" customWidth="1"/>
    <col min="15" max="17" width="9" style="2887" customWidth="1"/>
    <col min="18" max="18" width="2.33203125" style="2887" customWidth="1"/>
    <col min="19" max="19" width="7.109375" style="2925" customWidth="1"/>
    <col min="20" max="22" width="7.109375" style="2887" customWidth="1"/>
    <col min="23" max="23" width="24" style="2887" customWidth="1"/>
    <col min="24" max="25" width="9" style="2887"/>
    <col min="26" max="27" width="11.6640625" style="2887" customWidth="1"/>
    <col min="28" max="28" width="9" style="2887"/>
    <col min="29" max="29" width="2" style="2887" customWidth="1"/>
    <col min="30" max="16384" width="9" style="2887"/>
  </cols>
  <sheetData>
    <row r="1" spans="1:34" s="2865" customFormat="1">
      <c r="B1" s="3538" t="s">
        <v>2557</v>
      </c>
      <c r="C1" s="3538"/>
      <c r="D1" s="3538"/>
      <c r="E1" s="3538"/>
      <c r="F1" s="3538"/>
      <c r="G1" s="3537" t="s">
        <v>2558</v>
      </c>
      <c r="H1" s="3537"/>
      <c r="I1" s="3537"/>
      <c r="J1" s="3537"/>
      <c r="K1" s="3537"/>
      <c r="L1" s="3537"/>
      <c r="N1" s="3537" t="s">
        <v>2559</v>
      </c>
      <c r="O1" s="3537"/>
      <c r="P1" s="3537"/>
      <c r="Q1" s="3537"/>
      <c r="S1" s="3537" t="s">
        <v>2560</v>
      </c>
      <c r="T1" s="3537"/>
      <c r="U1" s="3537"/>
      <c r="V1" s="3537"/>
      <c r="X1" s="3536" t="s">
        <v>2620</v>
      </c>
      <c r="Y1" s="3537"/>
      <c r="Z1" s="3537"/>
      <c r="AA1" s="3537"/>
      <c r="AB1" s="3537"/>
      <c r="AD1" s="3536" t="s">
        <v>2624</v>
      </c>
      <c r="AE1" s="3537"/>
      <c r="AF1" s="3537"/>
      <c r="AG1" s="3537"/>
      <c r="AH1" s="3537"/>
    </row>
    <row r="2" spans="1:34" s="2866" customFormat="1" ht="1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4">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4">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8"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8"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32">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32"/>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32"/>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33"/>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31">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32"/>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32"/>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33"/>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31">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32"/>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32"/>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8"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35"/>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8" thickBot="1">
      <c r="A26" s="2899" t="s">
        <v>958</v>
      </c>
      <c r="B26" s="2921">
        <v>333</v>
      </c>
      <c r="C26" s="2921">
        <v>277</v>
      </c>
      <c r="D26" s="2921">
        <f t="shared" si="153"/>
        <v>277</v>
      </c>
      <c r="E26" s="2921">
        <v>459</v>
      </c>
      <c r="F26" s="2922">
        <v>249</v>
      </c>
      <c r="G26" s="3534">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32"/>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32"/>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35"/>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8" thickBot="1">
      <c r="A30" s="2899" t="s">
        <v>954</v>
      </c>
      <c r="B30" s="2928">
        <v>318</v>
      </c>
      <c r="C30" s="2928">
        <v>268</v>
      </c>
      <c r="D30" s="2928">
        <f t="shared" si="153"/>
        <v>268</v>
      </c>
      <c r="E30" s="2928">
        <v>437</v>
      </c>
      <c r="F30" s="2929">
        <v>237</v>
      </c>
      <c r="G30" s="3534">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32"/>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8"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32"/>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8"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35"/>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8" thickBot="1">
      <c r="A34" s="2899" t="s">
        <v>2564</v>
      </c>
      <c r="B34" s="2921">
        <v>299</v>
      </c>
      <c r="C34" s="2921">
        <v>252</v>
      </c>
      <c r="D34" s="2921">
        <f t="shared" si="153"/>
        <v>252</v>
      </c>
      <c r="E34" s="2921">
        <v>409</v>
      </c>
      <c r="F34" s="2922">
        <v>227</v>
      </c>
      <c r="G34" s="3539">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40"/>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40"/>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41"/>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8" thickBot="1">
      <c r="A38" s="2899" t="s">
        <v>2568</v>
      </c>
      <c r="B38" s="2949">
        <v>278</v>
      </c>
      <c r="C38" s="2949">
        <v>234</v>
      </c>
      <c r="D38" s="2949">
        <f t="shared" si="153"/>
        <v>234</v>
      </c>
      <c r="E38" s="2949">
        <v>379</v>
      </c>
      <c r="F38" s="2950">
        <v>220</v>
      </c>
      <c r="G38" s="3534">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32"/>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32"/>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8" thickBot="1">
      <c r="A41" s="2899" t="s">
        <v>2571</v>
      </c>
      <c r="B41" s="2900">
        <f>B40/(1+N40)</f>
        <v>275.19025476197027</v>
      </c>
      <c r="C41" s="2951">
        <v>232</v>
      </c>
      <c r="D41" s="2951">
        <f t="shared" si="153"/>
        <v>232</v>
      </c>
      <c r="E41" s="2900">
        <f t="shared" si="164"/>
        <v>375.65990977608692</v>
      </c>
      <c r="F41" s="2900">
        <f t="shared" si="164"/>
        <v>214.12518283971252</v>
      </c>
      <c r="G41" s="3535"/>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8" thickBot="1">
      <c r="A42" s="2899" t="s">
        <v>2572</v>
      </c>
      <c r="B42" s="2921">
        <v>275</v>
      </c>
      <c r="C42" s="2921">
        <v>232</v>
      </c>
      <c r="D42" s="2921">
        <f t="shared" si="153"/>
        <v>232</v>
      </c>
      <c r="E42" s="2921">
        <v>376</v>
      </c>
      <c r="F42" s="2922">
        <v>213</v>
      </c>
      <c r="G42" s="3534">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32">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32">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8"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35">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8" thickBot="1">
      <c r="A46" s="2899" t="s">
        <v>2576</v>
      </c>
      <c r="B46" s="2921">
        <v>269</v>
      </c>
      <c r="C46" s="2921">
        <v>221</v>
      </c>
      <c r="D46" s="2921">
        <f t="shared" si="153"/>
        <v>221</v>
      </c>
      <c r="E46" s="2921">
        <v>373</v>
      </c>
      <c r="F46" s="2922">
        <v>196</v>
      </c>
      <c r="G46" s="3534">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32">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32">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8"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35">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8" thickBot="1">
      <c r="A50" s="2899" t="s">
        <v>2580</v>
      </c>
      <c r="B50" s="2921">
        <v>220</v>
      </c>
      <c r="C50" s="2921">
        <v>187</v>
      </c>
      <c r="D50" s="2921">
        <f t="shared" si="153"/>
        <v>187</v>
      </c>
      <c r="E50" s="2921">
        <v>301</v>
      </c>
      <c r="F50" s="2922">
        <v>168</v>
      </c>
      <c r="G50" s="3534">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32">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32">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35">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8" thickBot="1">
      <c r="A54" s="2899" t="s">
        <v>2584</v>
      </c>
      <c r="B54" s="2949">
        <v>214</v>
      </c>
      <c r="C54" s="2949">
        <v>188</v>
      </c>
      <c r="D54" s="2949">
        <f t="shared" si="153"/>
        <v>188</v>
      </c>
      <c r="E54" s="2949">
        <v>289</v>
      </c>
      <c r="F54" s="2950">
        <v>166</v>
      </c>
      <c r="G54" s="3534">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32">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32">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8"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35">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8" thickBot="1">
      <c r="A58" s="2899" t="s">
        <v>2588</v>
      </c>
      <c r="B58" s="2921">
        <v>188</v>
      </c>
      <c r="C58" s="2921">
        <v>165</v>
      </c>
      <c r="D58" s="2921">
        <f t="shared" si="153"/>
        <v>165</v>
      </c>
      <c r="E58" s="2921">
        <v>254</v>
      </c>
      <c r="F58" s="2922">
        <v>148</v>
      </c>
      <c r="G58" s="3534">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32">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32">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35">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8" thickBot="1">
      <c r="A62" s="2899" t="s">
        <v>2592</v>
      </c>
      <c r="B62" s="2928">
        <v>159</v>
      </c>
      <c r="C62" s="2928">
        <v>141</v>
      </c>
      <c r="D62" s="2928">
        <f t="shared" si="153"/>
        <v>141</v>
      </c>
      <c r="E62" s="2928">
        <v>195</v>
      </c>
      <c r="F62" s="2929">
        <v>122</v>
      </c>
      <c r="G62" s="3534">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32">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32">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35">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8" thickBot="1">
      <c r="A66" s="2899" t="s">
        <v>2596</v>
      </c>
      <c r="B66" s="2928">
        <v>138</v>
      </c>
      <c r="C66" s="2928">
        <v>131</v>
      </c>
      <c r="D66" s="2928">
        <f t="shared" si="153"/>
        <v>131</v>
      </c>
      <c r="E66" s="2928">
        <v>155</v>
      </c>
      <c r="F66" s="2929">
        <v>114</v>
      </c>
      <c r="G66" s="3534">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32">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32">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35">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8" thickBot="1">
      <c r="A70" s="2899" t="s">
        <v>2600</v>
      </c>
      <c r="B70" s="2949">
        <v>121</v>
      </c>
      <c r="C70" s="2949">
        <v>122</v>
      </c>
      <c r="D70" s="2949">
        <f t="shared" si="153"/>
        <v>122</v>
      </c>
      <c r="E70" s="2949">
        <v>124</v>
      </c>
      <c r="F70" s="2950">
        <v>107</v>
      </c>
      <c r="G70" s="3534">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32">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32">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8"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35">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8" thickBot="1">
      <c r="A74" s="2899" t="s">
        <v>2604</v>
      </c>
      <c r="B74" s="2969">
        <v>111</v>
      </c>
      <c r="C74" s="2969">
        <v>114</v>
      </c>
      <c r="D74" s="2969">
        <f t="shared" si="153"/>
        <v>114</v>
      </c>
      <c r="E74" s="2969">
        <v>108</v>
      </c>
      <c r="F74" s="2970">
        <v>104</v>
      </c>
      <c r="G74" s="3534">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32">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32">
        <v>2003</v>
      </c>
      <c r="H76" s="2914">
        <v>2</v>
      </c>
      <c r="I76" s="2971"/>
      <c r="J76" s="2971"/>
      <c r="K76" s="2971"/>
      <c r="L76" s="2971"/>
      <c r="X76" s="2963"/>
      <c r="Y76" s="2963"/>
      <c r="Z76" s="2963"/>
    </row>
    <row r="77" spans="1:26" ht="13.8" thickBot="1">
      <c r="A77" s="2899" t="s">
        <v>2607</v>
      </c>
      <c r="B77" s="2973">
        <f t="shared" si="189"/>
        <v>107.25</v>
      </c>
      <c r="C77" s="2973">
        <f t="shared" si="189"/>
        <v>108.75</v>
      </c>
      <c r="D77" s="2973">
        <f t="shared" si="153"/>
        <v>108.75</v>
      </c>
      <c r="E77" s="2973">
        <f t="shared" si="190"/>
        <v>105.75</v>
      </c>
      <c r="F77" s="2973">
        <f t="shared" si="190"/>
        <v>102.5</v>
      </c>
      <c r="G77" s="3535">
        <v>2003</v>
      </c>
      <c r="H77" s="2974">
        <v>1</v>
      </c>
      <c r="I77" s="2971"/>
      <c r="J77" s="2971"/>
      <c r="K77" s="2971"/>
      <c r="L77" s="2971"/>
      <c r="S77" s="2902"/>
      <c r="T77" s="2888"/>
      <c r="U77" s="2888"/>
      <c r="X77" s="2963"/>
      <c r="Y77" s="2963"/>
      <c r="Z77" s="2963"/>
    </row>
    <row r="78" spans="1:26" ht="13.8" thickBot="1">
      <c r="A78" s="2899" t="s">
        <v>2608</v>
      </c>
      <c r="B78" s="2975">
        <v>106</v>
      </c>
      <c r="C78" s="2975">
        <v>107</v>
      </c>
      <c r="D78" s="2975">
        <f t="shared" si="153"/>
        <v>107</v>
      </c>
      <c r="E78" s="2975">
        <v>105</v>
      </c>
      <c r="F78" s="2976">
        <v>102</v>
      </c>
      <c r="G78" s="3534">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32">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32">
        <v>2002</v>
      </c>
      <c r="H80" s="2914">
        <v>2</v>
      </c>
      <c r="I80" s="2971"/>
      <c r="J80" s="2971"/>
      <c r="K80" s="2971"/>
      <c r="L80" s="2971"/>
      <c r="X80" s="2963"/>
      <c r="Y80" s="2963"/>
      <c r="Z80" s="2963"/>
    </row>
    <row r="81" spans="1:26" s="2936" customFormat="1" ht="13.8" thickBot="1">
      <c r="A81" s="2932" t="s">
        <v>2611</v>
      </c>
      <c r="B81" s="2939">
        <f t="shared" si="191"/>
        <v>103</v>
      </c>
      <c r="C81" s="2939">
        <f t="shared" si="191"/>
        <v>104</v>
      </c>
      <c r="D81" s="2939">
        <f t="shared" si="153"/>
        <v>104</v>
      </c>
      <c r="E81" s="2939">
        <f t="shared" si="192"/>
        <v>103.5</v>
      </c>
      <c r="F81" s="2939">
        <f t="shared" si="192"/>
        <v>100.5</v>
      </c>
      <c r="G81" s="3535">
        <v>2002</v>
      </c>
      <c r="H81" s="2977">
        <v>1</v>
      </c>
      <c r="I81" s="2978"/>
      <c r="J81" s="2978"/>
      <c r="K81" s="2978"/>
      <c r="L81" s="2978"/>
      <c r="N81" s="2979"/>
      <c r="S81" s="2979"/>
      <c r="X81" s="2980"/>
      <c r="Y81" s="2980"/>
      <c r="Z81" s="2980"/>
    </row>
    <row r="82" spans="1:26" ht="13.8"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8"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8"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RowHeight="14.4"/>
  <cols>
    <col min="1" max="1" width="22.77734375" style="3249" customWidth="1"/>
    <col min="2" max="2" width="12.44140625" style="3249" customWidth="1"/>
    <col min="3" max="3" width="12.109375" style="3249" customWidth="1"/>
    <col min="4" max="4" width="16.6640625" style="3249" customWidth="1"/>
    <col min="5" max="5" width="12.44140625" style="3249" customWidth="1"/>
    <col min="6" max="6" width="12.77734375" style="3249" customWidth="1"/>
    <col min="7" max="16384" width="8.88671875" style="3249"/>
  </cols>
  <sheetData>
    <row r="1" spans="1:14" ht="20.399999999999999">
      <c r="A1" s="3252" t="s">
        <v>2917</v>
      </c>
      <c r="B1" s="3247"/>
      <c r="C1" s="3247"/>
      <c r="D1" s="3247"/>
      <c r="E1" s="3247"/>
      <c r="F1" s="3247"/>
      <c r="G1" s="3248"/>
      <c r="H1" s="3248"/>
      <c r="I1" s="3248"/>
      <c r="J1" s="3248"/>
      <c r="K1" s="3248"/>
      <c r="L1" s="3248"/>
      <c r="M1" s="3248"/>
      <c r="N1" s="3248"/>
    </row>
    <row r="2" spans="1:14" ht="15.6">
      <c r="A2" s="3253" t="s">
        <v>2912</v>
      </c>
      <c r="B2" s="3258">
        <f ca="1">SUMIF(B7:B14,"&lt;&gt;#ref!",B7:B14)</f>
        <v>0</v>
      </c>
      <c r="C2" s="3253" t="s">
        <v>2913</v>
      </c>
      <c r="D2" s="3250"/>
      <c r="E2" s="3250"/>
      <c r="F2" s="3250"/>
      <c r="G2" s="3248"/>
      <c r="H2" s="3248"/>
      <c r="I2" s="3248"/>
      <c r="J2" s="3248"/>
      <c r="K2" s="3248"/>
      <c r="L2" s="3248"/>
      <c r="M2" s="3248"/>
      <c r="N2" s="3248"/>
    </row>
    <row r="3" spans="1:14" ht="15.6">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5.6">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5.6">
      <c r="A5" s="3254"/>
      <c r="B5" s="3250"/>
      <c r="C5" s="3250"/>
      <c r="D5" s="3250"/>
      <c r="E5" s="3250"/>
      <c r="F5" s="3250"/>
      <c r="G5" s="3248"/>
      <c r="H5" s="3248"/>
      <c r="I5" s="3248"/>
      <c r="J5" s="3248"/>
      <c r="K5" s="3248"/>
      <c r="L5" s="3248"/>
      <c r="M5" s="3248"/>
      <c r="N5" s="3248"/>
    </row>
    <row r="6" spans="1:14" ht="31.2">
      <c r="A6" s="3255" t="s">
        <v>2918</v>
      </c>
      <c r="B6" s="3253" t="s">
        <v>2915</v>
      </c>
      <c r="C6" s="2791"/>
      <c r="D6" s="3250"/>
      <c r="E6" s="3253" t="s">
        <v>2916</v>
      </c>
      <c r="F6" s="3253" t="s">
        <v>2919</v>
      </c>
      <c r="G6" s="3248"/>
      <c r="H6" s="3248"/>
      <c r="I6" s="3248"/>
      <c r="J6" s="3248"/>
      <c r="K6" s="3248"/>
      <c r="L6" s="3248"/>
      <c r="M6" s="3248"/>
      <c r="N6" s="3248"/>
    </row>
    <row r="7" spans="1:14" ht="15.6">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5.6">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5.6">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5.6">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5.6">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5.6">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5.6">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5.6">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8.33203125" style="1943" customWidth="1"/>
    <col min="16" max="16" width="30.21875" style="1943" customWidth="1"/>
    <col min="17" max="17" width="13.77734375" style="1943" customWidth="1"/>
    <col min="18" max="18" width="22.21875" style="1943" customWidth="1"/>
    <col min="19" max="19" width="1.44140625" style="1943" customWidth="1"/>
    <col min="20" max="25" width="9" style="1943"/>
    <col min="26" max="16384" width="9" style="1944"/>
  </cols>
  <sheetData>
    <row r="1" spans="1:25" s="1938" customFormat="1" ht="21.6">
      <c r="A1" s="762" t="s">
        <v>622</v>
      </c>
      <c r="B1" s="730"/>
      <c r="C1" s="763"/>
      <c r="D1" s="1934"/>
      <c r="E1" s="2243" t="s">
        <v>2359</v>
      </c>
      <c r="F1" s="2244">
        <f ca="1">J54</f>
        <v>0</v>
      </c>
      <c r="G1" s="764">
        <f>MATCH(C1,'数据-取费表'!A6:A16,0)+5</f>
        <v>6</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t="e">
        <f ca="1">ROUND(B2*10000/'数据-汇总表'!E3,0)</f>
        <v>#DIV/0!</v>
      </c>
      <c r="C3" s="1304"/>
      <c r="D3" s="1939"/>
      <c r="E3" s="1940"/>
      <c r="F3" s="1940"/>
      <c r="G3" s="1525"/>
      <c r="H3" s="766" t="s">
        <v>689</v>
      </c>
      <c r="I3" s="1941"/>
      <c r="J3" s="1941"/>
      <c r="K3" s="1942"/>
      <c r="L3" s="1941"/>
      <c r="M3" s="1941"/>
    </row>
    <row r="4" spans="1:25" ht="18" customHeight="1">
      <c r="A4" s="1575" t="s">
        <v>690</v>
      </c>
      <c r="B4" s="1305" t="e">
        <f ca="1">ROUND(B2*10000/'数据-汇总表'!D3,0)</f>
        <v>#DIV/0!</v>
      </c>
      <c r="C4" s="422"/>
      <c r="D4" s="1939"/>
      <c r="E4" s="1940"/>
      <c r="F4" s="1940"/>
      <c r="G4" s="1525"/>
      <c r="H4" s="766"/>
      <c r="I4" s="1941"/>
      <c r="J4" s="1941"/>
      <c r="K4" s="1942"/>
      <c r="L4" s="1941"/>
      <c r="M4" s="1941"/>
    </row>
    <row r="5" spans="1:25" ht="18" customHeight="1" thickBot="1">
      <c r="A5" s="1576"/>
      <c r="B5" s="424" t="e">
        <f ca="1">ROUND(B2/('数据-汇总表'!D3/666.67),0)</f>
        <v>#DIV/0!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43" t="s">
        <v>2445</v>
      </c>
      <c r="C8" s="1741">
        <f ca="1">ROUND(F8*F10*F9*(1-F11)/10000,0)</f>
        <v>0</v>
      </c>
      <c r="D8" s="1738" t="s">
        <v>2516</v>
      </c>
      <c r="E8" s="61" t="s">
        <v>631</v>
      </c>
      <c r="F8" s="775">
        <f ca="1">INDIRECT("'数据-取费表'!u"&amp;$G$1)</f>
        <v>0</v>
      </c>
      <c r="G8" s="1527"/>
      <c r="H8" s="2358" t="s">
        <v>1815</v>
      </c>
      <c r="I8" s="3543" t="s">
        <v>2445</v>
      </c>
      <c r="J8" s="773">
        <f ca="1">ROUND(M8*M10*M9*(1-M11)/10000,0)</f>
        <v>0</v>
      </c>
      <c r="K8" s="339" t="s">
        <v>2516</v>
      </c>
      <c r="L8" s="774" t="s">
        <v>1729</v>
      </c>
      <c r="M8" s="775">
        <f ca="1">INDIRECT("'数据-取费表'!z"&amp;$G$1)</f>
        <v>0</v>
      </c>
    </row>
    <row r="9" spans="1:25" ht="18" customHeight="1">
      <c r="A9" s="2354"/>
      <c r="B9" s="3544"/>
      <c r="C9" s="1742"/>
      <c r="D9" s="1739"/>
      <c r="E9" s="61" t="s">
        <v>632</v>
      </c>
      <c r="F9" s="775">
        <f ca="1">IF(INDIRECT("'数据-取费表'!ah"&amp;$G$1)="",INDIRECT("'数据-取费表'!k"&amp;$G$1),INDIRECT("'数据-取费表'!ah"&amp;$G$1))</f>
        <v>0</v>
      </c>
      <c r="G9" s="1527"/>
      <c r="H9" s="2343"/>
      <c r="I9" s="3544"/>
      <c r="J9" s="778"/>
      <c r="K9" s="779"/>
      <c r="L9" s="774" t="s">
        <v>1730</v>
      </c>
      <c r="M9" s="775">
        <f ca="1">F9</f>
        <v>0</v>
      </c>
    </row>
    <row r="10" spans="1:25" ht="18" customHeight="1">
      <c r="A10" s="2347"/>
      <c r="B10" s="3545"/>
      <c r="C10" s="1742"/>
      <c r="D10" s="1739"/>
      <c r="E10" s="61" t="s">
        <v>633</v>
      </c>
      <c r="F10" s="775">
        <f ca="1">INDIRECT("'数据-取费表'!ai"&amp;$G$1)</f>
        <v>0</v>
      </c>
      <c r="G10" s="1527"/>
      <c r="H10" s="2343"/>
      <c r="I10" s="3545"/>
      <c r="J10" s="778"/>
      <c r="K10" s="779"/>
      <c r="L10" s="774" t="s">
        <v>1731</v>
      </c>
      <c r="M10" s="775">
        <f ca="1">INDIRECT("'数据-取费表'!ai"&amp;$G$1)</f>
        <v>0</v>
      </c>
    </row>
    <row r="11" spans="1:25" ht="18" customHeight="1">
      <c r="A11" s="776"/>
      <c r="B11" s="3546"/>
      <c r="C11" s="1742"/>
      <c r="D11" s="1739"/>
      <c r="E11" s="61" t="s">
        <v>634</v>
      </c>
      <c r="F11" s="784">
        <f ca="1">INDIRECT("'数据-取费表'!w"&amp;$G$1)</f>
        <v>0</v>
      </c>
      <c r="G11" s="1527"/>
      <c r="H11" s="2359"/>
      <c r="I11" s="3545"/>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0</v>
      </c>
      <c r="G13" s="1527"/>
      <c r="H13" s="2416"/>
      <c r="I13" s="2349" t="s">
        <v>2555</v>
      </c>
      <c r="J13" s="2353"/>
      <c r="K13" s="2417"/>
      <c r="L13" s="2352" t="s">
        <v>2438</v>
      </c>
      <c r="M13" s="2346">
        <f ca="1">'数据-取费表'!B39</f>
        <v>0</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20">
        <f ca="1">ROUND(IF(AND(项目基本情况!B11="自然人",项目基本情况!B10="北京市"),J8*M19/(1+'数据-取费表'!C42),J20+J21+J22),0)</f>
        <v>0</v>
      </c>
      <c r="K19" s="1894" t="s">
        <v>651</v>
      </c>
      <c r="L19" s="1892" t="s">
        <v>652</v>
      </c>
      <c r="M19" s="3019">
        <f ca="1">IF(项目基本情况!B11="企业","——",IF('数据-取费表'!B10="住宅",IF(M8*M9*M10/12/(1+'数据-取费表'!F30)&gt;100000,4%,2.5%),IF(M8*M9*M10/12/(1+'数据-取费表'!F30)&gt;100000,12%,7%)))</f>
        <v>7.0000000000000007E-2</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0</v>
      </c>
      <c r="D26" s="2424" t="str">
        <f>IF(F25&lt;=1,"销售费用×利率×(建设周期÷2)","销售费用×((1+利率)^(建设周期÷2)-1)")</f>
        <v>销售费用×利率×(建设周期÷2)</v>
      </c>
      <c r="E26" s="774" t="s">
        <v>676</v>
      </c>
      <c r="F26" s="808">
        <f ca="1">'数据-取费表'!B40</f>
        <v>0</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f ca="1">IF(项目基本情况!B11="企业","——",IF('数据-取费表'!B10="住宅",IF(F8*F9*F10/12/(1+'数据-取费表'!F30)&gt;100000,4%,2.5%),IF(F8*F9*F10/12/(1+'数据-取费表'!F30)&gt;100000,12%,7%)))</f>
        <v>7.0000000000000007E-2</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42"/>
      <c r="J36" s="1963"/>
      <c r="K36" s="1964"/>
      <c r="L36" s="1963"/>
      <c r="M36" s="1963"/>
    </row>
    <row r="37" spans="1:18" ht="18" customHeight="1">
      <c r="A37" s="804"/>
      <c r="B37" s="783"/>
      <c r="C37" s="69"/>
      <c r="D37" s="805"/>
      <c r="E37" s="774" t="s">
        <v>668</v>
      </c>
      <c r="F37" s="775">
        <f ca="1">INDIRECT("'数据-取费表'!r"&amp;$G$1)</f>
        <v>0</v>
      </c>
      <c r="G37" s="1946"/>
      <c r="H37" s="1949"/>
      <c r="I37" s="354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31.8" thickBot="1">
      <c r="A54" s="1979"/>
      <c r="I54" s="2806" t="s">
        <v>2943</v>
      </c>
      <c r="J54" s="2859">
        <f ca="1">IF(M48="住宅",MAX(J52,L49-'数据-取费表'!B20),MIN(J52,L49-'数据-取费表'!B20))</f>
        <v>0</v>
      </c>
      <c r="K54" s="3547"/>
      <c r="L54" s="3548"/>
      <c r="O54" s="2257" t="s">
        <v>2373</v>
      </c>
      <c r="P54" s="2255" t="s">
        <v>2374</v>
      </c>
      <c r="Q54" s="2256">
        <f ca="1">J54</f>
        <v>0</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2"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7.4"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31.8"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31.8"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31.8"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6.2"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19.2" thickBot="1">
      <c r="A62" s="1979"/>
      <c r="B62" s="1980"/>
      <c r="C62" s="1980"/>
      <c r="K62" s="1969"/>
      <c r="O62" s="2257" t="s">
        <v>2371</v>
      </c>
      <c r="P62" s="2255" t="s">
        <v>2379</v>
      </c>
      <c r="Q62" s="2256">
        <f ca="1">L59</f>
        <v>0</v>
      </c>
      <c r="R62" s="2259" t="s">
        <v>2380</v>
      </c>
    </row>
    <row r="63" spans="1:18" s="1943" customFormat="1" ht="19.2"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6.2"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2" thickBot="1">
      <c r="A65" s="1979"/>
      <c r="B65" s="1980"/>
      <c r="C65" s="1980"/>
      <c r="I65" s="2825" t="s">
        <v>2356</v>
      </c>
      <c r="J65" s="2826">
        <v>50</v>
      </c>
      <c r="K65" s="2826">
        <v>35</v>
      </c>
      <c r="L65" s="2826">
        <v>60</v>
      </c>
      <c r="M65" s="835">
        <v>0</v>
      </c>
      <c r="O65" s="2260" t="s">
        <v>2400</v>
      </c>
      <c r="P65" s="1527"/>
      <c r="Q65" s="1535"/>
      <c r="R65" s="1527"/>
    </row>
    <row r="66" spans="1:18" s="1943" customFormat="1" ht="16.2"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6.2" thickBot="1">
      <c r="A67" s="1979"/>
      <c r="B67" s="1980"/>
      <c r="C67" s="1980"/>
      <c r="K67" s="1969"/>
      <c r="O67" s="2254" t="s">
        <v>2364</v>
      </c>
      <c r="P67" s="2255" t="s">
        <v>2390</v>
      </c>
      <c r="Q67" s="2256">
        <f ca="1">C41+J31</f>
        <v>0</v>
      </c>
      <c r="R67" s="2255" t="s">
        <v>2365</v>
      </c>
    </row>
    <row r="68" spans="1:18" s="1943" customFormat="1" ht="19.2" thickBot="1">
      <c r="A68" s="1979"/>
      <c r="B68" s="1980"/>
      <c r="C68" s="1980"/>
      <c r="K68" s="1969"/>
      <c r="O68" s="2254" t="s">
        <v>2366</v>
      </c>
      <c r="P68" s="2255" t="s">
        <v>2397</v>
      </c>
      <c r="Q68" s="2256" t="e">
        <f ca="1">L61</f>
        <v>#DIV/0!</v>
      </c>
      <c r="R68" s="2259" t="s">
        <v>2399</v>
      </c>
    </row>
    <row r="69" spans="1:18" s="1943" customFormat="1" ht="20.399999999999999" thickBot="1">
      <c r="A69" s="1979"/>
      <c r="B69" s="1980"/>
      <c r="C69" s="1980"/>
      <c r="K69" s="1969"/>
      <c r="O69" s="2257" t="s">
        <v>2368</v>
      </c>
      <c r="P69" s="2255" t="s">
        <v>2398</v>
      </c>
      <c r="Q69" s="2261">
        <f ca="1">L52</f>
        <v>0</v>
      </c>
      <c r="R69" s="2262" t="s">
        <v>2401</v>
      </c>
    </row>
    <row r="70" spans="1:18" s="1943" customFormat="1" ht="19.2" thickBot="1">
      <c r="A70" s="1979"/>
      <c r="B70" s="1980"/>
      <c r="C70" s="1980"/>
      <c r="K70" s="1969"/>
      <c r="O70" s="2257" t="s">
        <v>2369</v>
      </c>
      <c r="P70" s="2263" t="s">
        <v>2383</v>
      </c>
      <c r="Q70" s="2256">
        <f ca="1">ROUND(Q71-Q72*Q73,0)</f>
        <v>0</v>
      </c>
      <c r="R70" s="2259"/>
    </row>
    <row r="71" spans="1:18" s="1943" customFormat="1" ht="16.2" thickBot="1">
      <c r="A71" s="1979"/>
      <c r="B71" s="1980"/>
      <c r="C71" s="1980"/>
      <c r="K71" s="1969"/>
      <c r="O71" s="2257" t="s">
        <v>2384</v>
      </c>
      <c r="P71" s="2263" t="s">
        <v>2385</v>
      </c>
      <c r="Q71" s="2256">
        <f ca="1">C42</f>
        <v>0</v>
      </c>
      <c r="R71" s="2255" t="s">
        <v>2365</v>
      </c>
    </row>
    <row r="72" spans="1:18" s="1943" customFormat="1" ht="16.2" thickBot="1">
      <c r="A72" s="1979"/>
      <c r="B72" s="1980"/>
      <c r="C72" s="1980"/>
      <c r="K72" s="1969"/>
      <c r="O72" s="2257" t="s">
        <v>2386</v>
      </c>
      <c r="P72" s="2263" t="s">
        <v>2387</v>
      </c>
      <c r="Q72" s="2256">
        <f ca="1">C15</f>
        <v>0</v>
      </c>
      <c r="R72" s="2255" t="s">
        <v>2365</v>
      </c>
    </row>
    <row r="73" spans="1:18" s="1943" customFormat="1" ht="16.2" thickBot="1">
      <c r="A73" s="1979"/>
      <c r="B73" s="1980"/>
      <c r="C73" s="1980"/>
      <c r="K73" s="1969"/>
      <c r="O73" s="2257" t="s">
        <v>2388</v>
      </c>
      <c r="P73" s="2263" t="s">
        <v>2389</v>
      </c>
      <c r="Q73" s="2258">
        <f ca="1">F43</f>
        <v>0</v>
      </c>
      <c r="R73" s="2259"/>
    </row>
    <row r="74" spans="1:18" s="1943" customFormat="1" ht="16.2" thickBot="1">
      <c r="A74" s="1979"/>
      <c r="B74" s="1980"/>
      <c r="C74" s="1980"/>
      <c r="K74" s="1969"/>
      <c r="O74" s="2257" t="s">
        <v>2371</v>
      </c>
      <c r="P74" s="2255" t="s">
        <v>2378</v>
      </c>
      <c r="Q74" s="2258">
        <f>L53</f>
        <v>0</v>
      </c>
      <c r="R74" s="2259"/>
    </row>
    <row r="75" spans="1:18" s="1943" customFormat="1" ht="19.2" thickBot="1">
      <c r="A75" s="1979"/>
      <c r="B75" s="1980"/>
      <c r="C75" s="1980"/>
      <c r="K75" s="1969"/>
      <c r="O75" s="2257" t="s">
        <v>2373</v>
      </c>
      <c r="P75" s="2255" t="s">
        <v>2379</v>
      </c>
      <c r="Q75" s="2256">
        <f ca="1">L59</f>
        <v>0</v>
      </c>
      <c r="R75" s="2259" t="s">
        <v>2380</v>
      </c>
    </row>
    <row r="76" spans="1:18" s="1943" customFormat="1" ht="19.2" thickBot="1">
      <c r="A76" s="1979"/>
      <c r="B76" s="1980"/>
      <c r="C76" s="1980"/>
      <c r="K76" s="1969"/>
      <c r="O76" s="2257" t="s">
        <v>2402</v>
      </c>
      <c r="P76" s="2255" t="s">
        <v>2381</v>
      </c>
      <c r="Q76" s="2256">
        <f ca="1">L60</f>
        <v>0</v>
      </c>
      <c r="R76" s="2259" t="s">
        <v>2382</v>
      </c>
    </row>
    <row r="77" spans="1:18" s="1943" customFormat="1" ht="16.2"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17.399999999999999">
      <c r="A4" s="1707" t="str">
        <f>"受贵公司委托，我公司对"&amp;项目基本情况!K2&amp;项目基本情况!B9&amp;"进行了预评估。"</f>
        <v>受贵公司委托，我公司对出让国有建设用地使用权进行了预评估。</v>
      </c>
    </row>
    <row r="5" spans="1:4" ht="17.399999999999999">
      <c r="A5" s="1710" t="s">
        <v>1896</v>
      </c>
    </row>
    <row r="6" spans="1:4" ht="17.399999999999999">
      <c r="A6" s="1707"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2.2">
      <c r="A7" s="1711" t="s">
        <v>2728</v>
      </c>
    </row>
    <row r="8" spans="1:4" ht="17.399999999999999">
      <c r="A8" s="1710" t="s">
        <v>1897</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2015</v>
      </c>
    </row>
    <row r="11" spans="1:4" ht="17.399999999999999">
      <c r="A11" s="1696" t="str">
        <f>TEXT(项目基本情况!D3,"yyyy年m月d日;;")&amp;IF(项目基本情况!B3=项目基本情况!D3,"（评估专业人员勘察现场之日）","")</f>
        <v>（评估专业人员勘察现场之日）</v>
      </c>
    </row>
    <row r="12" spans="1:4" ht="17.399999999999999">
      <c r="A12" s="1713" t="s">
        <v>2014</v>
      </c>
    </row>
    <row r="13" spans="1:4" ht="17.399999999999999">
      <c r="A13" s="1707" t="s">
        <v>2910</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7" t="s">
        <v>2062</v>
      </c>
    </row>
    <row r="20" spans="1:1" ht="17.399999999999999">
      <c r="A20" s="241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707" t="s">
        <v>2063</v>
      </c>
    </row>
    <row r="22" spans="1:1" ht="87">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7.399999999999999">
      <c r="A23" s="1707" t="str">
        <f>IF(项目基本情况!B16="出让","本次评估设定估价对象剩余土地使用年限为"&amp;项目基本情况!D20&amp;"。","")</f>
        <v>本次评估设定估价对象剩余土地使用年限为。</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4"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5.88671875" style="1943" customWidth="1"/>
    <col min="16" max="16" width="27.6640625" style="1943" customWidth="1"/>
    <col min="17" max="17" width="13.77734375" style="1980" customWidth="1"/>
    <col min="18" max="18" width="23.44140625" style="1943" customWidth="1"/>
    <col min="19" max="19" width="1.44140625" style="1943" customWidth="1"/>
    <col min="20" max="33" width="9" style="1943"/>
    <col min="34" max="16384" width="9" style="1944"/>
  </cols>
  <sheetData>
    <row r="1" spans="1:33" s="1938" customFormat="1" ht="21.6">
      <c r="A1" s="821" t="s">
        <v>1716</v>
      </c>
      <c r="B1" s="730"/>
      <c r="C1" s="763"/>
      <c r="D1" s="2799" t="s">
        <v>943</v>
      </c>
      <c r="E1" s="2243" t="s">
        <v>2359</v>
      </c>
      <c r="F1" s="2244">
        <f ca="1">J53</f>
        <v>0</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5"/>
      <c r="D2" s="3266"/>
      <c r="E2" s="3267"/>
      <c r="F2" s="3267"/>
      <c r="G2" s="3261"/>
      <c r="H2" s="1941"/>
      <c r="I2" s="1941"/>
      <c r="J2" s="1941"/>
      <c r="K2" s="1942"/>
      <c r="L2" s="1941"/>
      <c r="M2" s="1941"/>
    </row>
    <row r="3" spans="1:33" ht="18" customHeight="1" thickBot="1">
      <c r="A3" s="822" t="s">
        <v>1718</v>
      </c>
      <c r="B3" s="823">
        <f ca="1">IF(ISERROR(B2*10000/F43),0,ROUND(B2*10000/F43,0))</f>
        <v>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543" t="s">
        <v>2445</v>
      </c>
      <c r="C6" s="773">
        <f ca="1">ROUND(F6*F8*F7*(1-F9)/10000,0)</f>
        <v>0</v>
      </c>
      <c r="D6" s="2351" t="s">
        <v>2444</v>
      </c>
      <c r="E6" s="774" t="s">
        <v>1729</v>
      </c>
      <c r="F6" s="775">
        <f ca="1">INDIRECT("'数据-取费表'!u"&amp;$G$1)</f>
        <v>0</v>
      </c>
      <c r="G6" s="1946"/>
      <c r="H6" s="2358" t="s">
        <v>2450</v>
      </c>
      <c r="I6" s="3543" t="s">
        <v>2445</v>
      </c>
      <c r="J6" s="773">
        <f ca="1">ROUND(M6*M8*M7*(1-M9)/10000,0)</f>
        <v>0</v>
      </c>
      <c r="K6" s="339" t="s">
        <v>1728</v>
      </c>
      <c r="L6" s="774" t="s">
        <v>1729</v>
      </c>
      <c r="M6" s="775">
        <f ca="1">INDIRECT("'数据-取费表'!z"&amp;$G$1)</f>
        <v>0</v>
      </c>
    </row>
    <row r="7" spans="1:33" ht="18" customHeight="1">
      <c r="A7" s="2354"/>
      <c r="B7" s="3544"/>
      <c r="C7" s="778"/>
      <c r="D7" s="779"/>
      <c r="E7" s="774" t="s">
        <v>1730</v>
      </c>
      <c r="F7" s="775">
        <f ca="1">IF(INDIRECT("'数据-取费表'!ah"&amp;$G$1)="",INDIRECT("'数据-取费表'!k"&amp;$G$1),INDIRECT("'数据-取费表'!ah"&amp;$G$1))</f>
        <v>0</v>
      </c>
      <c r="G7" s="1946"/>
      <c r="H7" s="2343"/>
      <c r="I7" s="3544"/>
      <c r="J7" s="778"/>
      <c r="K7" s="779"/>
      <c r="L7" s="774" t="s">
        <v>1730</v>
      </c>
      <c r="M7" s="775">
        <f ca="1">F7</f>
        <v>0</v>
      </c>
    </row>
    <row r="8" spans="1:33" ht="18" customHeight="1">
      <c r="A8" s="2347"/>
      <c r="B8" s="3545"/>
      <c r="C8" s="778"/>
      <c r="D8" s="779"/>
      <c r="E8" s="774" t="s">
        <v>1731</v>
      </c>
      <c r="F8" s="775">
        <f ca="1">INDIRECT("'数据-取费表'!ai"&amp;$G$1)</f>
        <v>0</v>
      </c>
      <c r="G8" s="1946"/>
      <c r="H8" s="2343"/>
      <c r="I8" s="3545"/>
      <c r="J8" s="778"/>
      <c r="K8" s="779"/>
      <c r="L8" s="774" t="s">
        <v>1731</v>
      </c>
      <c r="M8" s="775">
        <f ca="1">INDIRECT("'数据-取费表'!ai"&amp;$G$1)</f>
        <v>0</v>
      </c>
    </row>
    <row r="9" spans="1:33" ht="18" customHeight="1">
      <c r="A9" s="776"/>
      <c r="B9" s="3546"/>
      <c r="C9" s="778"/>
      <c r="D9" s="779"/>
      <c r="E9" s="774" t="s">
        <v>1732</v>
      </c>
      <c r="F9" s="784">
        <f ca="1">INDIRECT("'数据-取费表'!w"&amp;$G$1)</f>
        <v>0</v>
      </c>
      <c r="G9" s="1946"/>
      <c r="H9" s="2359"/>
      <c r="I9" s="3545"/>
      <c r="J9" s="778"/>
      <c r="K9" s="779"/>
      <c r="L9" s="785" t="s">
        <v>1732</v>
      </c>
      <c r="M9" s="786">
        <f ca="1">INDIRECT("'数据-取费表'!ab"&amp;$G$1)</f>
        <v>0</v>
      </c>
    </row>
    <row r="10" spans="1:33" ht="18" customHeight="1">
      <c r="A10" s="1746" t="s">
        <v>2448</v>
      </c>
      <c r="B10" s="2348" t="s">
        <v>2441</v>
      </c>
      <c r="C10" s="789">
        <f ca="1">ROUND(IF(F10="押一",C6/12*F11,IF(F10="押二",C6/12*2*F11,IF(F10="押三",C6/12*3*F11,C11*F11))),0)</f>
        <v>0</v>
      </c>
      <c r="D10" s="2355" t="s">
        <v>2939</v>
      </c>
      <c r="E10" s="2352" t="s">
        <v>2446</v>
      </c>
      <c r="F10" s="2466"/>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0</v>
      </c>
      <c r="G11" s="1946"/>
      <c r="H11" s="2416"/>
      <c r="I11" s="2349" t="s">
        <v>2555</v>
      </c>
      <c r="J11" s="2353"/>
      <c r="K11" s="2417"/>
      <c r="L11" s="2352" t="s">
        <v>2447</v>
      </c>
      <c r="M11" s="2346">
        <f ca="1">'数据-取费表'!B39</f>
        <v>0</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2806</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2"/>
      <c r="H17" s="1578" t="s">
        <v>1821</v>
      </c>
      <c r="I17" s="774" t="s">
        <v>650</v>
      </c>
      <c r="J17" s="3020">
        <f ca="1">ROUND(IF(AND(项目基本情况!B11="自然人",项目基本情况!B10="北京市"),J6*M17/(1+'数据-取费表'!C42),J18+J19+J20),0)</f>
        <v>0</v>
      </c>
      <c r="K17" s="2339" t="s">
        <v>1744</v>
      </c>
      <c r="L17" s="2338" t="s">
        <v>1745</v>
      </c>
      <c r="M17" s="3019">
        <f ca="1">IF(项目基本情况!B11="企业","——",IF('数据-取费表'!B10="住宅",IF(M6*M7*M8/12/(1+'数据-取费表'!F30)&gt;100000,4%,2.5%),IF(M6*M7*M8/12/(1+'数据-取费表'!F30)&gt;100000,12%,7%)))</f>
        <v>7.0000000000000007E-2</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2"/>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2"/>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2"/>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2517</v>
      </c>
      <c r="C23" s="53">
        <f ca="1">ROUND(IF('数据-取费表'!B22&lt;=1,(C19+C20)*F24*F23/2,(C19+C20)*(POWER((1+F24),F23/2)-1)),0)</f>
        <v>0</v>
      </c>
      <c r="D23" s="2424" t="str">
        <f>IF(F23&lt;=1,"(建造成本+管理费用)×利率×(建设周期÷2)","(建造成本+管理费用)×((1+利率)^(建设周期÷2)-1)")</f>
        <v>(建造成本+管理费用)×利率×(建设周期÷2)</v>
      </c>
      <c r="E23" s="774" t="s">
        <v>1761</v>
      </c>
      <c r="F23" s="632">
        <f>'数据-取费表'!B20</f>
        <v>0</v>
      </c>
      <c r="G23" s="3262"/>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0</v>
      </c>
      <c r="D24" s="2424" t="str">
        <f>IF(F23&lt;=1,"销售费用×利率×(建设周期÷2)","销售费用×((1+利率)^(建设周期÷2)-1)")</f>
        <v>销售费用×利率×(建设周期÷2)</v>
      </c>
      <c r="E24" s="774" t="s">
        <v>1764</v>
      </c>
      <c r="F24" s="808">
        <f ca="1">'数据-取费表'!B40</f>
        <v>0</v>
      </c>
      <c r="G24" s="3262"/>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2"/>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f ca="1">IF(项目基本情况!B11="企业","——",IF('数据-取费表'!B10="住宅",IF(F6*F7*F8/12/(1+'数据-取费表'!F30)&gt;100000,4%,2.5%),IF(F6*F7*F8/12/(1+'数据-取费表'!F30)&gt;100000,12%,7%)))</f>
        <v>7.0000000000000007E-2</v>
      </c>
      <c r="G31" s="1946"/>
      <c r="H31" s="3259" t="s">
        <v>2998</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2802</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3"/>
      <c r="E46" s="3263"/>
      <c r="F46" s="3263"/>
      <c r="I46" s="2234" t="s">
        <v>2328</v>
      </c>
      <c r="J46" s="2235"/>
      <c r="K46" s="2236"/>
      <c r="L46" s="2812" t="e">
        <f ca="1">IF(OR(M47="住宅",D1="土地（套用方法）"),0,IF(L48&gt;J51,L60,J60))</f>
        <v>#DIV/0!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c r="K48" s="2810" t="s">
        <v>2336</v>
      </c>
      <c r="L48" s="1823">
        <f ca="1">INDIRECT("'数据-取费表'!f"&amp;$G$1)</f>
        <v>0</v>
      </c>
      <c r="M48" s="3264"/>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4"/>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4"/>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4"/>
      <c r="O51" s="2257" t="s">
        <v>2369</v>
      </c>
      <c r="P51" s="2255" t="s">
        <v>2370</v>
      </c>
      <c r="Q51" s="2258" t="e">
        <f ca="1">J58</f>
        <v>#DIV/0!</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0</v>
      </c>
      <c r="K53" s="3549" t="s">
        <v>2932</v>
      </c>
      <c r="L53" s="3550"/>
      <c r="M53" s="3264"/>
      <c r="O53" s="2257" t="s">
        <v>2373</v>
      </c>
      <c r="P53" s="2255" t="s">
        <v>2374</v>
      </c>
      <c r="Q53" s="2256">
        <f ca="1">J53</f>
        <v>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4"/>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4"/>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4"/>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4"/>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f ca="1">IF(项目基本情况!B11="企业","——",IF('数据-取费表'!B10="住宅",IF(F48*F49*F50/12/(1+'数据-取费表'!F30)&gt;100000,4%,2.5%),IF(F48*F49*F50/12/(1+'数据-取费表'!F30)&gt;100000,12%,7%)))</f>
        <v>7.0000000000000007E-2</v>
      </c>
      <c r="I58" s="2820" t="s">
        <v>2344</v>
      </c>
      <c r="J58" s="2790" t="e">
        <f ca="1">IF(J55&lt;0.4,0.4,J55)</f>
        <v>#DIV/0!</v>
      </c>
      <c r="K58" s="2800" t="s">
        <v>2349</v>
      </c>
      <c r="L58" s="1823" t="e">
        <f ca="1">ROUND(POWER(1+L52,L47-L48)*(POWER(1+L52,L48)-1)/(POWER(1+L52,L47)-1),4)</f>
        <v>#DIV/0!</v>
      </c>
      <c r="M58" s="3264"/>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4"/>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6.2" thickBot="1">
      <c r="A62" s="804"/>
      <c r="B62" s="783"/>
      <c r="C62" s="69"/>
      <c r="D62" s="805"/>
      <c r="E62" s="774" t="s">
        <v>668</v>
      </c>
      <c r="F62" s="775">
        <f t="shared" ca="1" si="0"/>
        <v>0</v>
      </c>
      <c r="I62" s="2825" t="s">
        <v>2352</v>
      </c>
      <c r="J62" s="2826" t="s">
        <v>2353</v>
      </c>
      <c r="K62" s="2826" t="s">
        <v>2354</v>
      </c>
      <c r="L62" s="2826" t="s">
        <v>2335</v>
      </c>
      <c r="M62" s="2827" t="s">
        <v>2911</v>
      </c>
      <c r="O62" s="2257" t="s">
        <v>2373</v>
      </c>
      <c r="P62" s="2255" t="str">
        <f>K59</f>
        <v>建筑物剩余耐用年限下的土地年期修正系数Kn</v>
      </c>
      <c r="Q62" s="2256" t="e">
        <f ca="1">L59</f>
        <v>#DIV/0!</v>
      </c>
      <c r="R62" s="2259" t="s">
        <v>2382</v>
      </c>
    </row>
    <row r="63" spans="1:18" s="1943" customFormat="1" ht="16.2"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2"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6.2"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6" thickBot="1">
      <c r="A66" s="787" t="s">
        <v>1767</v>
      </c>
      <c r="B66" s="2725" t="s">
        <v>2802</v>
      </c>
      <c r="C66" s="789">
        <f ca="1">C47-C57</f>
        <v>0</v>
      </c>
      <c r="D66" s="2481" t="s">
        <v>694</v>
      </c>
      <c r="E66" s="2480"/>
      <c r="F66" s="809"/>
      <c r="K66" s="1969"/>
      <c r="O66" s="2254" t="s">
        <v>2364</v>
      </c>
      <c r="P66" s="2255" t="s">
        <v>2394</v>
      </c>
      <c r="Q66" s="2256" t="e">
        <f ca="1">C40+J29</f>
        <v>#DIV/0!</v>
      </c>
      <c r="R66" s="2255" t="s">
        <v>2365</v>
      </c>
    </row>
    <row r="67" spans="1:18" s="1943" customFormat="1" ht="19.2"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0.399999999999999" thickBot="1">
      <c r="A68" s="776"/>
      <c r="B68" s="777"/>
      <c r="C68" s="778"/>
      <c r="D68" s="810" t="s">
        <v>1799</v>
      </c>
      <c r="E68" s="774" t="s">
        <v>1775</v>
      </c>
      <c r="F68" s="811">
        <f ca="1">F41</f>
        <v>0</v>
      </c>
      <c r="O68" s="2257" t="s">
        <v>2368</v>
      </c>
      <c r="P68" s="2255" t="s">
        <v>2398</v>
      </c>
      <c r="Q68" s="2261">
        <f ca="1">L51</f>
        <v>0</v>
      </c>
      <c r="R68" s="2262" t="s">
        <v>2401</v>
      </c>
    </row>
    <row r="69" spans="1:18" ht="19.2" thickBot="1">
      <c r="A69" s="780"/>
      <c r="B69" s="781"/>
      <c r="C69" s="782"/>
      <c r="D69" s="805"/>
      <c r="E69" s="774" t="s">
        <v>704</v>
      </c>
      <c r="F69" s="2227"/>
      <c r="O69" s="2257" t="s">
        <v>2369</v>
      </c>
      <c r="P69" s="2263" t="s">
        <v>2383</v>
      </c>
      <c r="Q69" s="2256">
        <f ca="1">ROUND(Q70-Q71*Q72,0)</f>
        <v>0</v>
      </c>
      <c r="R69" s="2259"/>
    </row>
    <row r="70" spans="1:18" ht="16.2"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6.2" thickBot="1">
      <c r="O71" s="2257" t="s">
        <v>2386</v>
      </c>
      <c r="P71" s="2263" t="s">
        <v>2387</v>
      </c>
      <c r="Q71" s="2256">
        <f ca="1">C13</f>
        <v>0</v>
      </c>
      <c r="R71" s="2255" t="s">
        <v>2365</v>
      </c>
    </row>
    <row r="72" spans="1:18" ht="16.2" thickBot="1">
      <c r="O72" s="2257" t="s">
        <v>2388</v>
      </c>
      <c r="P72" s="2263" t="s">
        <v>2389</v>
      </c>
      <c r="Q72" s="2258">
        <f ca="1">J36</f>
        <v>0</v>
      </c>
      <c r="R72" s="2259"/>
    </row>
    <row r="73" spans="1:18" ht="16.2" thickBot="1">
      <c r="O73" s="2257" t="s">
        <v>2371</v>
      </c>
      <c r="P73" s="2255" t="s">
        <v>2378</v>
      </c>
      <c r="Q73" s="2258">
        <f>L52</f>
        <v>0</v>
      </c>
      <c r="R73" s="2259"/>
    </row>
    <row r="74" spans="1:18" ht="19.2" thickBot="1">
      <c r="O74" s="2257" t="s">
        <v>2373</v>
      </c>
      <c r="P74" s="2255" t="s">
        <v>2379</v>
      </c>
      <c r="Q74" s="2256" t="e">
        <f ca="1">L58</f>
        <v>#DIV/0!</v>
      </c>
      <c r="R74" s="2259" t="s">
        <v>2380</v>
      </c>
    </row>
    <row r="75" spans="1:18" ht="16.2" thickBot="1">
      <c r="O75" s="2257" t="s">
        <v>2402</v>
      </c>
      <c r="P75" s="2255" t="str">
        <f>K59</f>
        <v>建筑物剩余耐用年限下的土地年期修正系数Kn</v>
      </c>
      <c r="Q75" s="2256" t="e">
        <f ca="1">L59</f>
        <v>#DIV/0!</v>
      </c>
      <c r="R75" s="2259" t="s">
        <v>2382</v>
      </c>
    </row>
    <row r="76" spans="1:18" ht="16.2"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4"/>
  <cols>
    <col min="1" max="1" width="10.44140625" customWidth="1"/>
    <col min="2" max="2" width="12.88671875" customWidth="1"/>
    <col min="3" max="3" width="8.77734375" customWidth="1"/>
  </cols>
  <sheetData>
    <row r="1" spans="1:9" ht="15.6">
      <c r="A1" s="3551" t="s">
        <v>2453</v>
      </c>
      <c r="B1" s="3552"/>
      <c r="C1" s="3553"/>
      <c r="D1" s="3554">
        <f>SUM(I10,I15,I20,I21,I23)</f>
        <v>0</v>
      </c>
      <c r="E1" s="3554"/>
      <c r="F1" s="3554"/>
      <c r="G1" s="3554"/>
      <c r="H1" s="3554"/>
      <c r="I1" s="3555"/>
    </row>
    <row r="2" spans="1:9">
      <c r="A2" s="3556" t="s">
        <v>2454</v>
      </c>
      <c r="B2" s="3557" t="s">
        <v>2455</v>
      </c>
      <c r="C2" s="3557"/>
      <c r="D2" s="2361" t="s">
        <v>2456</v>
      </c>
      <c r="E2" s="2361" t="s">
        <v>2457</v>
      </c>
      <c r="F2" s="2361" t="s">
        <v>2458</v>
      </c>
      <c r="G2" s="2361" t="s">
        <v>2459</v>
      </c>
      <c r="H2" s="2361" t="s">
        <v>2460</v>
      </c>
      <c r="I2" s="2362" t="s">
        <v>2461</v>
      </c>
    </row>
    <row r="3" spans="1:9">
      <c r="A3" s="3556"/>
      <c r="B3" s="3557" t="s">
        <v>2462</v>
      </c>
      <c r="C3" s="3557"/>
      <c r="D3" s="2363"/>
      <c r="E3" s="2361"/>
      <c r="F3" s="2364"/>
      <c r="G3" s="2364"/>
      <c r="H3" s="2365"/>
      <c r="I3" s="2366">
        <f>ROUND(D3*E3*F3*G3*H3/10000,0)</f>
        <v>0</v>
      </c>
    </row>
    <row r="4" spans="1:9">
      <c r="A4" s="3556"/>
      <c r="B4" s="3557" t="s">
        <v>2463</v>
      </c>
      <c r="C4" s="3557"/>
      <c r="D4" s="2363"/>
      <c r="E4" s="2361"/>
      <c r="F4" s="2364"/>
      <c r="G4" s="2364"/>
      <c r="H4" s="2365"/>
      <c r="I4" s="2366">
        <f t="shared" ref="I4:I9" si="0">ROUND(D4*E4*F4*G4*H4/10000,0)</f>
        <v>0</v>
      </c>
    </row>
    <row r="5" spans="1:9">
      <c r="A5" s="3556"/>
      <c r="B5" s="3557" t="s">
        <v>2464</v>
      </c>
      <c r="C5" s="3557"/>
      <c r="D5" s="2363"/>
      <c r="E5" s="2361"/>
      <c r="F5" s="2364"/>
      <c r="G5" s="2364"/>
      <c r="H5" s="2365"/>
      <c r="I5" s="2366">
        <f t="shared" si="0"/>
        <v>0</v>
      </c>
    </row>
    <row r="6" spans="1:9">
      <c r="A6" s="3556"/>
      <c r="B6" s="3557" t="s">
        <v>2465</v>
      </c>
      <c r="C6" s="3557"/>
      <c r="D6" s="2363"/>
      <c r="E6" s="2361"/>
      <c r="F6" s="2364"/>
      <c r="G6" s="2364"/>
      <c r="H6" s="2365"/>
      <c r="I6" s="2366">
        <f t="shared" si="0"/>
        <v>0</v>
      </c>
    </row>
    <row r="7" spans="1:9">
      <c r="A7" s="3556"/>
      <c r="B7" s="3557" t="s">
        <v>2466</v>
      </c>
      <c r="C7" s="3557"/>
      <c r="D7" s="2363"/>
      <c r="E7" s="2361"/>
      <c r="F7" s="2364"/>
      <c r="G7" s="2364"/>
      <c r="H7" s="2365"/>
      <c r="I7" s="2366">
        <f t="shared" si="0"/>
        <v>0</v>
      </c>
    </row>
    <row r="8" spans="1:9">
      <c r="A8" s="3556"/>
      <c r="B8" s="3557" t="s">
        <v>2467</v>
      </c>
      <c r="C8" s="3557"/>
      <c r="D8" s="2363"/>
      <c r="E8" s="2361"/>
      <c r="F8" s="2364"/>
      <c r="G8" s="2364"/>
      <c r="H8" s="2365"/>
      <c r="I8" s="2366">
        <f t="shared" si="0"/>
        <v>0</v>
      </c>
    </row>
    <row r="9" spans="1:9">
      <c r="A9" s="3556"/>
      <c r="B9" s="3557" t="s">
        <v>2468</v>
      </c>
      <c r="C9" s="3557"/>
      <c r="D9" s="2363"/>
      <c r="E9" s="2361"/>
      <c r="F9" s="2364"/>
      <c r="G9" s="2364"/>
      <c r="H9" s="2365"/>
      <c r="I9" s="2366">
        <f t="shared" si="0"/>
        <v>0</v>
      </c>
    </row>
    <row r="10" spans="1:9">
      <c r="A10" s="3556"/>
      <c r="B10" s="3558" t="s">
        <v>2469</v>
      </c>
      <c r="C10" s="3558"/>
      <c r="D10" s="2367">
        <v>527</v>
      </c>
      <c r="E10" s="2367" t="e">
        <f>ROUND(D1*10000/D10/H9,0)</f>
        <v>#DIV/0!</v>
      </c>
      <c r="F10" s="2368"/>
      <c r="G10" s="2368"/>
      <c r="H10" s="2369"/>
      <c r="I10" s="2370">
        <f>SUM(I3:I9)</f>
        <v>0</v>
      </c>
    </row>
    <row r="11" spans="1:9" ht="15.6">
      <c r="A11" s="3556" t="s">
        <v>2470</v>
      </c>
      <c r="B11" s="3557" t="s">
        <v>2471</v>
      </c>
      <c r="C11" s="3557"/>
      <c r="D11" s="2363" t="s">
        <v>2472</v>
      </c>
      <c r="E11" s="2363" t="s">
        <v>2473</v>
      </c>
      <c r="F11" s="2364" t="s">
        <v>2474</v>
      </c>
      <c r="G11" s="2364" t="s">
        <v>2475</v>
      </c>
      <c r="H11" s="2371" t="s">
        <v>2476</v>
      </c>
      <c r="I11" s="2362" t="s">
        <v>2477</v>
      </c>
    </row>
    <row r="12" spans="1:9">
      <c r="A12" s="3556"/>
      <c r="B12" s="3557" t="s">
        <v>2478</v>
      </c>
      <c r="C12" s="3557"/>
      <c r="D12" s="2363"/>
      <c r="E12" s="2363"/>
      <c r="F12" s="2364"/>
      <c r="G12" s="2365"/>
      <c r="H12" s="2372"/>
      <c r="I12" s="2362">
        <f>ROUND(D12*E12*F12*G12/10000,0)</f>
        <v>0</v>
      </c>
    </row>
    <row r="13" spans="1:9">
      <c r="A13" s="3556"/>
      <c r="B13" s="3557" t="s">
        <v>2479</v>
      </c>
      <c r="C13" s="3557"/>
      <c r="D13" s="2363"/>
      <c r="E13" s="2363"/>
      <c r="F13" s="2364"/>
      <c r="G13" s="2365"/>
      <c r="H13" s="2372"/>
      <c r="I13" s="2362">
        <f>ROUND(D13*E13*F13*G13/10000,0)</f>
        <v>0</v>
      </c>
    </row>
    <row r="14" spans="1:9">
      <c r="A14" s="3556"/>
      <c r="B14" s="3557" t="s">
        <v>2480</v>
      </c>
      <c r="C14" s="3557"/>
      <c r="D14" s="2363"/>
      <c r="E14" s="2363"/>
      <c r="F14" s="2364"/>
      <c r="G14" s="2365"/>
      <c r="H14" s="2372"/>
      <c r="I14" s="2362">
        <f>ROUND(D14*E14*F14*G14/10000,0)</f>
        <v>0</v>
      </c>
    </row>
    <row r="15" spans="1:9">
      <c r="A15" s="3556"/>
      <c r="B15" s="3558" t="s">
        <v>2469</v>
      </c>
      <c r="C15" s="3558"/>
      <c r="D15" s="2367"/>
      <c r="E15" s="2367">
        <f>SUM(E12:E14)</f>
        <v>0</v>
      </c>
      <c r="F15" s="2368"/>
      <c r="G15" s="2365"/>
      <c r="H15" s="2372"/>
      <c r="I15" s="2373">
        <f>SUM(I12:I14)</f>
        <v>0</v>
      </c>
    </row>
    <row r="16" spans="1:9" ht="24">
      <c r="A16" s="3556" t="s">
        <v>2481</v>
      </c>
      <c r="B16" s="3557" t="s">
        <v>2482</v>
      </c>
      <c r="C16" s="3557"/>
      <c r="D16" s="2363" t="s">
        <v>2483</v>
      </c>
      <c r="E16" s="2374" t="s">
        <v>2484</v>
      </c>
      <c r="F16" s="2364" t="s">
        <v>2485</v>
      </c>
      <c r="G16" s="2365" t="s">
        <v>2475</v>
      </c>
      <c r="H16" s="2371" t="s">
        <v>2476</v>
      </c>
      <c r="I16" s="2362" t="s">
        <v>2477</v>
      </c>
    </row>
    <row r="17" spans="1:9" ht="15.6">
      <c r="A17" s="3556"/>
      <c r="B17" s="3557" t="s">
        <v>2486</v>
      </c>
      <c r="C17" s="3557"/>
      <c r="D17" s="2363"/>
      <c r="E17" s="2363"/>
      <c r="F17" s="2364"/>
      <c r="G17" s="2365"/>
      <c r="H17" s="2375"/>
      <c r="I17" s="2376">
        <f>ROUND(D17*E17*F17*G17/10000,0)</f>
        <v>0</v>
      </c>
    </row>
    <row r="18" spans="1:9" ht="15.6">
      <c r="A18" s="3556"/>
      <c r="B18" s="3557" t="s">
        <v>2487</v>
      </c>
      <c r="C18" s="3557"/>
      <c r="D18" s="2363"/>
      <c r="E18" s="2363"/>
      <c r="F18" s="2364"/>
      <c r="G18" s="2365"/>
      <c r="H18" s="2375"/>
      <c r="I18" s="2376">
        <f>ROUND(D18*E18*F18*G18/10000,0)</f>
        <v>0</v>
      </c>
    </row>
    <row r="19" spans="1:9" ht="15.6">
      <c r="A19" s="3556"/>
      <c r="B19" s="3557" t="s">
        <v>2488</v>
      </c>
      <c r="C19" s="3557"/>
      <c r="D19" s="2363"/>
      <c r="E19" s="2363"/>
      <c r="F19" s="2364"/>
      <c r="G19" s="2365"/>
      <c r="H19" s="2375"/>
      <c r="I19" s="2376">
        <f>ROUND(D19*E19*F19*G19/10000,0)</f>
        <v>0</v>
      </c>
    </row>
    <row r="20" spans="1:9">
      <c r="A20" s="3556"/>
      <c r="B20" s="3558" t="s">
        <v>2469</v>
      </c>
      <c r="C20" s="3558"/>
      <c r="D20" s="2367">
        <f>SUM(D17:D19)</f>
        <v>0</v>
      </c>
      <c r="E20" s="2367"/>
      <c r="F20" s="2368"/>
      <c r="G20" s="2365"/>
      <c r="H20" s="2372"/>
      <c r="I20" s="2373">
        <f>SUM(I17:I19)</f>
        <v>0</v>
      </c>
    </row>
    <row r="21" spans="1:9">
      <c r="A21" s="3556" t="s">
        <v>2489</v>
      </c>
      <c r="B21" s="3560"/>
      <c r="C21" s="3560"/>
      <c r="D21" s="3560"/>
      <c r="E21" s="3560"/>
      <c r="F21" s="3560"/>
      <c r="G21" s="3560"/>
      <c r="H21" s="2377">
        <v>0.1</v>
      </c>
      <c r="I21" s="2370">
        <f>ROUND(I10*H21,0)</f>
        <v>0</v>
      </c>
    </row>
    <row r="22" spans="1:9" ht="15.6">
      <c r="A22" s="3561" t="s">
        <v>2490</v>
      </c>
      <c r="B22" s="3562"/>
      <c r="C22" s="3563"/>
      <c r="D22" s="2378" t="s">
        <v>2491</v>
      </c>
      <c r="E22" s="2378" t="s">
        <v>2492</v>
      </c>
      <c r="F22" s="2379" t="s">
        <v>2493</v>
      </c>
      <c r="G22" s="2379" t="s">
        <v>2494</v>
      </c>
      <c r="H22" s="2371" t="s">
        <v>2495</v>
      </c>
      <c r="I22" s="2362" t="s">
        <v>2496</v>
      </c>
    </row>
    <row r="23" spans="1:9" ht="15" thickBot="1">
      <c r="A23" s="3564"/>
      <c r="B23" s="3565"/>
      <c r="C23" s="3566"/>
      <c r="D23" s="2380"/>
      <c r="E23" s="2380"/>
      <c r="F23" s="2380"/>
      <c r="G23" s="2381"/>
      <c r="H23" s="2382"/>
      <c r="I23" s="2383">
        <f>ROUND(E23*D23*F23*(1-G23)/10000,0)</f>
        <v>0</v>
      </c>
    </row>
    <row r="26" spans="1:9">
      <c r="A26" s="2384" t="s">
        <v>2497</v>
      </c>
      <c r="B26" s="2384"/>
      <c r="C26" s="2384"/>
      <c r="D26" s="2384"/>
      <c r="E26" s="3567">
        <f>C27-C30-C31-C32</f>
        <v>0</v>
      </c>
      <c r="F26" s="3567"/>
      <c r="G26" s="3567"/>
      <c r="H26" s="2757" t="s">
        <v>2823</v>
      </c>
    </row>
    <row r="27" spans="1:9">
      <c r="A27" s="2385">
        <v>1</v>
      </c>
      <c r="B27" s="2386" t="s">
        <v>2498</v>
      </c>
      <c r="C27" s="2386"/>
      <c r="D27" s="2386"/>
      <c r="E27" s="3568"/>
      <c r="F27" s="3568"/>
      <c r="G27" s="3568"/>
    </row>
    <row r="28" spans="1:9">
      <c r="A28" s="2387" t="s">
        <v>2499</v>
      </c>
      <c r="B28" s="2386" t="s">
        <v>2500</v>
      </c>
      <c r="C28" s="2386"/>
      <c r="D28" s="2386"/>
      <c r="E28" s="3568"/>
      <c r="F28" s="3568"/>
      <c r="G28" s="3568"/>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59"/>
      <c r="F32" s="3559"/>
      <c r="G32" s="3559"/>
    </row>
    <row r="33" spans="1:7" hidden="1">
      <c r="A33" s="3569" t="s">
        <v>2508</v>
      </c>
      <c r="B33" s="3570"/>
      <c r="C33" s="3570"/>
      <c r="D33" s="3571"/>
      <c r="E33" s="3567"/>
      <c r="F33" s="3567"/>
      <c r="G33" s="3567"/>
    </row>
    <row r="34" spans="1:7" hidden="1">
      <c r="A34" s="2389">
        <v>1</v>
      </c>
      <c r="B34" s="2386" t="s">
        <v>2509</v>
      </c>
      <c r="C34" s="2386"/>
      <c r="D34" s="2386"/>
      <c r="E34" s="3568"/>
      <c r="F34" s="3568"/>
      <c r="G34" s="3568"/>
    </row>
    <row r="35" spans="1:7" hidden="1">
      <c r="A35" s="2389">
        <v>2</v>
      </c>
      <c r="B35" s="2386" t="s">
        <v>2510</v>
      </c>
      <c r="C35" s="2386"/>
      <c r="D35" s="2386"/>
      <c r="E35" s="3568"/>
      <c r="F35" s="3568"/>
      <c r="G35" s="3568"/>
    </row>
    <row r="36" spans="1:7" hidden="1">
      <c r="A36" s="2389">
        <v>3</v>
      </c>
      <c r="B36" s="2386" t="s">
        <v>2511</v>
      </c>
      <c r="C36" s="2386"/>
      <c r="D36" s="2386"/>
      <c r="E36" s="3568"/>
      <c r="F36" s="3568"/>
      <c r="G36" s="3568"/>
    </row>
    <row r="37" spans="1:7" hidden="1">
      <c r="A37" s="2389">
        <v>4</v>
      </c>
      <c r="B37" s="2386" t="s">
        <v>2512</v>
      </c>
      <c r="C37" s="2386"/>
      <c r="D37" s="2386"/>
      <c r="E37" s="3568"/>
      <c r="F37" s="3568"/>
      <c r="G37" s="3568"/>
    </row>
    <row r="38" spans="1:7" hidden="1">
      <c r="A38" s="3569" t="s">
        <v>2513</v>
      </c>
      <c r="B38" s="3570"/>
      <c r="C38" s="3570"/>
      <c r="D38" s="3571"/>
      <c r="E38" s="3567"/>
      <c r="F38" s="3567"/>
      <c r="G38" s="35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67" customWidth="1"/>
    <col min="2" max="2" width="26.6640625" style="2068" customWidth="1"/>
    <col min="3" max="3" width="11.109375" style="2068" customWidth="1"/>
    <col min="4" max="5" width="11.109375" style="2069" customWidth="1"/>
    <col min="6" max="6" width="9.44140625" style="2068" customWidth="1"/>
    <col min="7" max="7" width="31.88671875" style="2068" customWidth="1"/>
    <col min="8" max="25" width="9" style="2070" customWidth="1"/>
    <col min="26" max="254" width="9" style="2068" customWidth="1"/>
    <col min="255" max="16384" width="8.33203125" style="2068"/>
  </cols>
  <sheetData>
    <row r="1" spans="1:25" s="1943" customFormat="1" ht="21">
      <c r="A1" s="415" t="s">
        <v>597</v>
      </c>
      <c r="B1" s="734"/>
      <c r="C1" s="2064"/>
      <c r="D1" s="2064"/>
      <c r="E1" s="2064"/>
      <c r="F1" s="2064"/>
      <c r="G1" s="1991"/>
    </row>
    <row r="2" spans="1:25" s="1943" customFormat="1" ht="18" customHeight="1">
      <c r="A2" s="417" t="s">
        <v>461</v>
      </c>
      <c r="B2" s="419" t="e">
        <f ca="1">C23</f>
        <v>#DIV/0!</v>
      </c>
      <c r="C2" s="3269"/>
      <c r="D2" s="3269"/>
      <c r="E2" s="3269"/>
      <c r="F2" s="3269"/>
      <c r="G2" s="3269"/>
    </row>
    <row r="3" spans="1:25" s="1943" customFormat="1" ht="18" customHeight="1">
      <c r="A3" s="1331" t="s">
        <v>1676</v>
      </c>
      <c r="B3" s="419" t="e">
        <f ca="1">ROUND(B2*10000/'数据-汇总表'!E3,0)</f>
        <v>#DIV/0!</v>
      </c>
      <c r="C3" s="3269"/>
      <c r="D3" s="3269"/>
      <c r="E3" s="3269"/>
      <c r="F3" s="3269"/>
      <c r="G3" s="3269"/>
    </row>
    <row r="4" spans="1:25" s="1943" customFormat="1" ht="18" customHeight="1">
      <c r="A4" s="420" t="s">
        <v>462</v>
      </c>
      <c r="B4" s="421" t="e">
        <f ca="1">ROUND(B2*10000/'数据-汇总表'!D3,0)</f>
        <v>#DIV/0!</v>
      </c>
      <c r="C4" s="3222"/>
      <c r="D4" s="3269"/>
      <c r="E4" s="3269"/>
      <c r="F4" s="3269"/>
      <c r="G4" s="3269"/>
    </row>
    <row r="5" spans="1:25" s="1943" customFormat="1" ht="18" customHeight="1" thickBot="1">
      <c r="A5" s="423"/>
      <c r="B5" s="424" t="e">
        <f ca="1">ROUND(B2/('数据-汇总表'!D3/666.67),0)</f>
        <v>#DIV/0!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0</v>
      </c>
      <c r="D13" s="3272">
        <f>'数据-汇总表'!E6</f>
        <v>0</v>
      </c>
      <c r="E13" s="3272">
        <f>'数据-取费表'!B28</f>
        <v>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6.4">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5.2">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2"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3.8"/>
  <cols>
    <col min="1" max="1" width="10.44140625" style="1291" customWidth="1"/>
    <col min="2" max="2" width="15.77734375" style="1291" customWidth="1"/>
    <col min="3" max="3" width="15.10937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4.4">
      <c r="A4" s="506" t="s">
        <v>515</v>
      </c>
      <c r="B4" s="507"/>
      <c r="C4" s="3461" t="s">
        <v>516</v>
      </c>
      <c r="D4" s="3462"/>
      <c r="E4" s="3495" t="s">
        <v>517</v>
      </c>
      <c r="F4" s="3496"/>
      <c r="G4" s="3461" t="s">
        <v>518</v>
      </c>
      <c r="H4" s="3462"/>
      <c r="I4" s="3461" t="s">
        <v>519</v>
      </c>
      <c r="J4" s="3462"/>
      <c r="K4" s="842" t="s">
        <v>520</v>
      </c>
      <c r="L4" s="2016"/>
      <c r="M4" s="2017"/>
      <c r="N4" s="2017"/>
      <c r="O4" s="2017"/>
      <c r="P4" s="3463" t="s">
        <v>521</v>
      </c>
      <c r="Q4" s="3464"/>
      <c r="R4" s="3469" t="s">
        <v>517</v>
      </c>
      <c r="S4" s="3470"/>
      <c r="T4" s="3469" t="s">
        <v>518</v>
      </c>
      <c r="U4" s="3470"/>
      <c r="V4" s="3456" t="s">
        <v>519</v>
      </c>
      <c r="W4" s="3456"/>
      <c r="X4" s="1502"/>
      <c r="Y4" s="3469" t="s">
        <v>521</v>
      </c>
      <c r="Z4" s="3470"/>
      <c r="AA4" s="3458" t="s">
        <v>517</v>
      </c>
      <c r="AB4" s="3458" t="s">
        <v>518</v>
      </c>
      <c r="AC4" s="3458" t="s">
        <v>519</v>
      </c>
    </row>
    <row r="5" spans="1:29">
      <c r="A5" s="509"/>
      <c r="B5" s="510"/>
      <c r="C5" s="3477" t="s">
        <v>2898</v>
      </c>
      <c r="D5" s="3478"/>
      <c r="E5" s="3497" t="s">
        <v>2899</v>
      </c>
      <c r="F5" s="3498"/>
      <c r="G5" s="3477" t="s">
        <v>2900</v>
      </c>
      <c r="H5" s="3478"/>
      <c r="I5" s="3477" t="s">
        <v>2901</v>
      </c>
      <c r="J5" s="3478"/>
      <c r="K5" s="843"/>
      <c r="L5" s="2016"/>
      <c r="M5" s="2017"/>
      <c r="N5" s="2017"/>
      <c r="O5" s="2017"/>
      <c r="P5" s="3465"/>
      <c r="Q5" s="3466"/>
      <c r="R5" s="3471"/>
      <c r="S5" s="3472"/>
      <c r="T5" s="3471"/>
      <c r="U5" s="3472"/>
      <c r="V5" s="3456"/>
      <c r="W5" s="3456"/>
      <c r="X5" s="1502"/>
      <c r="Y5" s="3471"/>
      <c r="Z5" s="3472"/>
      <c r="AA5" s="3459"/>
      <c r="AB5" s="3459"/>
      <c r="AC5" s="3459"/>
    </row>
    <row r="6" spans="1:29" ht="15" thickBot="1">
      <c r="A6" s="511"/>
      <c r="B6" s="512"/>
      <c r="C6" s="3475" t="s">
        <v>2902</v>
      </c>
      <c r="D6" s="3476"/>
      <c r="E6" s="3493" t="s">
        <v>2902</v>
      </c>
      <c r="F6" s="3494"/>
      <c r="G6" s="3475" t="s">
        <v>2902</v>
      </c>
      <c r="H6" s="3476"/>
      <c r="I6" s="3475" t="s">
        <v>2902</v>
      </c>
      <c r="J6" s="3476"/>
      <c r="K6" s="843" t="s">
        <v>522</v>
      </c>
      <c r="L6" s="2016"/>
      <c r="M6" s="2017"/>
      <c r="N6" s="2017"/>
      <c r="O6" s="2017"/>
      <c r="P6" s="3467"/>
      <c r="Q6" s="3468"/>
      <c r="R6" s="3471"/>
      <c r="S6" s="3472"/>
      <c r="T6" s="3473"/>
      <c r="U6" s="3474"/>
      <c r="V6" s="3456"/>
      <c r="W6" s="3456"/>
      <c r="X6" s="1502"/>
      <c r="Y6" s="3473"/>
      <c r="Z6" s="3474"/>
      <c r="AA6" s="3460"/>
      <c r="AB6" s="3460"/>
      <c r="AC6" s="3460"/>
    </row>
    <row r="7" spans="1:29" s="1203" customFormat="1" ht="15" thickBot="1">
      <c r="A7" s="2630"/>
      <c r="B7" s="2637" t="s">
        <v>523</v>
      </c>
      <c r="C7" s="513">
        <f>'数据-取费表'!B2</f>
        <v>0</v>
      </c>
      <c r="D7" s="514">
        <v>100</v>
      </c>
      <c r="E7" s="515"/>
      <c r="F7" s="516">
        <f>SUMIF(58:58,YEAR(E7)&amp;"-"&amp;MONTH(E7),59:59)</f>
        <v>100</v>
      </c>
      <c r="G7" s="517"/>
      <c r="H7" s="514">
        <f>SUMIF(58:58,YEAR(G7)&amp;"-"&amp;MONTH(G7),59:59)</f>
        <v>100</v>
      </c>
      <c r="I7" s="517"/>
      <c r="J7" s="514">
        <f>SUMIF(58:58,YEAR(I7)&amp;"-"&amp;MONTH(I7),59:59)</f>
        <v>100</v>
      </c>
      <c r="K7" s="844"/>
      <c r="L7" s="2018"/>
      <c r="M7" s="2019"/>
      <c r="N7" s="2019"/>
      <c r="O7" s="2019"/>
      <c r="P7" s="3486" t="s">
        <v>524</v>
      </c>
      <c r="Q7" s="3488"/>
      <c r="R7" s="1503" t="s">
        <v>13</v>
      </c>
      <c r="S7" s="1504">
        <f t="shared" ref="S7:S15" si="0">F7</f>
        <v>100</v>
      </c>
      <c r="T7" s="1503" t="s">
        <v>13</v>
      </c>
      <c r="U7" s="1504">
        <f t="shared" ref="U7:U15" si="1">H7</f>
        <v>100</v>
      </c>
      <c r="V7" s="1503" t="s">
        <v>13</v>
      </c>
      <c r="W7" s="1504">
        <f t="shared" ref="W7:W15" si="2">J7</f>
        <v>100</v>
      </c>
      <c r="X7" s="1505"/>
      <c r="Y7" s="3486" t="s">
        <v>524</v>
      </c>
      <c r="Z7" s="3487"/>
      <c r="AA7" s="1506">
        <f>D7/F7</f>
        <v>1</v>
      </c>
      <c r="AB7" s="1506">
        <f>D7/H7</f>
        <v>1</v>
      </c>
      <c r="AC7" s="1506">
        <f>D7/J7</f>
        <v>1</v>
      </c>
    </row>
    <row r="8" spans="1:29" s="1203" customFormat="1" ht="1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86" t="s">
        <v>527</v>
      </c>
      <c r="Q8" s="3487"/>
      <c r="R8" s="1503" t="s">
        <v>13</v>
      </c>
      <c r="S8" s="1504">
        <f t="shared" si="0"/>
        <v>0</v>
      </c>
      <c r="T8" s="1503" t="s">
        <v>13</v>
      </c>
      <c r="U8" s="1504">
        <f t="shared" si="1"/>
        <v>0</v>
      </c>
      <c r="V8" s="1503" t="s">
        <v>13</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4.4">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55" t="s">
        <v>529</v>
      </c>
      <c r="Q9" s="1134" t="str">
        <f t="shared" ref="Q9:Q15" si="6">B9</f>
        <v>用途</v>
      </c>
      <c r="R9" s="1503" t="s">
        <v>8</v>
      </c>
      <c r="S9" s="1504">
        <f t="shared" si="0"/>
        <v>100</v>
      </c>
      <c r="T9" s="1503" t="s">
        <v>8</v>
      </c>
      <c r="U9" s="1504">
        <f t="shared" si="1"/>
        <v>100</v>
      </c>
      <c r="V9" s="1503" t="s">
        <v>8</v>
      </c>
      <c r="W9" s="1504">
        <f t="shared" si="2"/>
        <v>100</v>
      </c>
      <c r="X9" s="1505"/>
      <c r="Y9" s="3401"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55"/>
      <c r="Q11" s="1134" t="str">
        <f t="shared" si="6"/>
        <v>容积率</v>
      </c>
      <c r="R11" s="1503" t="s">
        <v>11</v>
      </c>
      <c r="S11" s="1504" t="e">
        <f t="shared" si="0"/>
        <v>#N/A</v>
      </c>
      <c r="T11" s="1503" t="s">
        <v>11</v>
      </c>
      <c r="U11" s="1504" t="e">
        <f t="shared" si="1"/>
        <v>#N/A</v>
      </c>
      <c r="V11" s="1503" t="s">
        <v>11</v>
      </c>
      <c r="W11" s="1504" t="e">
        <f t="shared" si="2"/>
        <v>#N/A</v>
      </c>
      <c r="X11" s="1505"/>
      <c r="Y11" s="340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55"/>
      <c r="Q12" s="1134">
        <f t="shared" si="6"/>
        <v>111</v>
      </c>
      <c r="R12" s="1503" t="s">
        <v>11</v>
      </c>
      <c r="S12" s="1504">
        <f t="shared" si="0"/>
        <v>100</v>
      </c>
      <c r="T12" s="1503" t="s">
        <v>11</v>
      </c>
      <c r="U12" s="1504">
        <f t="shared" si="1"/>
        <v>100</v>
      </c>
      <c r="V12" s="1503" t="s">
        <v>11</v>
      </c>
      <c r="W12" s="1504">
        <f t="shared" si="2"/>
        <v>100</v>
      </c>
      <c r="X12" s="1505"/>
      <c r="Y12" s="3401"/>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55"/>
      <c r="Q13" s="1134">
        <f t="shared" si="6"/>
        <v>111</v>
      </c>
      <c r="R13" s="1503" t="s">
        <v>11</v>
      </c>
      <c r="S13" s="1504">
        <f t="shared" si="0"/>
        <v>100</v>
      </c>
      <c r="T13" s="1503" t="s">
        <v>11</v>
      </c>
      <c r="U13" s="1504">
        <f t="shared" si="1"/>
        <v>100</v>
      </c>
      <c r="V13" s="1503" t="s">
        <v>11</v>
      </c>
      <c r="W13" s="1504">
        <f t="shared" si="2"/>
        <v>100</v>
      </c>
      <c r="X13" s="1505"/>
      <c r="Y13" s="3401"/>
      <c r="Z13" s="1133">
        <f t="shared" si="7"/>
        <v>111</v>
      </c>
      <c r="AA13" s="1506">
        <f t="shared" si="3"/>
        <v>1</v>
      </c>
      <c r="AB13" s="1506">
        <f t="shared" si="4"/>
        <v>1</v>
      </c>
      <c r="AC13" s="1506">
        <f t="shared" si="5"/>
        <v>1</v>
      </c>
    </row>
    <row r="14" spans="1:29" ht="15.6"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55"/>
      <c r="Q14" s="1134">
        <f t="shared" si="6"/>
        <v>111</v>
      </c>
      <c r="R14" s="1503" t="s">
        <v>11</v>
      </c>
      <c r="S14" s="1504">
        <f t="shared" si="0"/>
        <v>100</v>
      </c>
      <c r="T14" s="1503" t="s">
        <v>11</v>
      </c>
      <c r="U14" s="1504">
        <f t="shared" si="1"/>
        <v>100</v>
      </c>
      <c r="V14" s="1503" t="s">
        <v>11</v>
      </c>
      <c r="W14" s="1504">
        <f t="shared" si="2"/>
        <v>100</v>
      </c>
      <c r="X14" s="1505"/>
      <c r="Y14" s="3401"/>
      <c r="Z14" s="1133">
        <f t="shared" si="7"/>
        <v>111</v>
      </c>
      <c r="AA14" s="1506">
        <f t="shared" si="3"/>
        <v>1</v>
      </c>
      <c r="AB14" s="1506">
        <f t="shared" si="4"/>
        <v>1</v>
      </c>
      <c r="AC14" s="1506">
        <f t="shared" si="5"/>
        <v>1</v>
      </c>
    </row>
    <row r="15" spans="1:29" ht="96.6">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89" t="s">
        <v>534</v>
      </c>
      <c r="Q15" s="1507" t="str">
        <f t="shared" si="6"/>
        <v>居住社区成熟度</v>
      </c>
      <c r="R15" s="1508" t="s">
        <v>11</v>
      </c>
      <c r="S15" s="1509">
        <f t="shared" si="0"/>
        <v>100</v>
      </c>
      <c r="T15" s="1508" t="s">
        <v>11</v>
      </c>
      <c r="U15" s="1509">
        <f t="shared" si="1"/>
        <v>100</v>
      </c>
      <c r="V15" s="1508" t="s">
        <v>11</v>
      </c>
      <c r="W15" s="1509">
        <f t="shared" si="2"/>
        <v>100</v>
      </c>
      <c r="X15" s="1502"/>
      <c r="Y15" s="3489"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0"/>
      <c r="Q16" s="1507"/>
      <c r="R16" s="1508"/>
      <c r="S16" s="1509"/>
      <c r="T16" s="1508"/>
      <c r="U16" s="1509"/>
      <c r="V16" s="1508"/>
      <c r="W16" s="1509"/>
      <c r="X16" s="1502"/>
      <c r="Y16" s="3490"/>
      <c r="Z16" s="1510"/>
      <c r="AA16" s="1511">
        <v>1</v>
      </c>
      <c r="AB16" s="1511">
        <v>1</v>
      </c>
      <c r="AC16" s="1511">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0"/>
      <c r="Q17" s="1507" t="str">
        <f>B17</f>
        <v>交通便捷度</v>
      </c>
      <c r="R17" s="1508" t="s">
        <v>11</v>
      </c>
      <c r="S17" s="1509">
        <f>F17</f>
        <v>100</v>
      </c>
      <c r="T17" s="1508" t="s">
        <v>11</v>
      </c>
      <c r="U17" s="1509">
        <f>H17</f>
        <v>100</v>
      </c>
      <c r="V17" s="1508" t="s">
        <v>11</v>
      </c>
      <c r="W17" s="1509">
        <f>J17</f>
        <v>100</v>
      </c>
      <c r="X17" s="1502"/>
      <c r="Y17" s="349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0"/>
      <c r="Q18" s="1507"/>
      <c r="R18" s="1508"/>
      <c r="S18" s="1509"/>
      <c r="T18" s="1508"/>
      <c r="U18" s="1509"/>
      <c r="V18" s="1508"/>
      <c r="W18" s="1509"/>
      <c r="X18" s="1502"/>
      <c r="Y18" s="3490"/>
      <c r="Z18" s="1510"/>
      <c r="AA18" s="1511">
        <v>1</v>
      </c>
      <c r="AB18" s="1511">
        <v>1</v>
      </c>
      <c r="AC18" s="1511">
        <v>1</v>
      </c>
    </row>
    <row r="19" spans="1:29" ht="41.4">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0"/>
      <c r="Q19" s="1507" t="str">
        <f>B19</f>
        <v>公共配套设施</v>
      </c>
      <c r="R19" s="1508" t="s">
        <v>11</v>
      </c>
      <c r="S19" s="1509">
        <f>F19</f>
        <v>100</v>
      </c>
      <c r="T19" s="1508" t="s">
        <v>11</v>
      </c>
      <c r="U19" s="1509">
        <f>H19</f>
        <v>100</v>
      </c>
      <c r="V19" s="1508" t="s">
        <v>11</v>
      </c>
      <c r="W19" s="1509">
        <f>J19</f>
        <v>100</v>
      </c>
      <c r="X19" s="1502"/>
      <c r="Y19" s="349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0"/>
      <c r="Q20" s="1507"/>
      <c r="R20" s="1508"/>
      <c r="S20" s="1509"/>
      <c r="T20" s="1508"/>
      <c r="U20" s="1509"/>
      <c r="V20" s="1508"/>
      <c r="W20" s="1509"/>
      <c r="X20" s="1502"/>
      <c r="Y20" s="3490"/>
      <c r="Z20" s="1510"/>
      <c r="AA20" s="1511">
        <v>1</v>
      </c>
      <c r="AB20" s="1511">
        <v>1</v>
      </c>
      <c r="AC20" s="1511">
        <v>1</v>
      </c>
    </row>
    <row r="21" spans="1:29" ht="27.6">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0"/>
      <c r="Q21" s="2430" t="str">
        <f>B21</f>
        <v>基础设施水平</v>
      </c>
      <c r="R21" s="1508" t="s">
        <v>11</v>
      </c>
      <c r="S21" s="1509">
        <f>F21</f>
        <v>100</v>
      </c>
      <c r="T21" s="1508" t="s">
        <v>11</v>
      </c>
      <c r="U21" s="1509">
        <f>H21</f>
        <v>100</v>
      </c>
      <c r="V21" s="1508" t="s">
        <v>11</v>
      </c>
      <c r="W21" s="1509">
        <f>J21</f>
        <v>100</v>
      </c>
      <c r="X21" s="2432"/>
      <c r="Y21" s="349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0"/>
      <c r="Q22" s="2430"/>
      <c r="R22" s="1508"/>
      <c r="S22" s="1509"/>
      <c r="T22" s="1508"/>
      <c r="U22" s="1509"/>
      <c r="V22" s="1508"/>
      <c r="W22" s="1509"/>
      <c r="X22" s="2432"/>
      <c r="Y22" s="3490"/>
      <c r="Z22" s="2431"/>
      <c r="AA22" s="1511">
        <v>1</v>
      </c>
      <c r="AB22" s="1511">
        <v>1</v>
      </c>
      <c r="AC22" s="1511">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0"/>
      <c r="Q23" s="1507" t="str">
        <f>B23</f>
        <v>自然及人文环境</v>
      </c>
      <c r="R23" s="1508" t="s">
        <v>11</v>
      </c>
      <c r="S23" s="1509">
        <f>F23</f>
        <v>100</v>
      </c>
      <c r="T23" s="1508" t="s">
        <v>11</v>
      </c>
      <c r="U23" s="1509">
        <f>H23</f>
        <v>100</v>
      </c>
      <c r="V23" s="1508" t="s">
        <v>11</v>
      </c>
      <c r="W23" s="1509">
        <f>J23</f>
        <v>100</v>
      </c>
      <c r="X23" s="1502"/>
      <c r="Y23" s="349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0"/>
      <c r="Q24" s="1507"/>
      <c r="R24" s="1508"/>
      <c r="S24" s="1509"/>
      <c r="T24" s="1508"/>
      <c r="U24" s="1509"/>
      <c r="V24" s="1508"/>
      <c r="W24" s="1509"/>
      <c r="X24" s="1502"/>
      <c r="Y24" s="3490"/>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0"/>
      <c r="Q25" s="1507" t="str">
        <f t="shared" ref="Q25:Q46" si="11">B25</f>
        <v>楼层-1</v>
      </c>
      <c r="R25" s="1508" t="s">
        <v>11</v>
      </c>
      <c r="S25" s="1509">
        <f>F25</f>
        <v>100</v>
      </c>
      <c r="T25" s="1508" t="s">
        <v>11</v>
      </c>
      <c r="U25" s="1509">
        <f>H25</f>
        <v>100</v>
      </c>
      <c r="V25" s="1508" t="s">
        <v>11</v>
      </c>
      <c r="W25" s="1509">
        <f>J25</f>
        <v>100</v>
      </c>
      <c r="X25" s="1502"/>
      <c r="Y25" s="3490"/>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0"/>
      <c r="Q26" s="1507" t="str">
        <f t="shared" si="11"/>
        <v>朝向</v>
      </c>
      <c r="R26" s="1508" t="s">
        <v>11</v>
      </c>
      <c r="S26" s="1509">
        <f>F26</f>
        <v>100</v>
      </c>
      <c r="T26" s="1508" t="s">
        <v>11</v>
      </c>
      <c r="U26" s="1509">
        <f>H26</f>
        <v>100</v>
      </c>
      <c r="V26" s="1508" t="s">
        <v>11</v>
      </c>
      <c r="W26" s="1509">
        <f>J26</f>
        <v>100</v>
      </c>
      <c r="X26" s="1502"/>
      <c r="Y26" s="3490"/>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0"/>
      <c r="Q27" s="1134" t="str">
        <f t="shared" si="11"/>
        <v>道路级别</v>
      </c>
      <c r="R27" s="1503" t="s">
        <v>11</v>
      </c>
      <c r="S27" s="1504">
        <f>F27</f>
        <v>100</v>
      </c>
      <c r="T27" s="1503" t="s">
        <v>11</v>
      </c>
      <c r="U27" s="1504">
        <f>H27</f>
        <v>100</v>
      </c>
      <c r="V27" s="1503" t="s">
        <v>11</v>
      </c>
      <c r="W27" s="1504">
        <f>J27</f>
        <v>100</v>
      </c>
      <c r="X27" s="1505"/>
      <c r="Y27" s="349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0"/>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0"/>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0"/>
      <c r="Q29" s="1507">
        <f t="shared" si="11"/>
        <v>111</v>
      </c>
      <c r="R29" s="1508" t="s">
        <v>11</v>
      </c>
      <c r="S29" s="1509">
        <f t="shared" si="12"/>
        <v>100</v>
      </c>
      <c r="T29" s="1508" t="s">
        <v>11</v>
      </c>
      <c r="U29" s="1509">
        <f t="shared" si="13"/>
        <v>100</v>
      </c>
      <c r="V29" s="1508" t="s">
        <v>11</v>
      </c>
      <c r="W29" s="1509">
        <f t="shared" si="14"/>
        <v>100</v>
      </c>
      <c r="X29" s="1502"/>
      <c r="Y29" s="349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0"/>
      <c r="Q30" s="1507">
        <f t="shared" si="11"/>
        <v>111</v>
      </c>
      <c r="R30" s="1508" t="s">
        <v>11</v>
      </c>
      <c r="S30" s="1509">
        <f t="shared" si="12"/>
        <v>100</v>
      </c>
      <c r="T30" s="1508" t="s">
        <v>11</v>
      </c>
      <c r="U30" s="1509">
        <f t="shared" si="13"/>
        <v>100</v>
      </c>
      <c r="V30" s="1508" t="s">
        <v>11</v>
      </c>
      <c r="W30" s="1509">
        <f t="shared" si="14"/>
        <v>100</v>
      </c>
      <c r="X30" s="1502"/>
      <c r="Y30" s="3490"/>
      <c r="Z30" s="1510">
        <f t="shared" si="15"/>
        <v>111</v>
      </c>
      <c r="AA30" s="1511">
        <f t="shared" si="3"/>
        <v>1</v>
      </c>
      <c r="AB30" s="1511">
        <f t="shared" si="4"/>
        <v>1</v>
      </c>
      <c r="AC30" s="1511">
        <f t="shared" si="5"/>
        <v>1</v>
      </c>
    </row>
    <row r="31" spans="1:29" ht="15.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0"/>
      <c r="Q31" s="1507">
        <f t="shared" si="11"/>
        <v>111</v>
      </c>
      <c r="R31" s="1508" t="s">
        <v>11</v>
      </c>
      <c r="S31" s="1509">
        <f t="shared" si="12"/>
        <v>100</v>
      </c>
      <c r="T31" s="1508" t="s">
        <v>11</v>
      </c>
      <c r="U31" s="1509">
        <f t="shared" si="13"/>
        <v>100</v>
      </c>
      <c r="V31" s="1508" t="s">
        <v>11</v>
      </c>
      <c r="W31" s="1509">
        <f t="shared" si="14"/>
        <v>100</v>
      </c>
      <c r="X31" s="1502"/>
      <c r="Y31" s="3490"/>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1" t="s">
        <v>544</v>
      </c>
      <c r="Q32" s="1507" t="str">
        <f t="shared" si="11"/>
        <v>建筑类型</v>
      </c>
      <c r="R32" s="1508" t="s">
        <v>11</v>
      </c>
      <c r="S32" s="1509">
        <f t="shared" si="12"/>
        <v>100</v>
      </c>
      <c r="T32" s="1508" t="s">
        <v>11</v>
      </c>
      <c r="U32" s="1509">
        <f t="shared" si="13"/>
        <v>100</v>
      </c>
      <c r="V32" s="1508" t="s">
        <v>11</v>
      </c>
      <c r="W32" s="1509">
        <f t="shared" si="14"/>
        <v>100</v>
      </c>
      <c r="X32" s="1502"/>
      <c r="Y32" s="3492"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2"/>
      <c r="Q33" s="1536" t="str">
        <f t="shared" si="11"/>
        <v>项目建筑规模</v>
      </c>
      <c r="R33" s="1512" t="s">
        <v>11</v>
      </c>
      <c r="S33" s="1513" t="e">
        <f t="shared" si="12"/>
        <v>#N/A</v>
      </c>
      <c r="T33" s="1512" t="s">
        <v>11</v>
      </c>
      <c r="U33" s="1513" t="e">
        <f t="shared" si="13"/>
        <v>#N/A</v>
      </c>
      <c r="V33" s="1512" t="s">
        <v>11</v>
      </c>
      <c r="W33" s="1513" t="e">
        <f t="shared" si="14"/>
        <v>#N/A</v>
      </c>
      <c r="X33" s="1514"/>
      <c r="Y33" s="349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2"/>
      <c r="Q34" s="1507" t="str">
        <f t="shared" si="11"/>
        <v>建筑结构</v>
      </c>
      <c r="R34" s="1508" t="s">
        <v>11</v>
      </c>
      <c r="S34" s="1509">
        <f t="shared" si="12"/>
        <v>100</v>
      </c>
      <c r="T34" s="1508" t="s">
        <v>11</v>
      </c>
      <c r="U34" s="1509">
        <f t="shared" si="13"/>
        <v>100</v>
      </c>
      <c r="V34" s="1508" t="s">
        <v>11</v>
      </c>
      <c r="W34" s="1509">
        <f t="shared" si="14"/>
        <v>100</v>
      </c>
      <c r="X34" s="1502"/>
      <c r="Y34" s="3492"/>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2"/>
      <c r="Q35" s="1507" t="str">
        <f t="shared" si="11"/>
        <v>建筑品质</v>
      </c>
      <c r="R35" s="1508" t="s">
        <v>11</v>
      </c>
      <c r="S35" s="1509">
        <f t="shared" si="12"/>
        <v>100</v>
      </c>
      <c r="T35" s="1508" t="s">
        <v>11</v>
      </c>
      <c r="U35" s="1509">
        <f t="shared" si="13"/>
        <v>100</v>
      </c>
      <c r="V35" s="1508" t="s">
        <v>11</v>
      </c>
      <c r="W35" s="1509">
        <f t="shared" si="14"/>
        <v>100</v>
      </c>
      <c r="X35" s="1502"/>
      <c r="Y35" s="3492"/>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2"/>
      <c r="Q36" s="1507" t="str">
        <f t="shared" si="11"/>
        <v>公共部分装修</v>
      </c>
      <c r="R36" s="1508" t="s">
        <v>11</v>
      </c>
      <c r="S36" s="1509">
        <f t="shared" si="12"/>
        <v>100</v>
      </c>
      <c r="T36" s="1508" t="s">
        <v>11</v>
      </c>
      <c r="U36" s="1509">
        <f t="shared" si="13"/>
        <v>100</v>
      </c>
      <c r="V36" s="1508" t="s">
        <v>11</v>
      </c>
      <c r="W36" s="1509">
        <f t="shared" si="14"/>
        <v>100</v>
      </c>
      <c r="X36" s="1502"/>
      <c r="Y36" s="3492"/>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2"/>
      <c r="Q37" s="1134" t="str">
        <f t="shared" si="11"/>
        <v>成新度</v>
      </c>
      <c r="R37" s="1503" t="s">
        <v>11</v>
      </c>
      <c r="S37" s="1504" t="e">
        <f t="shared" si="12"/>
        <v>#N/A</v>
      </c>
      <c r="T37" s="1503" t="s">
        <v>11</v>
      </c>
      <c r="U37" s="1504" t="e">
        <f t="shared" si="13"/>
        <v>#N/A</v>
      </c>
      <c r="V37" s="1503" t="s">
        <v>11</v>
      </c>
      <c r="W37" s="1504" t="e">
        <f t="shared" si="14"/>
        <v>#N/A</v>
      </c>
      <c r="X37" s="1505"/>
      <c r="Y37" s="3492"/>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2" t="s">
        <v>544</v>
      </c>
      <c r="Q38" s="1507" t="str">
        <f t="shared" si="11"/>
        <v>物业管理</v>
      </c>
      <c r="R38" s="1508" t="s">
        <v>11</v>
      </c>
      <c r="S38" s="1509">
        <f t="shared" si="12"/>
        <v>100</v>
      </c>
      <c r="T38" s="1508" t="s">
        <v>11</v>
      </c>
      <c r="U38" s="1509">
        <f t="shared" si="13"/>
        <v>100</v>
      </c>
      <c r="V38" s="1508" t="s">
        <v>11</v>
      </c>
      <c r="W38" s="1509">
        <f t="shared" si="14"/>
        <v>100</v>
      </c>
      <c r="X38" s="1502"/>
      <c r="Y38" s="3492"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2"/>
      <c r="Q39" s="1507" t="str">
        <f t="shared" si="11"/>
        <v>市政基础设施</v>
      </c>
      <c r="R39" s="1508" t="s">
        <v>11</v>
      </c>
      <c r="S39" s="1509">
        <f t="shared" si="12"/>
        <v>100</v>
      </c>
      <c r="T39" s="1508" t="s">
        <v>11</v>
      </c>
      <c r="U39" s="1509">
        <f t="shared" si="13"/>
        <v>100</v>
      </c>
      <c r="V39" s="1508" t="s">
        <v>11</v>
      </c>
      <c r="W39" s="1509">
        <f t="shared" si="14"/>
        <v>100</v>
      </c>
      <c r="X39" s="1502"/>
      <c r="Y39" s="3492"/>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2"/>
      <c r="Q40" s="1507" t="str">
        <f t="shared" si="11"/>
        <v>房型</v>
      </c>
      <c r="R40" s="1508" t="s">
        <v>11</v>
      </c>
      <c r="S40" s="1509">
        <f t="shared" si="12"/>
        <v>100</v>
      </c>
      <c r="T40" s="1508" t="s">
        <v>11</v>
      </c>
      <c r="U40" s="1509">
        <f t="shared" si="13"/>
        <v>100</v>
      </c>
      <c r="V40" s="1508" t="s">
        <v>11</v>
      </c>
      <c r="W40" s="1509">
        <f t="shared" si="14"/>
        <v>100</v>
      </c>
      <c r="X40" s="1502"/>
      <c r="Y40" s="3492"/>
      <c r="Z40" s="1510" t="str">
        <f t="shared" si="15"/>
        <v>房型</v>
      </c>
      <c r="AA40" s="1511">
        <f t="shared" si="3"/>
        <v>1</v>
      </c>
      <c r="AB40" s="1511">
        <f t="shared" si="4"/>
        <v>1</v>
      </c>
      <c r="AC40" s="1511">
        <f t="shared" si="5"/>
        <v>1</v>
      </c>
    </row>
    <row r="41" spans="1:29" s="1293" customFormat="1" ht="28.8">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2"/>
      <c r="Q41" s="1536" t="str">
        <f t="shared" si="11"/>
        <v>单套/主力户型建筑面积</v>
      </c>
      <c r="R41" s="1512" t="s">
        <v>11</v>
      </c>
      <c r="S41" s="1513">
        <f t="shared" si="12"/>
        <v>100</v>
      </c>
      <c r="T41" s="1512" t="s">
        <v>11</v>
      </c>
      <c r="U41" s="1513">
        <f t="shared" si="13"/>
        <v>100</v>
      </c>
      <c r="V41" s="1512" t="s">
        <v>11</v>
      </c>
      <c r="W41" s="1513">
        <f t="shared" si="14"/>
        <v>100</v>
      </c>
      <c r="X41" s="1514"/>
      <c r="Y41" s="3492"/>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2"/>
      <c r="Q42" s="1507" t="str">
        <f t="shared" si="11"/>
        <v>内部装修</v>
      </c>
      <c r="R42" s="1508" t="s">
        <v>11</v>
      </c>
      <c r="S42" s="1509">
        <f t="shared" si="12"/>
        <v>100</v>
      </c>
      <c r="T42" s="1508" t="s">
        <v>11</v>
      </c>
      <c r="U42" s="1509">
        <f t="shared" si="13"/>
        <v>100</v>
      </c>
      <c r="V42" s="1508" t="s">
        <v>11</v>
      </c>
      <c r="W42" s="1509">
        <f t="shared" si="14"/>
        <v>100</v>
      </c>
      <c r="X42" s="1502"/>
      <c r="Y42" s="3492"/>
      <c r="Z42" s="1510" t="str">
        <f t="shared" si="15"/>
        <v>内部装修</v>
      </c>
      <c r="AA42" s="1511">
        <f t="shared" si="3"/>
        <v>1</v>
      </c>
      <c r="AB42" s="1511">
        <f t="shared" si="4"/>
        <v>1</v>
      </c>
      <c r="AC42" s="1511">
        <f t="shared" si="5"/>
        <v>1</v>
      </c>
    </row>
    <row r="43" spans="1:29" ht="28.8">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2"/>
      <c r="Q43" s="1507" t="str">
        <f t="shared" si="11"/>
        <v>内部装修维护情况</v>
      </c>
      <c r="R43" s="1508" t="s">
        <v>11</v>
      </c>
      <c r="S43" s="1509">
        <f t="shared" si="12"/>
        <v>100</v>
      </c>
      <c r="T43" s="1508" t="s">
        <v>11</v>
      </c>
      <c r="U43" s="1509">
        <f t="shared" si="13"/>
        <v>100</v>
      </c>
      <c r="V43" s="1508" t="s">
        <v>11</v>
      </c>
      <c r="W43" s="1509">
        <f t="shared" si="14"/>
        <v>100</v>
      </c>
      <c r="X43" s="1502"/>
      <c r="Y43" s="349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2"/>
      <c r="Q44" s="1134">
        <f t="shared" si="11"/>
        <v>111</v>
      </c>
      <c r="R44" s="1503" t="s">
        <v>11</v>
      </c>
      <c r="S44" s="1504">
        <f t="shared" si="12"/>
        <v>100</v>
      </c>
      <c r="T44" s="1503" t="s">
        <v>11</v>
      </c>
      <c r="U44" s="1504">
        <f t="shared" si="13"/>
        <v>100</v>
      </c>
      <c r="V44" s="1503" t="s">
        <v>11</v>
      </c>
      <c r="W44" s="1504">
        <f t="shared" si="14"/>
        <v>100</v>
      </c>
      <c r="X44" s="1505"/>
      <c r="Y44" s="349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2"/>
      <c r="Q45" s="1507">
        <f t="shared" si="11"/>
        <v>111</v>
      </c>
      <c r="R45" s="1508" t="s">
        <v>11</v>
      </c>
      <c r="S45" s="1509">
        <f t="shared" si="12"/>
        <v>100</v>
      </c>
      <c r="T45" s="1508" t="s">
        <v>11</v>
      </c>
      <c r="U45" s="1509">
        <f t="shared" si="13"/>
        <v>100</v>
      </c>
      <c r="V45" s="1508" t="s">
        <v>11</v>
      </c>
      <c r="W45" s="1509">
        <f t="shared" si="14"/>
        <v>100</v>
      </c>
      <c r="X45" s="1502"/>
      <c r="Y45" s="3492"/>
      <c r="Z45" s="1510">
        <f t="shared" si="15"/>
        <v>111</v>
      </c>
      <c r="AA45" s="1511">
        <f t="shared" si="3"/>
        <v>1</v>
      </c>
      <c r="AB45" s="1511">
        <f t="shared" si="4"/>
        <v>1</v>
      </c>
      <c r="AC45" s="1511">
        <f t="shared" si="5"/>
        <v>1</v>
      </c>
    </row>
    <row r="46" spans="1:29" ht="15.6"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4"/>
      <c r="Q46" s="1507">
        <f t="shared" si="11"/>
        <v>111</v>
      </c>
      <c r="R46" s="1508" t="s">
        <v>10</v>
      </c>
      <c r="S46" s="1509">
        <f t="shared" si="12"/>
        <v>100</v>
      </c>
      <c r="T46" s="1508" t="s">
        <v>10</v>
      </c>
      <c r="U46" s="1509">
        <f t="shared" si="13"/>
        <v>100</v>
      </c>
      <c r="V46" s="1508" t="s">
        <v>10</v>
      </c>
      <c r="W46" s="1509">
        <f t="shared" si="14"/>
        <v>100</v>
      </c>
      <c r="X46" s="1502"/>
      <c r="Y46" s="3574"/>
      <c r="Z46" s="1510">
        <f t="shared" si="15"/>
        <v>111</v>
      </c>
      <c r="AA46" s="1511">
        <f t="shared" si="3"/>
        <v>1</v>
      </c>
      <c r="AB46" s="1511">
        <f t="shared" si="4"/>
        <v>1</v>
      </c>
      <c r="AC46" s="1511">
        <f t="shared" si="5"/>
        <v>1</v>
      </c>
    </row>
    <row r="47" spans="1:29" ht="14.4">
      <c r="A47" s="601" t="s">
        <v>730</v>
      </c>
      <c r="B47" s="876"/>
      <c r="C47" s="2471" t="s">
        <v>9</v>
      </c>
      <c r="D47" s="2472"/>
      <c r="E47" s="2473"/>
      <c r="F47" s="2474"/>
      <c r="G47" s="2475"/>
      <c r="H47" s="2476"/>
      <c r="I47" s="2473"/>
      <c r="J47" s="2476"/>
      <c r="K47" s="1537"/>
      <c r="L47" s="2027"/>
      <c r="M47" s="2028"/>
      <c r="N47" s="2017"/>
      <c r="O47" s="2028"/>
      <c r="P47" s="3455" t="str">
        <f>A47</f>
        <v>成交单价（元/平方米）</v>
      </c>
      <c r="Q47" s="3455"/>
      <c r="R47" s="3573">
        <f>E47</f>
        <v>0</v>
      </c>
      <c r="S47" s="3573"/>
      <c r="T47" s="3573">
        <f>G47</f>
        <v>0</v>
      </c>
      <c r="U47" s="3573"/>
      <c r="V47" s="3573">
        <f>I47</f>
        <v>0</v>
      </c>
      <c r="W47" s="3573"/>
      <c r="X47" s="1497"/>
      <c r="Y47" s="1516"/>
      <c r="Z47" s="1497"/>
      <c r="AA47" s="1497"/>
      <c r="AB47" s="1497"/>
      <c r="AC47" s="1497"/>
    </row>
    <row r="48" spans="1:29" ht="1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55" t="str">
        <f>A48</f>
        <v>比较价格（元/平方米）</v>
      </c>
      <c r="Q48" s="3455"/>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 thickBot="1">
      <c r="A49" s="613" t="s">
        <v>2904</v>
      </c>
      <c r="B49" s="614"/>
      <c r="C49" s="2479" t="e">
        <f>R49</f>
        <v>#DIV/0!</v>
      </c>
      <c r="D49" s="2479"/>
      <c r="E49" s="2479"/>
      <c r="F49" s="2479"/>
      <c r="G49" s="2479"/>
      <c r="H49" s="2479"/>
      <c r="I49" s="2479"/>
      <c r="J49" s="2479"/>
      <c r="K49" s="1538"/>
      <c r="L49" s="2027"/>
      <c r="M49" s="2028"/>
      <c r="N49" s="2028"/>
      <c r="O49" s="2028"/>
      <c r="P49" s="3452" t="str">
        <f>A49</f>
        <v>估价对象XX用房的比较价格（楼面单价，元/平方米）</v>
      </c>
      <c r="Q49" s="3453"/>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2" t="str">
        <f>YEAR(C7)&amp;"-"&amp;MONTH(C7)</f>
        <v>1900-1</v>
      </c>
      <c r="D58" s="2522" t="e">
        <f>EDATE(C58,-1)</f>
        <v>#NUM!</v>
      </c>
      <c r="E58" s="2522" t="e">
        <f t="shared" ref="E58:O58" si="16">EDATE(D58,-1)</f>
        <v>#NUM!</v>
      </c>
      <c r="F58" s="2522" t="e">
        <f t="shared" si="16"/>
        <v>#NUM!</v>
      </c>
      <c r="G58" s="2522" t="e">
        <f t="shared" si="16"/>
        <v>#NUM!</v>
      </c>
      <c r="H58" s="2522" t="e">
        <f t="shared" si="16"/>
        <v>#NUM!</v>
      </c>
      <c r="I58" s="2522" t="e">
        <f t="shared" si="16"/>
        <v>#NUM!</v>
      </c>
      <c r="J58" s="2522" t="e">
        <f t="shared" si="16"/>
        <v>#NUM!</v>
      </c>
      <c r="K58" s="2522" t="e">
        <f t="shared" si="16"/>
        <v>#NUM!</v>
      </c>
      <c r="L58" s="2522" t="e">
        <f t="shared" si="16"/>
        <v>#NUM!</v>
      </c>
      <c r="M58" s="2522" t="e">
        <f t="shared" si="16"/>
        <v>#NUM!</v>
      </c>
      <c r="N58" s="2522" t="e">
        <f t="shared" si="16"/>
        <v>#NUM!</v>
      </c>
      <c r="O58" s="2522" t="e">
        <f t="shared" si="16"/>
        <v>#NUM!</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4.4"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4.4"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9.4"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ht="15.6">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ht="15.6">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6">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6">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6">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6">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6.2"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ht="14.4">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ht="14.4">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4.4">
      <c r="A4" s="506" t="s">
        <v>515</v>
      </c>
      <c r="B4" s="507"/>
      <c r="C4" s="3461" t="s">
        <v>516</v>
      </c>
      <c r="D4" s="3462"/>
      <c r="E4" s="3495" t="s">
        <v>517</v>
      </c>
      <c r="F4" s="3496"/>
      <c r="G4" s="3461" t="s">
        <v>518</v>
      </c>
      <c r="H4" s="3462"/>
      <c r="I4" s="3461" t="s">
        <v>519</v>
      </c>
      <c r="J4" s="3462"/>
      <c r="K4" s="508" t="s">
        <v>520</v>
      </c>
      <c r="L4" s="2016"/>
      <c r="M4" s="2017"/>
      <c r="N4" s="2017"/>
      <c r="O4" s="2017"/>
      <c r="P4" s="3463" t="s">
        <v>521</v>
      </c>
      <c r="Q4" s="3464"/>
      <c r="R4" s="3469" t="s">
        <v>517</v>
      </c>
      <c r="S4" s="3470"/>
      <c r="T4" s="3469" t="s">
        <v>518</v>
      </c>
      <c r="U4" s="3470"/>
      <c r="V4" s="3456" t="s">
        <v>519</v>
      </c>
      <c r="W4" s="3456"/>
      <c r="X4" s="1502"/>
      <c r="Y4" s="3469" t="s">
        <v>521</v>
      </c>
      <c r="Z4" s="3470"/>
      <c r="AA4" s="3458" t="s">
        <v>517</v>
      </c>
      <c r="AB4" s="3456" t="s">
        <v>518</v>
      </c>
      <c r="AC4" s="3458" t="s">
        <v>519</v>
      </c>
    </row>
    <row r="5" spans="1:29">
      <c r="A5" s="509"/>
      <c r="B5" s="510"/>
      <c r="C5" s="3477" t="s">
        <v>2898</v>
      </c>
      <c r="D5" s="3478"/>
      <c r="E5" s="3497" t="s">
        <v>2899</v>
      </c>
      <c r="F5" s="3498"/>
      <c r="G5" s="3477" t="s">
        <v>2900</v>
      </c>
      <c r="H5" s="3478"/>
      <c r="I5" s="3477" t="s">
        <v>2901</v>
      </c>
      <c r="J5" s="3478"/>
      <c r="K5" s="508"/>
      <c r="L5" s="2016"/>
      <c r="M5" s="2017"/>
      <c r="N5" s="2017"/>
      <c r="O5" s="2017"/>
      <c r="P5" s="3465"/>
      <c r="Q5" s="3466"/>
      <c r="R5" s="3471"/>
      <c r="S5" s="3472"/>
      <c r="T5" s="3471"/>
      <c r="U5" s="3472"/>
      <c r="V5" s="3456"/>
      <c r="W5" s="3456"/>
      <c r="X5" s="1502"/>
      <c r="Y5" s="3471"/>
      <c r="Z5" s="3472"/>
      <c r="AA5" s="3459"/>
      <c r="AB5" s="3456"/>
      <c r="AC5" s="3459"/>
    </row>
    <row r="6" spans="1:29" ht="15" thickBot="1">
      <c r="A6" s="511"/>
      <c r="B6" s="512"/>
      <c r="C6" s="3475" t="s">
        <v>2902</v>
      </c>
      <c r="D6" s="3476"/>
      <c r="E6" s="3493" t="s">
        <v>2902</v>
      </c>
      <c r="F6" s="3494"/>
      <c r="G6" s="3475" t="s">
        <v>2902</v>
      </c>
      <c r="H6" s="3476"/>
      <c r="I6" s="3475" t="s">
        <v>2902</v>
      </c>
      <c r="J6" s="3476"/>
      <c r="K6" s="508" t="s">
        <v>522</v>
      </c>
      <c r="L6" s="2016"/>
      <c r="M6" s="2017"/>
      <c r="N6" s="2017"/>
      <c r="O6" s="2017"/>
      <c r="P6" s="3467"/>
      <c r="Q6" s="3468"/>
      <c r="R6" s="3471"/>
      <c r="S6" s="3472"/>
      <c r="T6" s="3473"/>
      <c r="U6" s="3474"/>
      <c r="V6" s="3456"/>
      <c r="W6" s="3456"/>
      <c r="X6" s="1502"/>
      <c r="Y6" s="3473"/>
      <c r="Z6" s="3474"/>
      <c r="AA6" s="3460"/>
      <c r="AB6" s="3456"/>
      <c r="AC6" s="3460"/>
    </row>
    <row r="7" spans="1:29" s="1203" customFormat="1" ht="15" thickBot="1">
      <c r="A7" s="2630"/>
      <c r="B7" s="2637" t="s">
        <v>523</v>
      </c>
      <c r="C7" s="513">
        <f>'数据-取费表'!B2</f>
        <v>0</v>
      </c>
      <c r="D7" s="514">
        <v>100</v>
      </c>
      <c r="E7" s="515"/>
      <c r="F7" s="516">
        <f>SUMIF(58:58,YEAR(E7)&amp;"-"&amp;MONTH(E7),59:59)</f>
        <v>100</v>
      </c>
      <c r="G7" s="515"/>
      <c r="H7" s="514">
        <f>SUMIF(58:58,YEAR(G7)&amp;"-"&amp;MONTH(G7),59:59)</f>
        <v>100</v>
      </c>
      <c r="I7" s="515"/>
      <c r="J7" s="514">
        <f>SUMIF(58:58,YEAR(I7)&amp;"-"&amp;MONTH(I7),59:59)</f>
        <v>100</v>
      </c>
      <c r="K7" s="518"/>
      <c r="L7" s="2018"/>
      <c r="M7" s="2019"/>
      <c r="N7" s="2019"/>
      <c r="O7" s="2019"/>
      <c r="P7" s="3486" t="s">
        <v>524</v>
      </c>
      <c r="Q7" s="3488"/>
      <c r="R7" s="1503" t="s">
        <v>8</v>
      </c>
      <c r="S7" s="1504">
        <f t="shared" ref="S7:S15" si="0">F7</f>
        <v>100</v>
      </c>
      <c r="T7" s="1503" t="s">
        <v>8</v>
      </c>
      <c r="U7" s="1504">
        <f t="shared" ref="U7:U15" si="1">H7</f>
        <v>100</v>
      </c>
      <c r="V7" s="1503" t="s">
        <v>8</v>
      </c>
      <c r="W7" s="1504">
        <f t="shared" ref="W7:W15" si="2">J7</f>
        <v>100</v>
      </c>
      <c r="X7" s="1505"/>
      <c r="Y7" s="3486" t="s">
        <v>524</v>
      </c>
      <c r="Z7" s="3487"/>
      <c r="AA7" s="1506">
        <f>D7/F7</f>
        <v>1</v>
      </c>
      <c r="AB7" s="1506">
        <f>D7/H7</f>
        <v>1</v>
      </c>
      <c r="AC7" s="1506">
        <f>D7/J7</f>
        <v>1</v>
      </c>
    </row>
    <row r="8" spans="1:29" s="1203" customFormat="1" ht="1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4.4">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55" t="s">
        <v>529</v>
      </c>
      <c r="Q9" s="1134" t="str">
        <f t="shared" ref="Q9:Q15" si="6">B9</f>
        <v>用途</v>
      </c>
      <c r="R9" s="1503" t="s">
        <v>8</v>
      </c>
      <c r="S9" s="1504">
        <f t="shared" si="0"/>
        <v>100</v>
      </c>
      <c r="T9" s="1503" t="s">
        <v>8</v>
      </c>
      <c r="U9" s="1504">
        <f t="shared" si="1"/>
        <v>100</v>
      </c>
      <c r="V9" s="1503" t="s">
        <v>8</v>
      </c>
      <c r="W9" s="1504">
        <f t="shared" si="2"/>
        <v>100</v>
      </c>
      <c r="X9" s="1505"/>
      <c r="Y9" s="3401"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55"/>
      <c r="Q11" s="1134" t="str">
        <f t="shared" si="6"/>
        <v>容积率</v>
      </c>
      <c r="R11" s="1503" t="s">
        <v>8</v>
      </c>
      <c r="S11" s="1504" t="e">
        <f t="shared" si="0"/>
        <v>#N/A</v>
      </c>
      <c r="T11" s="1503" t="s">
        <v>8</v>
      </c>
      <c r="U11" s="1504" t="e">
        <f t="shared" si="1"/>
        <v>#N/A</v>
      </c>
      <c r="V11" s="1503" t="s">
        <v>8</v>
      </c>
      <c r="W11" s="1504" t="e">
        <f t="shared" si="2"/>
        <v>#N/A</v>
      </c>
      <c r="X11" s="1505"/>
      <c r="Y11" s="340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55"/>
      <c r="Q12" s="1134">
        <f t="shared" si="6"/>
        <v>111</v>
      </c>
      <c r="R12" s="1503" t="s">
        <v>8</v>
      </c>
      <c r="S12" s="1504">
        <f t="shared" si="0"/>
        <v>100</v>
      </c>
      <c r="T12" s="1503" t="s">
        <v>8</v>
      </c>
      <c r="U12" s="1504">
        <f t="shared" si="1"/>
        <v>100</v>
      </c>
      <c r="V12" s="1503" t="s">
        <v>8</v>
      </c>
      <c r="W12" s="1504">
        <f t="shared" si="2"/>
        <v>100</v>
      </c>
      <c r="X12" s="1505"/>
      <c r="Y12" s="3401"/>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55"/>
      <c r="Q13" s="1134">
        <f t="shared" si="6"/>
        <v>111</v>
      </c>
      <c r="R13" s="1503" t="s">
        <v>8</v>
      </c>
      <c r="S13" s="1504">
        <f t="shared" si="0"/>
        <v>100</v>
      </c>
      <c r="T13" s="1503" t="s">
        <v>8</v>
      </c>
      <c r="U13" s="1504">
        <f t="shared" si="1"/>
        <v>100</v>
      </c>
      <c r="V13" s="1503" t="s">
        <v>8</v>
      </c>
      <c r="W13" s="1504">
        <f t="shared" si="2"/>
        <v>100</v>
      </c>
      <c r="X13" s="1505"/>
      <c r="Y13" s="3401"/>
      <c r="Z13" s="1133">
        <f t="shared" si="7"/>
        <v>111</v>
      </c>
      <c r="AA13" s="1506">
        <f t="shared" si="3"/>
        <v>1</v>
      </c>
      <c r="AB13" s="1506">
        <f t="shared" si="4"/>
        <v>1</v>
      </c>
      <c r="AC13" s="1506">
        <f t="shared" si="5"/>
        <v>1</v>
      </c>
    </row>
    <row r="14" spans="1:29" ht="15.6"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55"/>
      <c r="Q14" s="1134">
        <f t="shared" si="6"/>
        <v>111</v>
      </c>
      <c r="R14" s="1503" t="s">
        <v>8</v>
      </c>
      <c r="S14" s="1504">
        <f t="shared" si="0"/>
        <v>100</v>
      </c>
      <c r="T14" s="1503" t="s">
        <v>8</v>
      </c>
      <c r="U14" s="1504">
        <f t="shared" si="1"/>
        <v>100</v>
      </c>
      <c r="V14" s="1503" t="s">
        <v>8</v>
      </c>
      <c r="W14" s="1504">
        <f t="shared" si="2"/>
        <v>100</v>
      </c>
      <c r="X14" s="1505"/>
      <c r="Y14" s="3401"/>
      <c r="Z14" s="1133">
        <f t="shared" si="7"/>
        <v>111</v>
      </c>
      <c r="AA14" s="1506">
        <f t="shared" si="3"/>
        <v>1</v>
      </c>
      <c r="AB14" s="1506">
        <f t="shared" si="4"/>
        <v>1</v>
      </c>
      <c r="AC14" s="1506">
        <f t="shared" si="5"/>
        <v>1</v>
      </c>
    </row>
    <row r="15" spans="1:29" ht="82.8">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89" t="s">
        <v>534</v>
      </c>
      <c r="Q15" s="1507" t="str">
        <f t="shared" si="6"/>
        <v>商业繁华度</v>
      </c>
      <c r="R15" s="1508" t="s">
        <v>8</v>
      </c>
      <c r="S15" s="1509">
        <f t="shared" si="0"/>
        <v>100</v>
      </c>
      <c r="T15" s="1508" t="s">
        <v>8</v>
      </c>
      <c r="U15" s="1509">
        <f t="shared" si="1"/>
        <v>100</v>
      </c>
      <c r="V15" s="1508" t="s">
        <v>8</v>
      </c>
      <c r="W15" s="1509">
        <f t="shared" si="2"/>
        <v>100</v>
      </c>
      <c r="X15" s="1502"/>
      <c r="Y15" s="348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0"/>
      <c r="Q16" s="1507"/>
      <c r="R16" s="1508"/>
      <c r="S16" s="1509"/>
      <c r="T16" s="1508"/>
      <c r="U16" s="1509"/>
      <c r="V16" s="1508"/>
      <c r="W16" s="1509"/>
      <c r="X16" s="1502"/>
      <c r="Y16" s="3490"/>
      <c r="Z16" s="1510"/>
      <c r="AA16" s="1511">
        <v>1</v>
      </c>
      <c r="AB16" s="1511">
        <v>1</v>
      </c>
      <c r="AC16" s="1511">
        <v>1</v>
      </c>
    </row>
    <row r="17" spans="1:29" ht="96.6">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0"/>
      <c r="Q18" s="1507"/>
      <c r="R18" s="1508"/>
      <c r="S18" s="1509"/>
      <c r="T18" s="1508"/>
      <c r="U18" s="1509"/>
      <c r="V18" s="1508"/>
      <c r="W18" s="1509"/>
      <c r="X18" s="1502"/>
      <c r="Y18" s="3490"/>
      <c r="Z18" s="1510"/>
      <c r="AA18" s="1511">
        <v>1</v>
      </c>
      <c r="AB18" s="1511">
        <v>1</v>
      </c>
      <c r="AC18" s="1511">
        <v>1</v>
      </c>
    </row>
    <row r="19" spans="1:29" ht="41.4">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0"/>
      <c r="Q20" s="1507"/>
      <c r="R20" s="1508"/>
      <c r="S20" s="1509"/>
      <c r="T20" s="1508"/>
      <c r="U20" s="1509"/>
      <c r="V20" s="1508"/>
      <c r="W20" s="1509"/>
      <c r="X20" s="1502"/>
      <c r="Y20" s="3490"/>
      <c r="Z20" s="1510"/>
      <c r="AA20" s="1511">
        <v>1</v>
      </c>
      <c r="AB20" s="1511">
        <v>1</v>
      </c>
      <c r="AC20" s="1511">
        <v>1</v>
      </c>
    </row>
    <row r="21" spans="1:29" ht="41.4">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0"/>
      <c r="Q21" s="2430" t="str">
        <f>B21</f>
        <v>基础设施水平</v>
      </c>
      <c r="R21" s="1508" t="s">
        <v>8</v>
      </c>
      <c r="S21" s="1509">
        <f>F21</f>
        <v>100</v>
      </c>
      <c r="T21" s="1508" t="s">
        <v>8</v>
      </c>
      <c r="U21" s="1509">
        <f>H21</f>
        <v>100</v>
      </c>
      <c r="V21" s="1508" t="s">
        <v>8</v>
      </c>
      <c r="W21" s="1509">
        <f>J21</f>
        <v>100</v>
      </c>
      <c r="X21" s="2432"/>
      <c r="Y21" s="349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0"/>
      <c r="Q22" s="2430"/>
      <c r="R22" s="1508"/>
      <c r="S22" s="1509"/>
      <c r="T22" s="1508"/>
      <c r="U22" s="1509"/>
      <c r="V22" s="1508"/>
      <c r="W22" s="1509"/>
      <c r="X22" s="2432"/>
      <c r="Y22" s="3490"/>
      <c r="Z22" s="2431"/>
      <c r="AA22" s="1511">
        <v>1</v>
      </c>
      <c r="AB22" s="1511">
        <v>1</v>
      </c>
      <c r="AC22" s="1511">
        <v>1</v>
      </c>
    </row>
    <row r="23" spans="1:29" ht="55.2">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0"/>
      <c r="Q23" s="1507" t="str">
        <f>B23</f>
        <v>自然及人文环境</v>
      </c>
      <c r="R23" s="1508" t="s">
        <v>8</v>
      </c>
      <c r="S23" s="1509">
        <f>F23</f>
        <v>100</v>
      </c>
      <c r="T23" s="1508" t="s">
        <v>8</v>
      </c>
      <c r="U23" s="1509">
        <f>H23</f>
        <v>100</v>
      </c>
      <c r="V23" s="1508" t="s">
        <v>8</v>
      </c>
      <c r="W23" s="1509">
        <f>J23</f>
        <v>100</v>
      </c>
      <c r="X23" s="1502"/>
      <c r="Y23" s="349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0"/>
      <c r="Q24" s="1507"/>
      <c r="R24" s="1508"/>
      <c r="S24" s="1509"/>
      <c r="T24" s="1508"/>
      <c r="U24" s="1509"/>
      <c r="V24" s="1508"/>
      <c r="W24" s="1509"/>
      <c r="X24" s="1502"/>
      <c r="Y24" s="349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0"/>
      <c r="Q25" s="1507" t="str">
        <f t="shared" ref="Q25:Q46" si="11">B25</f>
        <v>临街状况</v>
      </c>
      <c r="R25" s="1508" t="s">
        <v>8</v>
      </c>
      <c r="S25" s="1509">
        <f>F25</f>
        <v>100</v>
      </c>
      <c r="T25" s="1508" t="s">
        <v>8</v>
      </c>
      <c r="U25" s="1509">
        <f>H25</f>
        <v>100</v>
      </c>
      <c r="V25" s="1508" t="s">
        <v>8</v>
      </c>
      <c r="W25" s="1509">
        <f>J25</f>
        <v>100</v>
      </c>
      <c r="X25" s="1502"/>
      <c r="Y25" s="349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0"/>
      <c r="Q26" s="1507" t="str">
        <f t="shared" si="11"/>
        <v>平面位置/可视性</v>
      </c>
      <c r="R26" s="1508" t="s">
        <v>8</v>
      </c>
      <c r="S26" s="1509">
        <f>F26</f>
        <v>100</v>
      </c>
      <c r="T26" s="1508" t="s">
        <v>8</v>
      </c>
      <c r="U26" s="1509">
        <f>H26</f>
        <v>100</v>
      </c>
      <c r="V26" s="1508" t="s">
        <v>8</v>
      </c>
      <c r="W26" s="1509">
        <f>J26</f>
        <v>100</v>
      </c>
      <c r="X26" s="1502"/>
      <c r="Y26" s="349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0"/>
      <c r="Q27" s="1134" t="str">
        <f t="shared" si="11"/>
        <v>人流量</v>
      </c>
      <c r="R27" s="1503" t="s">
        <v>8</v>
      </c>
      <c r="S27" s="1504">
        <f>F27</f>
        <v>100</v>
      </c>
      <c r="T27" s="1503" t="s">
        <v>8</v>
      </c>
      <c r="U27" s="1504">
        <f>H27</f>
        <v>100</v>
      </c>
      <c r="V27" s="1503" t="s">
        <v>8</v>
      </c>
      <c r="W27" s="1504">
        <f>J27</f>
        <v>100</v>
      </c>
      <c r="X27" s="1505"/>
      <c r="Y27" s="349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0"/>
      <c r="Q29" s="1507">
        <f t="shared" si="11"/>
        <v>111</v>
      </c>
      <c r="R29" s="1508" t="s">
        <v>8</v>
      </c>
      <c r="S29" s="1509">
        <f t="shared" si="12"/>
        <v>100</v>
      </c>
      <c r="T29" s="1508" t="s">
        <v>8</v>
      </c>
      <c r="U29" s="1509">
        <f t="shared" si="13"/>
        <v>100</v>
      </c>
      <c r="V29" s="1508" t="s">
        <v>8</v>
      </c>
      <c r="W29" s="1509">
        <f t="shared" si="14"/>
        <v>100</v>
      </c>
      <c r="X29" s="1502"/>
      <c r="Y29" s="349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0"/>
      <c r="Q30" s="1507">
        <f t="shared" si="11"/>
        <v>111</v>
      </c>
      <c r="R30" s="1508" t="s">
        <v>8</v>
      </c>
      <c r="S30" s="1509">
        <f t="shared" si="12"/>
        <v>100</v>
      </c>
      <c r="T30" s="1508" t="s">
        <v>8</v>
      </c>
      <c r="U30" s="1509">
        <f t="shared" si="13"/>
        <v>100</v>
      </c>
      <c r="V30" s="1508" t="s">
        <v>8</v>
      </c>
      <c r="W30" s="1509">
        <f t="shared" si="14"/>
        <v>100</v>
      </c>
      <c r="X30" s="1502"/>
      <c r="Y30" s="3490"/>
      <c r="Z30" s="1510">
        <f t="shared" si="15"/>
        <v>111</v>
      </c>
      <c r="AA30" s="1511">
        <f t="shared" si="3"/>
        <v>1</v>
      </c>
      <c r="AB30" s="1511">
        <f t="shared" si="4"/>
        <v>1</v>
      </c>
      <c r="AC30" s="1511">
        <f t="shared" si="5"/>
        <v>1</v>
      </c>
    </row>
    <row r="31" spans="1:29" ht="15.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0"/>
      <c r="Q31" s="1507">
        <f t="shared" si="11"/>
        <v>111</v>
      </c>
      <c r="R31" s="1508" t="s">
        <v>8</v>
      </c>
      <c r="S31" s="1509">
        <f t="shared" si="12"/>
        <v>100</v>
      </c>
      <c r="T31" s="1508" t="s">
        <v>8</v>
      </c>
      <c r="U31" s="1509">
        <f t="shared" si="13"/>
        <v>100</v>
      </c>
      <c r="V31" s="1508" t="s">
        <v>8</v>
      </c>
      <c r="W31" s="1509">
        <f t="shared" si="14"/>
        <v>100</v>
      </c>
      <c r="X31" s="1502"/>
      <c r="Y31" s="3490"/>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1" t="s">
        <v>544</v>
      </c>
      <c r="Q32" s="1507" t="str">
        <f t="shared" si="11"/>
        <v>商业类型</v>
      </c>
      <c r="R32" s="1508" t="s">
        <v>8</v>
      </c>
      <c r="S32" s="1509">
        <f t="shared" si="12"/>
        <v>100</v>
      </c>
      <c r="T32" s="1508" t="s">
        <v>8</v>
      </c>
      <c r="U32" s="1509">
        <f t="shared" si="13"/>
        <v>100</v>
      </c>
      <c r="V32" s="1508" t="s">
        <v>8</v>
      </c>
      <c r="W32" s="1509">
        <f t="shared" si="14"/>
        <v>100</v>
      </c>
      <c r="X32" s="1502"/>
      <c r="Y32" s="349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2"/>
      <c r="Q33" s="1536" t="str">
        <f t="shared" si="11"/>
        <v>项目建筑规模</v>
      </c>
      <c r="R33" s="1512" t="s">
        <v>8</v>
      </c>
      <c r="S33" s="1513" t="e">
        <f t="shared" si="12"/>
        <v>#N/A</v>
      </c>
      <c r="T33" s="1512" t="s">
        <v>8</v>
      </c>
      <c r="U33" s="1513" t="e">
        <f t="shared" si="13"/>
        <v>#N/A</v>
      </c>
      <c r="V33" s="1512" t="s">
        <v>8</v>
      </c>
      <c r="W33" s="1513" t="e">
        <f t="shared" si="14"/>
        <v>#N/A</v>
      </c>
      <c r="X33" s="1514"/>
      <c r="Y33" s="349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2"/>
      <c r="Q34" s="1507" t="str">
        <f t="shared" si="11"/>
        <v>建筑结构</v>
      </c>
      <c r="R34" s="1508" t="s">
        <v>8</v>
      </c>
      <c r="S34" s="1509">
        <f t="shared" si="12"/>
        <v>100</v>
      </c>
      <c r="T34" s="1508" t="s">
        <v>8</v>
      </c>
      <c r="U34" s="1509">
        <f t="shared" si="13"/>
        <v>100</v>
      </c>
      <c r="V34" s="1508" t="s">
        <v>8</v>
      </c>
      <c r="W34" s="1509">
        <f t="shared" si="14"/>
        <v>100</v>
      </c>
      <c r="X34" s="1502"/>
      <c r="Y34" s="349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2"/>
      <c r="Q35" s="1507" t="str">
        <f t="shared" si="11"/>
        <v>公共部分装修</v>
      </c>
      <c r="R35" s="1508" t="s">
        <v>8</v>
      </c>
      <c r="S35" s="1509">
        <f t="shared" si="12"/>
        <v>100</v>
      </c>
      <c r="T35" s="1508" t="s">
        <v>8</v>
      </c>
      <c r="U35" s="1509">
        <f t="shared" si="13"/>
        <v>100</v>
      </c>
      <c r="V35" s="1508" t="s">
        <v>8</v>
      </c>
      <c r="W35" s="1509">
        <f t="shared" si="14"/>
        <v>100</v>
      </c>
      <c r="X35" s="1502"/>
      <c r="Y35" s="349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2"/>
      <c r="Q36" s="1507" t="str">
        <f t="shared" si="11"/>
        <v>成新度</v>
      </c>
      <c r="R36" s="1508" t="s">
        <v>8</v>
      </c>
      <c r="S36" s="1509" t="e">
        <f t="shared" si="12"/>
        <v>#N/A</v>
      </c>
      <c r="T36" s="1508" t="s">
        <v>8</v>
      </c>
      <c r="U36" s="1509" t="e">
        <f t="shared" si="13"/>
        <v>#N/A</v>
      </c>
      <c r="V36" s="1508" t="s">
        <v>8</v>
      </c>
      <c r="W36" s="1509" t="e">
        <f t="shared" si="14"/>
        <v>#N/A</v>
      </c>
      <c r="X36" s="1502"/>
      <c r="Y36" s="3492"/>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2"/>
      <c r="Q37" s="1134" t="str">
        <f t="shared" si="11"/>
        <v>市政基础设施</v>
      </c>
      <c r="R37" s="1503" t="s">
        <v>8</v>
      </c>
      <c r="S37" s="1504">
        <f t="shared" si="12"/>
        <v>100</v>
      </c>
      <c r="T37" s="1503" t="s">
        <v>8</v>
      </c>
      <c r="U37" s="1504">
        <f t="shared" si="13"/>
        <v>100</v>
      </c>
      <c r="V37" s="1503" t="s">
        <v>8</v>
      </c>
      <c r="W37" s="1504">
        <f t="shared" si="14"/>
        <v>100</v>
      </c>
      <c r="X37" s="1505"/>
      <c r="Y37" s="349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2" t="s">
        <v>760</v>
      </c>
      <c r="Q38" s="1507" t="str">
        <f t="shared" si="11"/>
        <v>业态</v>
      </c>
      <c r="R38" s="1508" t="s">
        <v>8</v>
      </c>
      <c r="S38" s="1509">
        <f t="shared" si="12"/>
        <v>100</v>
      </c>
      <c r="T38" s="1508" t="s">
        <v>8</v>
      </c>
      <c r="U38" s="1509">
        <f t="shared" si="13"/>
        <v>100</v>
      </c>
      <c r="V38" s="1508" t="s">
        <v>8</v>
      </c>
      <c r="W38" s="1509">
        <f t="shared" si="14"/>
        <v>100</v>
      </c>
      <c r="X38" s="1502"/>
      <c r="Y38" s="349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2"/>
      <c r="Q39" s="1507" t="str">
        <f t="shared" si="11"/>
        <v>层高</v>
      </c>
      <c r="R39" s="1508" t="s">
        <v>8</v>
      </c>
      <c r="S39" s="1509">
        <f t="shared" si="12"/>
        <v>100</v>
      </c>
      <c r="T39" s="1508" t="s">
        <v>8</v>
      </c>
      <c r="U39" s="1509">
        <f t="shared" si="13"/>
        <v>100</v>
      </c>
      <c r="V39" s="1508" t="s">
        <v>8</v>
      </c>
      <c r="W39" s="1509">
        <f t="shared" si="14"/>
        <v>100</v>
      </c>
      <c r="X39" s="1502"/>
      <c r="Y39" s="349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2"/>
      <c r="Q40" s="1507" t="str">
        <f t="shared" si="11"/>
        <v>单套建筑面积</v>
      </c>
      <c r="R40" s="1508" t="s">
        <v>8</v>
      </c>
      <c r="S40" s="1509">
        <f t="shared" si="12"/>
        <v>100</v>
      </c>
      <c r="T40" s="1508" t="s">
        <v>8</v>
      </c>
      <c r="U40" s="1509">
        <f t="shared" si="13"/>
        <v>100</v>
      </c>
      <c r="V40" s="1508" t="s">
        <v>8</v>
      </c>
      <c r="W40" s="1509">
        <f t="shared" si="14"/>
        <v>100</v>
      </c>
      <c r="X40" s="1502"/>
      <c r="Y40" s="349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2"/>
      <c r="Q41" s="1536" t="str">
        <f t="shared" si="11"/>
        <v>进深比</v>
      </c>
      <c r="R41" s="1512" t="s">
        <v>8</v>
      </c>
      <c r="S41" s="1513">
        <f t="shared" si="12"/>
        <v>100</v>
      </c>
      <c r="T41" s="1512" t="s">
        <v>8</v>
      </c>
      <c r="U41" s="1513">
        <f t="shared" si="13"/>
        <v>100</v>
      </c>
      <c r="V41" s="1512" t="s">
        <v>8</v>
      </c>
      <c r="W41" s="1513">
        <f t="shared" si="14"/>
        <v>100</v>
      </c>
      <c r="X41" s="1514"/>
      <c r="Y41" s="349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2"/>
      <c r="Q42" s="1507" t="str">
        <f t="shared" si="11"/>
        <v>内部装修</v>
      </c>
      <c r="R42" s="1508" t="s">
        <v>8</v>
      </c>
      <c r="S42" s="1509">
        <f t="shared" si="12"/>
        <v>100</v>
      </c>
      <c r="T42" s="1508" t="s">
        <v>8</v>
      </c>
      <c r="U42" s="1509">
        <f t="shared" si="13"/>
        <v>100</v>
      </c>
      <c r="V42" s="1508" t="s">
        <v>8</v>
      </c>
      <c r="W42" s="1509">
        <f t="shared" si="14"/>
        <v>100</v>
      </c>
      <c r="X42" s="1502"/>
      <c r="Y42" s="3492"/>
      <c r="Z42" s="1510" t="str">
        <f t="shared" si="15"/>
        <v>内部装修</v>
      </c>
      <c r="AA42" s="1511">
        <f t="shared" si="3"/>
        <v>1</v>
      </c>
      <c r="AB42" s="1511">
        <f t="shared" si="4"/>
        <v>1</v>
      </c>
      <c r="AC42" s="1511">
        <f t="shared" si="5"/>
        <v>1</v>
      </c>
    </row>
    <row r="43" spans="1:29" ht="28.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2"/>
      <c r="Q43" s="1507" t="str">
        <f t="shared" si="11"/>
        <v>内部装修维护情况</v>
      </c>
      <c r="R43" s="1508" t="s">
        <v>8</v>
      </c>
      <c r="S43" s="1509">
        <f t="shared" si="12"/>
        <v>100</v>
      </c>
      <c r="T43" s="1508" t="s">
        <v>8</v>
      </c>
      <c r="U43" s="1509">
        <f t="shared" si="13"/>
        <v>100</v>
      </c>
      <c r="V43" s="1508" t="s">
        <v>8</v>
      </c>
      <c r="W43" s="1509">
        <f t="shared" si="14"/>
        <v>100</v>
      </c>
      <c r="X43" s="1502"/>
      <c r="Y43" s="349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2"/>
      <c r="Q44" s="1134">
        <f t="shared" si="11"/>
        <v>111</v>
      </c>
      <c r="R44" s="1503" t="s">
        <v>8</v>
      </c>
      <c r="S44" s="1504">
        <f t="shared" si="12"/>
        <v>100</v>
      </c>
      <c r="T44" s="1503" t="s">
        <v>8</v>
      </c>
      <c r="U44" s="1504">
        <f t="shared" si="13"/>
        <v>100</v>
      </c>
      <c r="V44" s="1503" t="s">
        <v>8</v>
      </c>
      <c r="W44" s="1504">
        <f t="shared" si="14"/>
        <v>100</v>
      </c>
      <c r="X44" s="1505"/>
      <c r="Y44" s="349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2"/>
      <c r="Q45" s="1507">
        <f t="shared" si="11"/>
        <v>111</v>
      </c>
      <c r="R45" s="1508" t="s">
        <v>8</v>
      </c>
      <c r="S45" s="1509">
        <f t="shared" si="12"/>
        <v>100</v>
      </c>
      <c r="T45" s="1508" t="s">
        <v>8</v>
      </c>
      <c r="U45" s="1509">
        <f t="shared" si="13"/>
        <v>100</v>
      </c>
      <c r="V45" s="1508" t="s">
        <v>8</v>
      </c>
      <c r="W45" s="1509">
        <f t="shared" si="14"/>
        <v>100</v>
      </c>
      <c r="X45" s="1502"/>
      <c r="Y45" s="3492"/>
      <c r="Z45" s="1510">
        <f t="shared" si="15"/>
        <v>111</v>
      </c>
      <c r="AA45" s="1511">
        <f t="shared" si="3"/>
        <v>1</v>
      </c>
      <c r="AB45" s="1511">
        <f t="shared" si="4"/>
        <v>1</v>
      </c>
      <c r="AC45" s="1511">
        <f t="shared" si="5"/>
        <v>1</v>
      </c>
    </row>
    <row r="46" spans="1:29" ht="15.6"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4"/>
      <c r="Q46" s="1507">
        <f t="shared" si="11"/>
        <v>111</v>
      </c>
      <c r="R46" s="1508" t="s">
        <v>8</v>
      </c>
      <c r="S46" s="1509">
        <f t="shared" si="12"/>
        <v>100</v>
      </c>
      <c r="T46" s="1508" t="s">
        <v>8</v>
      </c>
      <c r="U46" s="1509">
        <f t="shared" si="13"/>
        <v>100</v>
      </c>
      <c r="V46" s="1508" t="s">
        <v>8</v>
      </c>
      <c r="W46" s="1509">
        <f t="shared" si="14"/>
        <v>100</v>
      </c>
      <c r="X46" s="1502"/>
      <c r="Y46" s="3574"/>
      <c r="Z46" s="1510">
        <f t="shared" si="15"/>
        <v>111</v>
      </c>
      <c r="AA46" s="1511">
        <f t="shared" si="3"/>
        <v>1</v>
      </c>
      <c r="AB46" s="1511">
        <f t="shared" si="4"/>
        <v>1</v>
      </c>
      <c r="AC46" s="1511">
        <f t="shared" si="5"/>
        <v>1</v>
      </c>
    </row>
    <row r="47" spans="1:29" ht="14.4">
      <c r="A47" s="601" t="s">
        <v>730</v>
      </c>
      <c r="B47" s="876"/>
      <c r="C47" s="2471" t="s">
        <v>1</v>
      </c>
      <c r="D47" s="2472"/>
      <c r="E47" s="2473"/>
      <c r="F47" s="2474"/>
      <c r="G47" s="2475"/>
      <c r="H47" s="2476"/>
      <c r="I47" s="2473"/>
      <c r="J47" s="2476"/>
      <c r="K47" s="1541"/>
      <c r="L47" s="2027"/>
      <c r="M47" s="2028"/>
      <c r="N47" s="2017"/>
      <c r="O47" s="2028"/>
      <c r="P47" s="3455" t="str">
        <f>A47</f>
        <v>成交单价（元/平方米）</v>
      </c>
      <c r="Q47" s="3455"/>
      <c r="R47" s="3573">
        <f>E47</f>
        <v>0</v>
      </c>
      <c r="S47" s="3573"/>
      <c r="T47" s="3573">
        <f>G47</f>
        <v>0</v>
      </c>
      <c r="U47" s="3573"/>
      <c r="V47" s="3573">
        <f>I47</f>
        <v>0</v>
      </c>
      <c r="W47" s="3573"/>
      <c r="X47" s="1497"/>
      <c r="Y47" s="1516"/>
      <c r="Z47" s="1497"/>
      <c r="AA47" s="1497"/>
      <c r="AB47" s="1497"/>
      <c r="AC47" s="1497"/>
    </row>
    <row r="48" spans="1:29" ht="1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55" t="str">
        <f>A48</f>
        <v>比较价格（元/平方米）</v>
      </c>
      <c r="Q48" s="3455"/>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 thickBot="1">
      <c r="A49" s="613" t="s">
        <v>2904</v>
      </c>
      <c r="B49" s="614"/>
      <c r="C49" s="2479" t="e">
        <f>R49</f>
        <v>#DIV/0!</v>
      </c>
      <c r="D49" s="2479"/>
      <c r="E49" s="2479"/>
      <c r="F49" s="2479"/>
      <c r="G49" s="2479"/>
      <c r="H49" s="2479"/>
      <c r="I49" s="2479"/>
      <c r="J49" s="2479"/>
      <c r="K49" s="1542"/>
      <c r="L49" s="2027"/>
      <c r="M49" s="2028"/>
      <c r="N49" s="2017"/>
      <c r="O49" s="2028"/>
      <c r="P49" s="3452" t="str">
        <f>A49</f>
        <v>估价对象XX用房的比较价格（楼面单价，元/平方米）</v>
      </c>
      <c r="Q49" s="3453"/>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0" t="str">
        <f>YEAR(C7)&amp;"-"&amp;MONTH(C7)</f>
        <v>1900-1</v>
      </c>
      <c r="D58" s="2522" t="e">
        <f>EDATE(C58,-1)</f>
        <v>#NUM!</v>
      </c>
      <c r="E58" s="2522" t="e">
        <f t="shared" ref="E58:O58" si="16">EDATE(D58,-1)</f>
        <v>#NUM!</v>
      </c>
      <c r="F58" s="2522" t="e">
        <f t="shared" si="16"/>
        <v>#NUM!</v>
      </c>
      <c r="G58" s="2522" t="e">
        <f t="shared" si="16"/>
        <v>#NUM!</v>
      </c>
      <c r="H58" s="2522" t="e">
        <f t="shared" si="16"/>
        <v>#NUM!</v>
      </c>
      <c r="I58" s="2522" t="e">
        <f t="shared" si="16"/>
        <v>#NUM!</v>
      </c>
      <c r="J58" s="2522" t="e">
        <f t="shared" si="16"/>
        <v>#NUM!</v>
      </c>
      <c r="K58" s="2522" t="e">
        <f t="shared" si="16"/>
        <v>#NUM!</v>
      </c>
      <c r="L58" s="2522" t="e">
        <f t="shared" si="16"/>
        <v>#NUM!</v>
      </c>
      <c r="M58" s="2522" t="e">
        <f t="shared" si="16"/>
        <v>#NUM!</v>
      </c>
      <c r="N58" s="2522" t="e">
        <f t="shared" si="16"/>
        <v>#NUM!</v>
      </c>
      <c r="O58" s="2522" t="e">
        <f t="shared" si="16"/>
        <v>#NUM!</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4.4"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4.4"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2102"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4.4">
      <c r="A4" s="506" t="s">
        <v>515</v>
      </c>
      <c r="B4" s="507"/>
      <c r="C4" s="3461" t="s">
        <v>516</v>
      </c>
      <c r="D4" s="3462"/>
      <c r="E4" s="3495" t="s">
        <v>517</v>
      </c>
      <c r="F4" s="3496"/>
      <c r="G4" s="3461" t="s">
        <v>518</v>
      </c>
      <c r="H4" s="3462"/>
      <c r="I4" s="3461" t="s">
        <v>519</v>
      </c>
      <c r="J4" s="3462"/>
      <c r="K4" s="508" t="s">
        <v>520</v>
      </c>
      <c r="L4" s="2016"/>
      <c r="M4" s="2017"/>
      <c r="N4" s="2017"/>
      <c r="O4" s="2017"/>
      <c r="P4" s="3576" t="s">
        <v>521</v>
      </c>
      <c r="Q4" s="3464"/>
      <c r="R4" s="3469" t="s">
        <v>517</v>
      </c>
      <c r="S4" s="3470"/>
      <c r="T4" s="3469" t="s">
        <v>518</v>
      </c>
      <c r="U4" s="3470"/>
      <c r="V4" s="3456" t="s">
        <v>519</v>
      </c>
      <c r="W4" s="3456"/>
      <c r="X4" s="1502"/>
      <c r="Y4" s="3469" t="s">
        <v>521</v>
      </c>
      <c r="Z4" s="3470"/>
      <c r="AA4" s="3458" t="s">
        <v>517</v>
      </c>
      <c r="AB4" s="3458" t="s">
        <v>518</v>
      </c>
      <c r="AC4" s="3458" t="s">
        <v>519</v>
      </c>
    </row>
    <row r="5" spans="1:29">
      <c r="A5" s="509"/>
      <c r="B5" s="510"/>
      <c r="C5" s="3477" t="s">
        <v>2898</v>
      </c>
      <c r="D5" s="3478"/>
      <c r="E5" s="3497" t="s">
        <v>2899</v>
      </c>
      <c r="F5" s="3498"/>
      <c r="G5" s="3477" t="s">
        <v>2900</v>
      </c>
      <c r="H5" s="3478"/>
      <c r="I5" s="3477" t="s">
        <v>2901</v>
      </c>
      <c r="J5" s="3478"/>
      <c r="K5" s="508"/>
      <c r="L5" s="2016"/>
      <c r="M5" s="2017"/>
      <c r="N5" s="2017"/>
      <c r="O5" s="2017"/>
      <c r="P5" s="3577"/>
      <c r="Q5" s="3466"/>
      <c r="R5" s="3471"/>
      <c r="S5" s="3472"/>
      <c r="T5" s="3471"/>
      <c r="U5" s="3472"/>
      <c r="V5" s="3456"/>
      <c r="W5" s="3456"/>
      <c r="X5" s="1502"/>
      <c r="Y5" s="3471"/>
      <c r="Z5" s="3472"/>
      <c r="AA5" s="3459"/>
      <c r="AB5" s="3459"/>
      <c r="AC5" s="3459"/>
    </row>
    <row r="6" spans="1:29" ht="15" thickBot="1">
      <c r="A6" s="511"/>
      <c r="B6" s="512"/>
      <c r="C6" s="3475" t="s">
        <v>2902</v>
      </c>
      <c r="D6" s="3476"/>
      <c r="E6" s="3493" t="s">
        <v>2902</v>
      </c>
      <c r="F6" s="3494"/>
      <c r="G6" s="3475" t="s">
        <v>2902</v>
      </c>
      <c r="H6" s="3476"/>
      <c r="I6" s="3475" t="s">
        <v>2902</v>
      </c>
      <c r="J6" s="3476"/>
      <c r="K6" s="508" t="s">
        <v>522</v>
      </c>
      <c r="L6" s="2016"/>
      <c r="M6" s="2017"/>
      <c r="N6" s="2017"/>
      <c r="O6" s="2017"/>
      <c r="P6" s="3578"/>
      <c r="Q6" s="3468"/>
      <c r="R6" s="3471"/>
      <c r="S6" s="3472"/>
      <c r="T6" s="3473"/>
      <c r="U6" s="3474"/>
      <c r="V6" s="3456"/>
      <c r="W6" s="3456"/>
      <c r="X6" s="1502"/>
      <c r="Y6" s="3473"/>
      <c r="Z6" s="3474"/>
      <c r="AA6" s="3460"/>
      <c r="AB6" s="3460"/>
      <c r="AC6" s="3460"/>
    </row>
    <row r="7" spans="1:29" s="1203" customFormat="1" ht="15" thickBot="1">
      <c r="A7" s="2630"/>
      <c r="B7" s="2637" t="s">
        <v>523</v>
      </c>
      <c r="C7" s="513">
        <f>'数据-取费表'!B2</f>
        <v>0</v>
      </c>
      <c r="D7" s="514">
        <v>100</v>
      </c>
      <c r="E7" s="515"/>
      <c r="F7" s="516">
        <f>SUMIF(59:59,YEAR(E7)&amp;"-"&amp;MONTH(E7),60:60)</f>
        <v>100</v>
      </c>
      <c r="G7" s="515"/>
      <c r="H7" s="514">
        <f>SUMIF(59:59,YEAR(G7)&amp;"-"&amp;MONTH(G7),60:60)</f>
        <v>100</v>
      </c>
      <c r="I7" s="515"/>
      <c r="J7" s="514">
        <f>SUMIF(59:59,YEAR(I7)&amp;"-"&amp;MONTH(I7),60:60)</f>
        <v>100</v>
      </c>
      <c r="K7" s="518"/>
      <c r="L7" s="2018"/>
      <c r="M7" s="2019"/>
      <c r="N7" s="2019"/>
      <c r="O7" s="2019"/>
      <c r="P7" s="3488" t="s">
        <v>524</v>
      </c>
      <c r="Q7" s="3488"/>
      <c r="R7" s="1503" t="s">
        <v>8</v>
      </c>
      <c r="S7" s="1504">
        <f t="shared" ref="S7:S15" si="0">F7</f>
        <v>100</v>
      </c>
      <c r="T7" s="1503" t="s">
        <v>8</v>
      </c>
      <c r="U7" s="1504">
        <f t="shared" ref="U7:U15" si="1">H7</f>
        <v>100</v>
      </c>
      <c r="V7" s="1503" t="s">
        <v>8</v>
      </c>
      <c r="W7" s="1504">
        <f t="shared" ref="W7:W15" si="2">J7</f>
        <v>100</v>
      </c>
      <c r="X7" s="1505"/>
      <c r="Y7" s="3486" t="s">
        <v>524</v>
      </c>
      <c r="Z7" s="3487"/>
      <c r="AA7" s="1506">
        <f>D7/F7</f>
        <v>1</v>
      </c>
      <c r="AB7" s="1506">
        <f>D7/H7</f>
        <v>1</v>
      </c>
      <c r="AC7" s="1506">
        <f>D7/J7</f>
        <v>1</v>
      </c>
    </row>
    <row r="8" spans="1:29" s="1203" customFormat="1" ht="1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88" t="s">
        <v>527</v>
      </c>
      <c r="Q8" s="3487"/>
      <c r="R8" s="1503" t="s">
        <v>8</v>
      </c>
      <c r="S8" s="1504">
        <f t="shared" si="0"/>
        <v>0</v>
      </c>
      <c r="T8" s="1503" t="s">
        <v>8</v>
      </c>
      <c r="U8" s="1504">
        <f t="shared" si="1"/>
        <v>0</v>
      </c>
      <c r="V8" s="1503" t="s">
        <v>8</v>
      </c>
      <c r="W8" s="1504">
        <f t="shared" si="2"/>
        <v>0</v>
      </c>
      <c r="X8" s="1505"/>
      <c r="Y8" s="3486" t="s">
        <v>527</v>
      </c>
      <c r="Z8" s="3487"/>
      <c r="AA8" s="1506" t="e">
        <f t="shared" ref="AA8:AA47" si="3">D8/F8</f>
        <v>#DIV/0!</v>
      </c>
      <c r="AB8" s="1506" t="e">
        <f t="shared" ref="AB8:AB47" si="4">D8/H8</f>
        <v>#DIV/0!</v>
      </c>
      <c r="AC8" s="1506" t="e">
        <f t="shared" ref="AC8:AC47" si="5">D8/J8</f>
        <v>#DIV/0!</v>
      </c>
    </row>
    <row r="9" spans="1:29" s="1203" customFormat="1" ht="14.4">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55" t="s">
        <v>529</v>
      </c>
      <c r="Q9" s="1134" t="str">
        <f t="shared" ref="Q9:Q15" si="6">B9</f>
        <v>用途</v>
      </c>
      <c r="R9" s="1503" t="s">
        <v>8</v>
      </c>
      <c r="S9" s="1504">
        <f t="shared" si="0"/>
        <v>100</v>
      </c>
      <c r="T9" s="1503" t="s">
        <v>8</v>
      </c>
      <c r="U9" s="1504">
        <f t="shared" si="1"/>
        <v>100</v>
      </c>
      <c r="V9" s="1503" t="s">
        <v>8</v>
      </c>
      <c r="W9" s="1504">
        <f t="shared" si="2"/>
        <v>100</v>
      </c>
      <c r="X9" s="1505"/>
      <c r="Y9" s="3401"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55"/>
      <c r="Q11" s="1134" t="str">
        <f t="shared" si="6"/>
        <v>容积率</v>
      </c>
      <c r="R11" s="1503" t="s">
        <v>8</v>
      </c>
      <c r="S11" s="1504" t="e">
        <f t="shared" si="0"/>
        <v>#N/A</v>
      </c>
      <c r="T11" s="1503" t="s">
        <v>8</v>
      </c>
      <c r="U11" s="1504" t="e">
        <f t="shared" si="1"/>
        <v>#N/A</v>
      </c>
      <c r="V11" s="1503" t="s">
        <v>8</v>
      </c>
      <c r="W11" s="1504" t="e">
        <f t="shared" si="2"/>
        <v>#N/A</v>
      </c>
      <c r="X11" s="1505"/>
      <c r="Y11" s="340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55"/>
      <c r="Q12" s="1134">
        <f t="shared" si="6"/>
        <v>111</v>
      </c>
      <c r="R12" s="1503" t="s">
        <v>8</v>
      </c>
      <c r="S12" s="1504">
        <f t="shared" si="0"/>
        <v>100</v>
      </c>
      <c r="T12" s="1503" t="s">
        <v>8</v>
      </c>
      <c r="U12" s="1504">
        <f t="shared" si="1"/>
        <v>100</v>
      </c>
      <c r="V12" s="1503" t="s">
        <v>8</v>
      </c>
      <c r="W12" s="1504">
        <f t="shared" si="2"/>
        <v>100</v>
      </c>
      <c r="X12" s="1505"/>
      <c r="Y12" s="3401"/>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55"/>
      <c r="Q13" s="1134">
        <f t="shared" si="6"/>
        <v>111</v>
      </c>
      <c r="R13" s="1503" t="s">
        <v>8</v>
      </c>
      <c r="S13" s="1504">
        <f t="shared" si="0"/>
        <v>100</v>
      </c>
      <c r="T13" s="1503" t="s">
        <v>8</v>
      </c>
      <c r="U13" s="1504">
        <f t="shared" si="1"/>
        <v>100</v>
      </c>
      <c r="V13" s="1503" t="s">
        <v>8</v>
      </c>
      <c r="W13" s="1504">
        <f t="shared" si="2"/>
        <v>100</v>
      </c>
      <c r="X13" s="1505"/>
      <c r="Y13" s="3401"/>
      <c r="Z13" s="1133">
        <f t="shared" si="7"/>
        <v>111</v>
      </c>
      <c r="AA13" s="1506">
        <f t="shared" si="3"/>
        <v>1</v>
      </c>
      <c r="AB13" s="1506">
        <f t="shared" si="4"/>
        <v>1</v>
      </c>
      <c r="AC13" s="1506">
        <f t="shared" si="5"/>
        <v>1</v>
      </c>
    </row>
    <row r="14" spans="1:29" ht="15.6"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55"/>
      <c r="Q14" s="1134">
        <f t="shared" si="6"/>
        <v>111</v>
      </c>
      <c r="R14" s="1503" t="s">
        <v>8</v>
      </c>
      <c r="S14" s="1504">
        <f t="shared" si="0"/>
        <v>100</v>
      </c>
      <c r="T14" s="1503" t="s">
        <v>8</v>
      </c>
      <c r="U14" s="1504">
        <f t="shared" si="1"/>
        <v>100</v>
      </c>
      <c r="V14" s="1503" t="s">
        <v>8</v>
      </c>
      <c r="W14" s="1504">
        <f t="shared" si="2"/>
        <v>100</v>
      </c>
      <c r="X14" s="1505"/>
      <c r="Y14" s="3401"/>
      <c r="Z14" s="1133">
        <f t="shared" si="7"/>
        <v>111</v>
      </c>
      <c r="AA14" s="1506">
        <f t="shared" si="3"/>
        <v>1</v>
      </c>
      <c r="AB14" s="1506">
        <f t="shared" si="4"/>
        <v>1</v>
      </c>
      <c r="AC14" s="1506">
        <f t="shared" si="5"/>
        <v>1</v>
      </c>
    </row>
    <row r="15" spans="1:29" ht="82.8">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89" t="s">
        <v>534</v>
      </c>
      <c r="Q15" s="1507" t="str">
        <f t="shared" si="6"/>
        <v>办公集聚程度</v>
      </c>
      <c r="R15" s="1508" t="s">
        <v>8</v>
      </c>
      <c r="S15" s="1509">
        <f t="shared" si="0"/>
        <v>100</v>
      </c>
      <c r="T15" s="1508" t="s">
        <v>8</v>
      </c>
      <c r="U15" s="1509">
        <f t="shared" si="1"/>
        <v>100</v>
      </c>
      <c r="V15" s="1508" t="s">
        <v>8</v>
      </c>
      <c r="W15" s="1509">
        <f t="shared" si="2"/>
        <v>100</v>
      </c>
      <c r="X15" s="1502"/>
      <c r="Y15" s="348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0"/>
      <c r="Q16" s="1507"/>
      <c r="R16" s="1508"/>
      <c r="S16" s="1509"/>
      <c r="T16" s="1508"/>
      <c r="U16" s="1509"/>
      <c r="V16" s="1508"/>
      <c r="W16" s="1509"/>
      <c r="X16" s="1502"/>
      <c r="Y16" s="3490"/>
      <c r="Z16" s="1510"/>
      <c r="AA16" s="1511">
        <v>1</v>
      </c>
      <c r="AB16" s="1511">
        <v>1</v>
      </c>
      <c r="AC16" s="1511">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0"/>
      <c r="Q18" s="1507"/>
      <c r="R18" s="1508"/>
      <c r="S18" s="1509"/>
      <c r="T18" s="1508"/>
      <c r="U18" s="1509"/>
      <c r="V18" s="1508"/>
      <c r="W18" s="1509"/>
      <c r="X18" s="1502"/>
      <c r="Y18" s="3490"/>
      <c r="Z18" s="1510"/>
      <c r="AA18" s="1511">
        <v>1</v>
      </c>
      <c r="AB18" s="1511">
        <v>1</v>
      </c>
      <c r="AC18" s="1511">
        <v>1</v>
      </c>
    </row>
    <row r="19" spans="1:29" ht="41.4">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0"/>
      <c r="Q20" s="1507"/>
      <c r="R20" s="1508"/>
      <c r="S20" s="1509"/>
      <c r="T20" s="1508"/>
      <c r="U20" s="1509"/>
      <c r="V20" s="1508"/>
      <c r="W20" s="1509"/>
      <c r="X20" s="1502"/>
      <c r="Y20" s="3490"/>
      <c r="Z20" s="1510"/>
      <c r="AA20" s="1511">
        <v>1</v>
      </c>
      <c r="AB20" s="1511">
        <v>1</v>
      </c>
      <c r="AC20" s="1511">
        <v>1</v>
      </c>
    </row>
    <row r="21" spans="1:29" ht="41.4">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0"/>
      <c r="Q21" s="2430" t="str">
        <f>B21</f>
        <v>基础设施水平</v>
      </c>
      <c r="R21" s="1508" t="s">
        <v>8</v>
      </c>
      <c r="S21" s="1509">
        <f>F21</f>
        <v>100</v>
      </c>
      <c r="T21" s="1508" t="s">
        <v>8</v>
      </c>
      <c r="U21" s="1509">
        <f>H21</f>
        <v>100</v>
      </c>
      <c r="V21" s="1508" t="s">
        <v>8</v>
      </c>
      <c r="W21" s="1509">
        <f>J21</f>
        <v>100</v>
      </c>
      <c r="X21" s="2432"/>
      <c r="Y21" s="3490"/>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0"/>
      <c r="Q22" s="2430"/>
      <c r="R22" s="1508"/>
      <c r="S22" s="1509"/>
      <c r="T22" s="1508"/>
      <c r="U22" s="1509"/>
      <c r="V22" s="1508"/>
      <c r="W22" s="1509"/>
      <c r="X22" s="2432"/>
      <c r="Y22" s="3490"/>
      <c r="Z22" s="2431"/>
      <c r="AA22" s="1511">
        <v>1</v>
      </c>
      <c r="AB22" s="1511">
        <v>1</v>
      </c>
      <c r="AC22" s="1511">
        <v>1</v>
      </c>
    </row>
    <row r="23" spans="1:29" ht="55.2">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0"/>
      <c r="Q23" s="1507" t="str">
        <f>B23</f>
        <v>环境质量</v>
      </c>
      <c r="R23" s="1508" t="s">
        <v>8</v>
      </c>
      <c r="S23" s="1509">
        <f>F23</f>
        <v>100</v>
      </c>
      <c r="T23" s="1508" t="s">
        <v>8</v>
      </c>
      <c r="U23" s="1509">
        <f>H23</f>
        <v>100</v>
      </c>
      <c r="V23" s="1508" t="s">
        <v>8</v>
      </c>
      <c r="W23" s="1509">
        <f>J23</f>
        <v>100</v>
      </c>
      <c r="X23" s="1502"/>
      <c r="Y23" s="349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0"/>
      <c r="Q24" s="1507"/>
      <c r="R24" s="1508"/>
      <c r="S24" s="1509"/>
      <c r="T24" s="1508"/>
      <c r="U24" s="1509"/>
      <c r="V24" s="1508"/>
      <c r="W24" s="1509"/>
      <c r="X24" s="1502"/>
      <c r="Y24" s="3490"/>
      <c r="Z24" s="1510"/>
      <c r="AA24" s="1511">
        <v>1</v>
      </c>
      <c r="AB24" s="1511">
        <v>1</v>
      </c>
      <c r="AC24" s="1511">
        <v>1</v>
      </c>
    </row>
    <row r="25" spans="1:29" ht="28.8">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0"/>
      <c r="Q25" s="1507" t="str">
        <f>B25</f>
        <v>毗邻道路的类型与等级</v>
      </c>
      <c r="R25" s="1508" t="s">
        <v>8</v>
      </c>
      <c r="S25" s="1509">
        <f>F25</f>
        <v>100</v>
      </c>
      <c r="T25" s="1508" t="s">
        <v>8</v>
      </c>
      <c r="U25" s="1509">
        <f>H25</f>
        <v>100</v>
      </c>
      <c r="V25" s="1508" t="s">
        <v>8</v>
      </c>
      <c r="W25" s="1509">
        <f>J25</f>
        <v>100</v>
      </c>
      <c r="X25" s="1502"/>
      <c r="Y25" s="349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0"/>
      <c r="Q26" s="1507"/>
      <c r="R26" s="1508"/>
      <c r="S26" s="1509"/>
      <c r="T26" s="1508"/>
      <c r="U26" s="1509"/>
      <c r="V26" s="1508"/>
      <c r="W26" s="1509"/>
      <c r="X26" s="1502"/>
      <c r="Y26" s="349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0"/>
      <c r="Q27" s="1507" t="str">
        <f t="shared" ref="Q27:Q47" si="11">B27</f>
        <v>楼层</v>
      </c>
      <c r="R27" s="1508" t="s">
        <v>8</v>
      </c>
      <c r="S27" s="1509">
        <f>F27</f>
        <v>100</v>
      </c>
      <c r="T27" s="1508" t="s">
        <v>8</v>
      </c>
      <c r="U27" s="1509">
        <f>H27</f>
        <v>100</v>
      </c>
      <c r="V27" s="1508" t="s">
        <v>8</v>
      </c>
      <c r="W27" s="1509">
        <f>J27</f>
        <v>100</v>
      </c>
      <c r="X27" s="1502"/>
      <c r="Y27" s="349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0"/>
      <c r="Q28" s="1134" t="str">
        <f t="shared" si="11"/>
        <v>朝向</v>
      </c>
      <c r="R28" s="1503" t="s">
        <v>8</v>
      </c>
      <c r="S28" s="1504">
        <f>F28</f>
        <v>100</v>
      </c>
      <c r="T28" s="1503" t="s">
        <v>8</v>
      </c>
      <c r="U28" s="1504">
        <f>H28</f>
        <v>100</v>
      </c>
      <c r="V28" s="1503" t="s">
        <v>8</v>
      </c>
      <c r="W28" s="1504">
        <f>J28</f>
        <v>100</v>
      </c>
      <c r="X28" s="1505"/>
      <c r="Y28" s="349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0"/>
      <c r="Q29" s="1507">
        <f t="shared" si="11"/>
        <v>111</v>
      </c>
      <c r="R29" s="1508" t="s">
        <v>8</v>
      </c>
      <c r="S29" s="1509">
        <f t="shared" ref="S29:S47" si="12">F29</f>
        <v>100</v>
      </c>
      <c r="T29" s="1508" t="s">
        <v>8</v>
      </c>
      <c r="U29" s="1509">
        <f t="shared" ref="U29:U47" si="13">H29</f>
        <v>100</v>
      </c>
      <c r="V29" s="1508" t="s">
        <v>8</v>
      </c>
      <c r="W29" s="1509">
        <f t="shared" ref="W29:W47" si="14">J29</f>
        <v>100</v>
      </c>
      <c r="X29" s="1502"/>
      <c r="Y29" s="349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0"/>
      <c r="Q30" s="1507">
        <f t="shared" si="11"/>
        <v>111</v>
      </c>
      <c r="R30" s="1508" t="s">
        <v>8</v>
      </c>
      <c r="S30" s="1509">
        <f t="shared" si="12"/>
        <v>100</v>
      </c>
      <c r="T30" s="1508" t="s">
        <v>8</v>
      </c>
      <c r="U30" s="1509">
        <f t="shared" si="13"/>
        <v>100</v>
      </c>
      <c r="V30" s="1508" t="s">
        <v>8</v>
      </c>
      <c r="W30" s="1509">
        <f t="shared" si="14"/>
        <v>100</v>
      </c>
      <c r="X30" s="1502"/>
      <c r="Y30" s="349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0"/>
      <c r="Q31" s="1507">
        <f t="shared" si="11"/>
        <v>111</v>
      </c>
      <c r="R31" s="1508" t="s">
        <v>8</v>
      </c>
      <c r="S31" s="1509">
        <f t="shared" si="12"/>
        <v>100</v>
      </c>
      <c r="T31" s="1508" t="s">
        <v>8</v>
      </c>
      <c r="U31" s="1509">
        <f t="shared" si="13"/>
        <v>100</v>
      </c>
      <c r="V31" s="1508" t="s">
        <v>8</v>
      </c>
      <c r="W31" s="1509">
        <f t="shared" si="14"/>
        <v>100</v>
      </c>
      <c r="X31" s="1502"/>
      <c r="Y31" s="3490"/>
      <c r="Z31" s="1510">
        <f t="shared" si="15"/>
        <v>111</v>
      </c>
      <c r="AA31" s="1511">
        <f t="shared" si="3"/>
        <v>1</v>
      </c>
      <c r="AB31" s="1511">
        <f t="shared" si="4"/>
        <v>1</v>
      </c>
      <c r="AC31" s="1511">
        <f t="shared" si="5"/>
        <v>1</v>
      </c>
    </row>
    <row r="32" spans="1:29" ht="15.6"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0"/>
      <c r="Q32" s="1507">
        <f t="shared" si="11"/>
        <v>111</v>
      </c>
      <c r="R32" s="1508" t="s">
        <v>8</v>
      </c>
      <c r="S32" s="1509">
        <f t="shared" si="12"/>
        <v>100</v>
      </c>
      <c r="T32" s="1508" t="s">
        <v>8</v>
      </c>
      <c r="U32" s="1509">
        <f t="shared" si="13"/>
        <v>100</v>
      </c>
      <c r="V32" s="1508" t="s">
        <v>8</v>
      </c>
      <c r="W32" s="1509">
        <f t="shared" si="14"/>
        <v>100</v>
      </c>
      <c r="X32" s="1502"/>
      <c r="Y32" s="3490"/>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1" t="s">
        <v>544</v>
      </c>
      <c r="Q33" s="1507" t="str">
        <f t="shared" si="11"/>
        <v>建筑类型</v>
      </c>
      <c r="R33" s="1508" t="s">
        <v>8</v>
      </c>
      <c r="S33" s="1509">
        <f t="shared" si="12"/>
        <v>100</v>
      </c>
      <c r="T33" s="1508" t="s">
        <v>8</v>
      </c>
      <c r="U33" s="1509">
        <f t="shared" si="13"/>
        <v>100</v>
      </c>
      <c r="V33" s="1508" t="s">
        <v>8</v>
      </c>
      <c r="W33" s="1509">
        <f t="shared" si="14"/>
        <v>100</v>
      </c>
      <c r="X33" s="1502"/>
      <c r="Y33" s="349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2"/>
      <c r="Q34" s="1536" t="str">
        <f t="shared" si="11"/>
        <v>项目建筑规模</v>
      </c>
      <c r="R34" s="1512" t="s">
        <v>8</v>
      </c>
      <c r="S34" s="1513" t="e">
        <f t="shared" si="12"/>
        <v>#N/A</v>
      </c>
      <c r="T34" s="1512" t="s">
        <v>8</v>
      </c>
      <c r="U34" s="1513" t="e">
        <f t="shared" si="13"/>
        <v>#N/A</v>
      </c>
      <c r="V34" s="1512" t="s">
        <v>8</v>
      </c>
      <c r="W34" s="1513" t="e">
        <f t="shared" si="14"/>
        <v>#N/A</v>
      </c>
      <c r="X34" s="1514"/>
      <c r="Y34" s="349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2"/>
      <c r="Q35" s="1507" t="str">
        <f t="shared" si="11"/>
        <v>建筑结构</v>
      </c>
      <c r="R35" s="1508" t="s">
        <v>8</v>
      </c>
      <c r="S35" s="1509">
        <f t="shared" si="12"/>
        <v>100</v>
      </c>
      <c r="T35" s="1508" t="s">
        <v>8</v>
      </c>
      <c r="U35" s="1509">
        <f t="shared" si="13"/>
        <v>100</v>
      </c>
      <c r="V35" s="1508" t="s">
        <v>8</v>
      </c>
      <c r="W35" s="1509">
        <f t="shared" si="14"/>
        <v>100</v>
      </c>
      <c r="X35" s="1502"/>
      <c r="Y35" s="349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2"/>
      <c r="Q36" s="1507" t="str">
        <f t="shared" si="11"/>
        <v>公共部分装修</v>
      </c>
      <c r="R36" s="1508" t="s">
        <v>8</v>
      </c>
      <c r="S36" s="1509">
        <f t="shared" si="12"/>
        <v>100</v>
      </c>
      <c r="T36" s="1508" t="s">
        <v>8</v>
      </c>
      <c r="U36" s="1509">
        <f t="shared" si="13"/>
        <v>100</v>
      </c>
      <c r="V36" s="1508" t="s">
        <v>8</v>
      </c>
      <c r="W36" s="1509">
        <f t="shared" si="14"/>
        <v>100</v>
      </c>
      <c r="X36" s="1502"/>
      <c r="Y36" s="349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2"/>
      <c r="Q37" s="1507" t="str">
        <f t="shared" si="11"/>
        <v>成新度</v>
      </c>
      <c r="R37" s="1508" t="s">
        <v>8</v>
      </c>
      <c r="S37" s="1509" t="e">
        <f t="shared" si="12"/>
        <v>#N/A</v>
      </c>
      <c r="T37" s="1508" t="s">
        <v>8</v>
      </c>
      <c r="U37" s="1509" t="e">
        <f t="shared" si="13"/>
        <v>#N/A</v>
      </c>
      <c r="V37" s="1508" t="s">
        <v>8</v>
      </c>
      <c r="W37" s="1509" t="e">
        <f t="shared" si="14"/>
        <v>#N/A</v>
      </c>
      <c r="X37" s="1502"/>
      <c r="Y37" s="349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2"/>
      <c r="Q38" s="1134" t="str">
        <f t="shared" si="11"/>
        <v>写字楼等级</v>
      </c>
      <c r="R38" s="1503" t="s">
        <v>8</v>
      </c>
      <c r="S38" s="1504">
        <f t="shared" si="12"/>
        <v>100</v>
      </c>
      <c r="T38" s="1503" t="s">
        <v>8</v>
      </c>
      <c r="U38" s="1504">
        <f t="shared" si="13"/>
        <v>100</v>
      </c>
      <c r="V38" s="1503" t="s">
        <v>8</v>
      </c>
      <c r="W38" s="1504">
        <f t="shared" si="14"/>
        <v>100</v>
      </c>
      <c r="X38" s="1505"/>
      <c r="Y38" s="349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2" t="s">
        <v>544</v>
      </c>
      <c r="Q39" s="1507" t="str">
        <f t="shared" si="11"/>
        <v>物业管理</v>
      </c>
      <c r="R39" s="1508" t="s">
        <v>8</v>
      </c>
      <c r="S39" s="1509">
        <f t="shared" si="12"/>
        <v>100</v>
      </c>
      <c r="T39" s="1508" t="s">
        <v>8</v>
      </c>
      <c r="U39" s="1509">
        <f t="shared" si="13"/>
        <v>100</v>
      </c>
      <c r="V39" s="1508" t="s">
        <v>8</v>
      </c>
      <c r="W39" s="1509">
        <f t="shared" si="14"/>
        <v>100</v>
      </c>
      <c r="X39" s="1502"/>
      <c r="Y39" s="3492"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2"/>
      <c r="Q40" s="1507" t="str">
        <f t="shared" si="11"/>
        <v>市政基础设施</v>
      </c>
      <c r="R40" s="1508" t="s">
        <v>8</v>
      </c>
      <c r="S40" s="1509">
        <f t="shared" si="12"/>
        <v>100</v>
      </c>
      <c r="T40" s="1508" t="s">
        <v>8</v>
      </c>
      <c r="U40" s="1509">
        <f t="shared" si="13"/>
        <v>100</v>
      </c>
      <c r="V40" s="1508" t="s">
        <v>8</v>
      </c>
      <c r="W40" s="1509">
        <f t="shared" si="14"/>
        <v>100</v>
      </c>
      <c r="X40" s="1502"/>
      <c r="Y40" s="349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2"/>
      <c r="Q41" s="1507" t="str">
        <f t="shared" si="11"/>
        <v>层高</v>
      </c>
      <c r="R41" s="1508" t="s">
        <v>8</v>
      </c>
      <c r="S41" s="1509">
        <f t="shared" si="12"/>
        <v>100</v>
      </c>
      <c r="T41" s="1508" t="s">
        <v>8</v>
      </c>
      <c r="U41" s="1509">
        <f t="shared" si="13"/>
        <v>100</v>
      </c>
      <c r="V41" s="1508" t="s">
        <v>8</v>
      </c>
      <c r="W41" s="1509">
        <f t="shared" si="14"/>
        <v>100</v>
      </c>
      <c r="X41" s="1502"/>
      <c r="Y41" s="349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2"/>
      <c r="Q42" s="1536" t="str">
        <f t="shared" si="11"/>
        <v>单套建筑面积</v>
      </c>
      <c r="R42" s="1512" t="s">
        <v>8</v>
      </c>
      <c r="S42" s="1513">
        <f t="shared" si="12"/>
        <v>100</v>
      </c>
      <c r="T42" s="1512" t="s">
        <v>8</v>
      </c>
      <c r="U42" s="1513">
        <f t="shared" si="13"/>
        <v>100</v>
      </c>
      <c r="V42" s="1512" t="s">
        <v>8</v>
      </c>
      <c r="W42" s="1513">
        <f t="shared" si="14"/>
        <v>100</v>
      </c>
      <c r="X42" s="1514"/>
      <c r="Y42" s="349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2"/>
      <c r="Q43" s="1507" t="str">
        <f t="shared" si="11"/>
        <v>内部装修</v>
      </c>
      <c r="R43" s="1508" t="s">
        <v>8</v>
      </c>
      <c r="S43" s="1509">
        <f t="shared" si="12"/>
        <v>100</v>
      </c>
      <c r="T43" s="1508" t="s">
        <v>8</v>
      </c>
      <c r="U43" s="1509">
        <f t="shared" si="13"/>
        <v>100</v>
      </c>
      <c r="V43" s="1508" t="s">
        <v>8</v>
      </c>
      <c r="W43" s="1509">
        <f t="shared" si="14"/>
        <v>100</v>
      </c>
      <c r="X43" s="1502"/>
      <c r="Y43" s="3492"/>
      <c r="Z43" s="1510" t="str">
        <f t="shared" si="15"/>
        <v>内部装修</v>
      </c>
      <c r="AA43" s="1511">
        <f t="shared" si="3"/>
        <v>1</v>
      </c>
      <c r="AB43" s="1511">
        <f t="shared" si="4"/>
        <v>1</v>
      </c>
      <c r="AC43" s="1511">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2"/>
      <c r="Q44" s="1507" t="str">
        <f t="shared" si="11"/>
        <v>内部装修维护情况</v>
      </c>
      <c r="R44" s="1508" t="s">
        <v>8</v>
      </c>
      <c r="S44" s="1509">
        <f t="shared" si="12"/>
        <v>100</v>
      </c>
      <c r="T44" s="1508" t="s">
        <v>8</v>
      </c>
      <c r="U44" s="1509">
        <f t="shared" si="13"/>
        <v>100</v>
      </c>
      <c r="V44" s="1508" t="s">
        <v>8</v>
      </c>
      <c r="W44" s="1509">
        <f t="shared" si="14"/>
        <v>100</v>
      </c>
      <c r="X44" s="1502"/>
      <c r="Y44" s="349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2"/>
      <c r="Q45" s="1134">
        <f t="shared" si="11"/>
        <v>111</v>
      </c>
      <c r="R45" s="1503" t="s">
        <v>8</v>
      </c>
      <c r="S45" s="1504">
        <f t="shared" si="12"/>
        <v>100</v>
      </c>
      <c r="T45" s="1503" t="s">
        <v>8</v>
      </c>
      <c r="U45" s="1504">
        <f t="shared" si="13"/>
        <v>100</v>
      </c>
      <c r="V45" s="1503" t="s">
        <v>8</v>
      </c>
      <c r="W45" s="1504">
        <f t="shared" si="14"/>
        <v>100</v>
      </c>
      <c r="X45" s="1505"/>
      <c r="Y45" s="349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2"/>
      <c r="Q46" s="1507">
        <f t="shared" si="11"/>
        <v>111</v>
      </c>
      <c r="R46" s="1508" t="s">
        <v>8</v>
      </c>
      <c r="S46" s="1509">
        <f t="shared" si="12"/>
        <v>100</v>
      </c>
      <c r="T46" s="1508" t="s">
        <v>8</v>
      </c>
      <c r="U46" s="1509">
        <f t="shared" si="13"/>
        <v>100</v>
      </c>
      <c r="V46" s="1508" t="s">
        <v>8</v>
      </c>
      <c r="W46" s="1509">
        <f t="shared" si="14"/>
        <v>100</v>
      </c>
      <c r="X46" s="1502"/>
      <c r="Y46" s="3492"/>
      <c r="Z46" s="1510">
        <f t="shared" si="15"/>
        <v>111</v>
      </c>
      <c r="AA46" s="1511">
        <f t="shared" si="3"/>
        <v>1</v>
      </c>
      <c r="AB46" s="1511">
        <f t="shared" si="4"/>
        <v>1</v>
      </c>
      <c r="AC46" s="1511">
        <f t="shared" si="5"/>
        <v>1</v>
      </c>
    </row>
    <row r="47" spans="1:29" ht="15.6"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4"/>
      <c r="Q47" s="1507">
        <f t="shared" si="11"/>
        <v>111</v>
      </c>
      <c r="R47" s="1508" t="s">
        <v>8</v>
      </c>
      <c r="S47" s="1509">
        <f t="shared" si="12"/>
        <v>100</v>
      </c>
      <c r="T47" s="1508" t="s">
        <v>8</v>
      </c>
      <c r="U47" s="1509">
        <f t="shared" si="13"/>
        <v>100</v>
      </c>
      <c r="V47" s="1508" t="s">
        <v>8</v>
      </c>
      <c r="W47" s="1509">
        <f t="shared" si="14"/>
        <v>100</v>
      </c>
      <c r="X47" s="1502"/>
      <c r="Y47" s="3574"/>
      <c r="Z47" s="1510">
        <f t="shared" si="15"/>
        <v>111</v>
      </c>
      <c r="AA47" s="1511">
        <f t="shared" si="3"/>
        <v>1</v>
      </c>
      <c r="AB47" s="1511">
        <f t="shared" si="4"/>
        <v>1</v>
      </c>
      <c r="AC47" s="1511">
        <f t="shared" si="5"/>
        <v>1</v>
      </c>
    </row>
    <row r="48" spans="1:29" ht="14.4">
      <c r="A48" s="601" t="s">
        <v>730</v>
      </c>
      <c r="B48" s="876"/>
      <c r="C48" s="2471" t="s">
        <v>1</v>
      </c>
      <c r="D48" s="2472"/>
      <c r="E48" s="2473"/>
      <c r="F48" s="2474"/>
      <c r="G48" s="2475"/>
      <c r="H48" s="2476"/>
      <c r="I48" s="2473"/>
      <c r="J48" s="2476"/>
      <c r="K48" s="1541"/>
      <c r="L48" s="2027"/>
      <c r="M48" s="2017"/>
      <c r="N48" s="2017"/>
      <c r="O48" s="2017"/>
      <c r="P48" s="3453" t="str">
        <f>A48</f>
        <v>成交单价（元/平方米）</v>
      </c>
      <c r="Q48" s="3455"/>
      <c r="R48" s="3573">
        <f>E48</f>
        <v>0</v>
      </c>
      <c r="S48" s="3573"/>
      <c r="T48" s="3573">
        <f>G48</f>
        <v>0</v>
      </c>
      <c r="U48" s="3573"/>
      <c r="V48" s="3573">
        <f>I48</f>
        <v>0</v>
      </c>
      <c r="W48" s="3573"/>
      <c r="X48" s="1497"/>
      <c r="Y48" s="1516"/>
      <c r="Z48" s="1497"/>
      <c r="AA48" s="1497"/>
      <c r="AB48" s="1497"/>
      <c r="AC48" s="1497"/>
    </row>
    <row r="49" spans="1:29" ht="1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453" t="str">
        <f>A49</f>
        <v>比较价格（元/平方米）</v>
      </c>
      <c r="Q49" s="3455"/>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497"/>
      <c r="Y49" s="1497"/>
      <c r="Z49" s="1497"/>
      <c r="AA49" s="1497"/>
      <c r="AB49" s="1497"/>
      <c r="AC49" s="1497"/>
    </row>
    <row r="50" spans="1:29" ht="15" thickBot="1">
      <c r="A50" s="613" t="s">
        <v>2904</v>
      </c>
      <c r="B50" s="614"/>
      <c r="C50" s="2479" t="e">
        <f>R50</f>
        <v>#DIV/0!</v>
      </c>
      <c r="D50" s="2479"/>
      <c r="E50" s="2479"/>
      <c r="F50" s="2479"/>
      <c r="G50" s="2479"/>
      <c r="H50" s="2479"/>
      <c r="I50" s="2479"/>
      <c r="J50" s="2479"/>
      <c r="K50" s="1542"/>
      <c r="L50" s="2027"/>
      <c r="M50" s="2017"/>
      <c r="N50" s="2017"/>
      <c r="O50" s="2017"/>
      <c r="P50" s="3575" t="str">
        <f>A50</f>
        <v>估价对象XX用房的比较价格（楼面单价，元/平方米）</v>
      </c>
      <c r="Q50" s="3453"/>
      <c r="R50" s="3572" t="e">
        <f>IF(F1="售价",ROUND(IF(D49="简单平均",AVERAGE(R49:V49),R49*F49+T49*H49+V49*J49),0),ROUND(IF(D49="简单平均",AVERAGE(R49:V49),R49*F49+T49*H49+V49*J49),1))</f>
        <v>#DIV/0!</v>
      </c>
      <c r="S50" s="3572"/>
      <c r="T50" s="3572"/>
      <c r="U50" s="3572"/>
      <c r="V50" s="3572"/>
      <c r="W50" s="3572"/>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2.2"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4.4">
      <c r="A59" s="637" t="s">
        <v>523</v>
      </c>
      <c r="B59" s="638"/>
      <c r="C59" s="2520" t="str">
        <f>YEAR(C7)&amp;"-"&amp;MONTH(C7)</f>
        <v>1900-1</v>
      </c>
      <c r="D59" s="2522" t="e">
        <f>EDATE(C59,-1)</f>
        <v>#NUM!</v>
      </c>
      <c r="E59" s="2522" t="e">
        <f t="shared" ref="E59:O59" si="16">EDATE(D59,-1)</f>
        <v>#NUM!</v>
      </c>
      <c r="F59" s="2522" t="e">
        <f t="shared" si="16"/>
        <v>#NUM!</v>
      </c>
      <c r="G59" s="2522" t="e">
        <f t="shared" si="16"/>
        <v>#NUM!</v>
      </c>
      <c r="H59" s="2522" t="e">
        <f t="shared" si="16"/>
        <v>#NUM!</v>
      </c>
      <c r="I59" s="2522" t="e">
        <f t="shared" si="16"/>
        <v>#NUM!</v>
      </c>
      <c r="J59" s="2522" t="e">
        <f t="shared" si="16"/>
        <v>#NUM!</v>
      </c>
      <c r="K59" s="2522" t="e">
        <f t="shared" si="16"/>
        <v>#NUM!</v>
      </c>
      <c r="L59" s="2522" t="e">
        <f t="shared" si="16"/>
        <v>#NUM!</v>
      </c>
      <c r="M59" s="2522" t="e">
        <f t="shared" si="16"/>
        <v>#NUM!</v>
      </c>
      <c r="N59" s="2522" t="e">
        <f t="shared" si="16"/>
        <v>#NUM!</v>
      </c>
      <c r="O59" s="2522" t="e">
        <f t="shared" si="16"/>
        <v>#NUM!</v>
      </c>
      <c r="P59" s="2092"/>
      <c r="Q59" s="2043"/>
      <c r="R59" s="2043"/>
      <c r="S59" s="2043"/>
      <c r="T59" s="2043"/>
      <c r="U59" s="2043"/>
      <c r="V59" s="2043"/>
      <c r="W59" s="2043"/>
      <c r="X59" s="2043"/>
      <c r="Y59" s="2043"/>
      <c r="Z59" s="2043"/>
      <c r="AA59" s="2043"/>
      <c r="AB59" s="2043"/>
      <c r="AC59" s="2043"/>
    </row>
    <row r="60" spans="1:29" s="1203" customFormat="1">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4.4">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4.4"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ht="14.4">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4.4"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4.4"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4.4"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4.4"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4.4"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4.4"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4.4"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ht="14.4">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4.4"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9.4"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4.4"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4.4"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4.4"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4.4"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4.4"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4.4"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4.4"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4.4"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4.4"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ht="14.4">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4.4"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4.4"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4.4"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4.4"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4.4"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4.4"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4.4"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515</v>
      </c>
      <c r="B4" s="507"/>
      <c r="C4" s="3461" t="s">
        <v>516</v>
      </c>
      <c r="D4" s="3462"/>
      <c r="E4" s="3495" t="s">
        <v>517</v>
      </c>
      <c r="F4" s="3496"/>
      <c r="G4" s="3461" t="s">
        <v>518</v>
      </c>
      <c r="H4" s="3462"/>
      <c r="I4" s="3461" t="s">
        <v>519</v>
      </c>
      <c r="J4" s="3462"/>
      <c r="K4" s="508" t="s">
        <v>520</v>
      </c>
      <c r="L4" s="2016"/>
      <c r="M4" s="2017"/>
      <c r="N4" s="2017"/>
      <c r="O4" s="2017"/>
      <c r="P4" s="3463" t="s">
        <v>521</v>
      </c>
      <c r="Q4" s="3464"/>
      <c r="R4" s="3469" t="s">
        <v>517</v>
      </c>
      <c r="S4" s="3470"/>
      <c r="T4" s="3469" t="s">
        <v>518</v>
      </c>
      <c r="U4" s="3470"/>
      <c r="V4" s="3456" t="s">
        <v>519</v>
      </c>
      <c r="W4" s="3456"/>
      <c r="X4" s="1502"/>
      <c r="Y4" s="3469" t="s">
        <v>521</v>
      </c>
      <c r="Z4" s="3470"/>
      <c r="AA4" s="3458" t="s">
        <v>517</v>
      </c>
      <c r="AB4" s="3459" t="s">
        <v>518</v>
      </c>
      <c r="AC4" s="3458" t="s">
        <v>519</v>
      </c>
    </row>
    <row r="5" spans="1:29">
      <c r="A5" s="509"/>
      <c r="B5" s="510"/>
      <c r="C5" s="3477" t="s">
        <v>2898</v>
      </c>
      <c r="D5" s="3478"/>
      <c r="E5" s="3497" t="s">
        <v>2899</v>
      </c>
      <c r="F5" s="3498"/>
      <c r="G5" s="3477" t="s">
        <v>2900</v>
      </c>
      <c r="H5" s="3478"/>
      <c r="I5" s="3477" t="s">
        <v>2901</v>
      </c>
      <c r="J5" s="3478"/>
      <c r="K5" s="508"/>
      <c r="L5" s="2016"/>
      <c r="M5" s="2017"/>
      <c r="N5" s="2017"/>
      <c r="O5" s="2017"/>
      <c r="P5" s="3465"/>
      <c r="Q5" s="3466"/>
      <c r="R5" s="3471"/>
      <c r="S5" s="3472"/>
      <c r="T5" s="3471"/>
      <c r="U5" s="3472"/>
      <c r="V5" s="3456"/>
      <c r="W5" s="3456"/>
      <c r="X5" s="1502"/>
      <c r="Y5" s="3471"/>
      <c r="Z5" s="3472"/>
      <c r="AA5" s="3459"/>
      <c r="AB5" s="3459"/>
      <c r="AC5" s="3459"/>
    </row>
    <row r="6" spans="1:29" ht="15" thickBot="1">
      <c r="A6" s="511"/>
      <c r="B6" s="512"/>
      <c r="C6" s="3475" t="s">
        <v>2902</v>
      </c>
      <c r="D6" s="3476"/>
      <c r="E6" s="3493" t="s">
        <v>2902</v>
      </c>
      <c r="F6" s="3494"/>
      <c r="G6" s="3475" t="s">
        <v>2902</v>
      </c>
      <c r="H6" s="3476"/>
      <c r="I6" s="3475" t="s">
        <v>2902</v>
      </c>
      <c r="J6" s="3476"/>
      <c r="K6" s="508" t="s">
        <v>522</v>
      </c>
      <c r="L6" s="2016"/>
      <c r="M6" s="2017"/>
      <c r="N6" s="2017"/>
      <c r="O6" s="2017"/>
      <c r="P6" s="3467"/>
      <c r="Q6" s="3468"/>
      <c r="R6" s="3471"/>
      <c r="S6" s="3472"/>
      <c r="T6" s="3473"/>
      <c r="U6" s="3474"/>
      <c r="V6" s="3456"/>
      <c r="W6" s="3456"/>
      <c r="X6" s="1502"/>
      <c r="Y6" s="3473"/>
      <c r="Z6" s="3474"/>
      <c r="AA6" s="3460"/>
      <c r="AB6" s="3460"/>
      <c r="AC6" s="3460"/>
    </row>
    <row r="7" spans="1:29" s="1203" customFormat="1" ht="15" thickBot="1">
      <c r="A7" s="2630"/>
      <c r="B7" s="2637" t="s">
        <v>523</v>
      </c>
      <c r="C7" s="513">
        <f>'数据-取费表'!B2</f>
        <v>0</v>
      </c>
      <c r="D7" s="514">
        <v>100</v>
      </c>
      <c r="E7" s="515"/>
      <c r="F7" s="516">
        <f>SUMIF(52:52,YEAR(E7)&amp;"-"&amp;MONTH(E7),53:53)</f>
        <v>100</v>
      </c>
      <c r="G7" s="515"/>
      <c r="H7" s="514">
        <f>SUMIF(52:52,YEAR(G7)&amp;"-"&amp;MONTH(G7),53:53)</f>
        <v>100</v>
      </c>
      <c r="I7" s="515"/>
      <c r="J7" s="514">
        <f>SUMIF(52:52,YEAR(I7)&amp;"-"&amp;MONTH(I7),53:53)</f>
        <v>100</v>
      </c>
      <c r="K7" s="518"/>
      <c r="L7" s="2018"/>
      <c r="M7" s="2019"/>
      <c r="N7" s="2019"/>
      <c r="O7" s="2019"/>
      <c r="P7" s="3486" t="s">
        <v>524</v>
      </c>
      <c r="Q7" s="3488"/>
      <c r="R7" s="1503" t="s">
        <v>8</v>
      </c>
      <c r="S7" s="1504">
        <f t="shared" ref="S7:S15" si="0">F7</f>
        <v>100</v>
      </c>
      <c r="T7" s="1503" t="s">
        <v>8</v>
      </c>
      <c r="U7" s="1504">
        <f t="shared" ref="U7:U15" si="1">H7</f>
        <v>100</v>
      </c>
      <c r="V7" s="1503" t="s">
        <v>8</v>
      </c>
      <c r="W7" s="1504">
        <f t="shared" ref="W7:W15" si="2">J7</f>
        <v>100</v>
      </c>
      <c r="X7" s="1505"/>
      <c r="Y7" s="3486" t="s">
        <v>524</v>
      </c>
      <c r="Z7" s="3487"/>
      <c r="AA7" s="1506">
        <f>D7/F7</f>
        <v>1</v>
      </c>
      <c r="AB7" s="1506">
        <f>D7/H7</f>
        <v>1</v>
      </c>
      <c r="AC7" s="1506">
        <f>D7/J7</f>
        <v>1</v>
      </c>
    </row>
    <row r="8" spans="1:29" s="1203" customFormat="1" ht="1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0" si="3">D8/F8</f>
        <v>#DIV/0!</v>
      </c>
      <c r="AB8" s="1506" t="e">
        <f t="shared" ref="AB8:AB40" si="4">D8/H8</f>
        <v>#DIV/0!</v>
      </c>
      <c r="AC8" s="1506" t="e">
        <f t="shared" ref="AC8:AC40" si="5">D8/J8</f>
        <v>#DIV/0!</v>
      </c>
    </row>
    <row r="9" spans="1:29" s="1203" customFormat="1" ht="14.4">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55" t="s">
        <v>529</v>
      </c>
      <c r="Q9" s="1134" t="str">
        <f t="shared" ref="Q9:Q15" si="6">B9</f>
        <v>用途</v>
      </c>
      <c r="R9" s="1503" t="s">
        <v>8</v>
      </c>
      <c r="S9" s="1504">
        <f t="shared" si="0"/>
        <v>100</v>
      </c>
      <c r="T9" s="1503" t="s">
        <v>8</v>
      </c>
      <c r="U9" s="1504">
        <f t="shared" si="1"/>
        <v>100</v>
      </c>
      <c r="V9" s="1503" t="s">
        <v>8</v>
      </c>
      <c r="W9" s="1504">
        <f t="shared" si="2"/>
        <v>100</v>
      </c>
      <c r="X9" s="1505"/>
      <c r="Y9" s="3401"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55"/>
      <c r="Q11" s="1134" t="str">
        <f t="shared" si="6"/>
        <v>容积率</v>
      </c>
      <c r="R11" s="1503" t="s">
        <v>8</v>
      </c>
      <c r="S11" s="1504" t="e">
        <f t="shared" si="0"/>
        <v>#N/A</v>
      </c>
      <c r="T11" s="1503" t="s">
        <v>8</v>
      </c>
      <c r="U11" s="1504" t="e">
        <f t="shared" si="1"/>
        <v>#N/A</v>
      </c>
      <c r="V11" s="1503" t="s">
        <v>8</v>
      </c>
      <c r="W11" s="1504" t="e">
        <f t="shared" si="2"/>
        <v>#N/A</v>
      </c>
      <c r="X11" s="1505"/>
      <c r="Y11" s="340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55"/>
      <c r="Q12" s="1134">
        <f t="shared" si="6"/>
        <v>111</v>
      </c>
      <c r="R12" s="1503" t="s">
        <v>8</v>
      </c>
      <c r="S12" s="1504">
        <f t="shared" si="0"/>
        <v>100</v>
      </c>
      <c r="T12" s="1503" t="s">
        <v>8</v>
      </c>
      <c r="U12" s="1504">
        <f t="shared" si="1"/>
        <v>100</v>
      </c>
      <c r="V12" s="1503" t="s">
        <v>8</v>
      </c>
      <c r="W12" s="1504">
        <f t="shared" si="2"/>
        <v>100</v>
      </c>
      <c r="X12" s="1505"/>
      <c r="Y12" s="3401"/>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55"/>
      <c r="Q13" s="1134">
        <f t="shared" si="6"/>
        <v>111</v>
      </c>
      <c r="R13" s="1503" t="s">
        <v>8</v>
      </c>
      <c r="S13" s="1504">
        <f t="shared" si="0"/>
        <v>100</v>
      </c>
      <c r="T13" s="1503" t="s">
        <v>8</v>
      </c>
      <c r="U13" s="1504">
        <f t="shared" si="1"/>
        <v>100</v>
      </c>
      <c r="V13" s="1503" t="s">
        <v>8</v>
      </c>
      <c r="W13" s="1504">
        <f t="shared" si="2"/>
        <v>100</v>
      </c>
      <c r="X13" s="1505"/>
      <c r="Y13" s="3401"/>
      <c r="Z13" s="1133">
        <f t="shared" si="7"/>
        <v>111</v>
      </c>
      <c r="AA13" s="1506">
        <f t="shared" si="3"/>
        <v>1</v>
      </c>
      <c r="AB13" s="1506">
        <f t="shared" si="4"/>
        <v>1</v>
      </c>
      <c r="AC13" s="1506">
        <f t="shared" si="5"/>
        <v>1</v>
      </c>
    </row>
    <row r="14" spans="1:29" ht="15.6"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55"/>
      <c r="Q14" s="1134">
        <f t="shared" si="6"/>
        <v>111</v>
      </c>
      <c r="R14" s="1503" t="s">
        <v>8</v>
      </c>
      <c r="S14" s="1504">
        <f t="shared" si="0"/>
        <v>100</v>
      </c>
      <c r="T14" s="1503" t="s">
        <v>8</v>
      </c>
      <c r="U14" s="1504">
        <f t="shared" si="1"/>
        <v>100</v>
      </c>
      <c r="V14" s="1503" t="s">
        <v>8</v>
      </c>
      <c r="W14" s="1504">
        <f t="shared" si="2"/>
        <v>100</v>
      </c>
      <c r="X14" s="1505"/>
      <c r="Y14" s="3401"/>
      <c r="Z14" s="1133">
        <f t="shared" si="7"/>
        <v>111</v>
      </c>
      <c r="AA14" s="1506">
        <f t="shared" si="3"/>
        <v>1</v>
      </c>
      <c r="AB14" s="1506">
        <f t="shared" si="4"/>
        <v>1</v>
      </c>
      <c r="AC14" s="1506">
        <f t="shared" si="5"/>
        <v>1</v>
      </c>
    </row>
    <row r="15" spans="1:29" ht="69">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89" t="s">
        <v>534</v>
      </c>
      <c r="Q15" s="1507" t="str">
        <f t="shared" si="6"/>
        <v>产业集聚程度</v>
      </c>
      <c r="R15" s="1508" t="s">
        <v>8</v>
      </c>
      <c r="S15" s="1509">
        <f t="shared" si="0"/>
        <v>100</v>
      </c>
      <c r="T15" s="1508" t="s">
        <v>8</v>
      </c>
      <c r="U15" s="1509">
        <f t="shared" si="1"/>
        <v>100</v>
      </c>
      <c r="V15" s="1508" t="s">
        <v>8</v>
      </c>
      <c r="W15" s="1509">
        <f t="shared" si="2"/>
        <v>100</v>
      </c>
      <c r="X15" s="1502"/>
      <c r="Y15" s="348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0"/>
      <c r="Q16" s="1507"/>
      <c r="R16" s="1508"/>
      <c r="S16" s="1509"/>
      <c r="T16" s="1508"/>
      <c r="U16" s="1509"/>
      <c r="V16" s="1508"/>
      <c r="W16" s="1509"/>
      <c r="X16" s="1502"/>
      <c r="Y16" s="3490"/>
      <c r="Z16" s="1510"/>
      <c r="AA16" s="1511">
        <v>1</v>
      </c>
      <c r="AB16" s="1511">
        <v>1</v>
      </c>
      <c r="AC16" s="1511">
        <v>1</v>
      </c>
    </row>
    <row r="17" spans="1:29" ht="96.6">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0"/>
      <c r="Q18" s="1507"/>
      <c r="R18" s="1508"/>
      <c r="S18" s="1509"/>
      <c r="T18" s="1508"/>
      <c r="U18" s="1509"/>
      <c r="V18" s="1508"/>
      <c r="W18" s="1509"/>
      <c r="X18" s="1502"/>
      <c r="Y18" s="3490"/>
      <c r="Z18" s="1510"/>
      <c r="AA18" s="1511">
        <v>1</v>
      </c>
      <c r="AB18" s="1511">
        <v>1</v>
      </c>
      <c r="AC18" s="1511">
        <v>1</v>
      </c>
    </row>
    <row r="19" spans="1:29" ht="41.4">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0"/>
      <c r="Q20" s="1507"/>
      <c r="R20" s="1508"/>
      <c r="S20" s="1509"/>
      <c r="T20" s="1508"/>
      <c r="U20" s="1509"/>
      <c r="V20" s="1508"/>
      <c r="W20" s="1509"/>
      <c r="X20" s="1502"/>
      <c r="Y20" s="3490"/>
      <c r="Z20" s="1510"/>
      <c r="AA20" s="1511">
        <v>1</v>
      </c>
      <c r="AB20" s="1511">
        <v>1</v>
      </c>
      <c r="AC20" s="1511">
        <v>1</v>
      </c>
    </row>
    <row r="21" spans="1:29" ht="41.4">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0"/>
      <c r="Q21" s="2430" t="str">
        <f>B21</f>
        <v>基础设施水平</v>
      </c>
      <c r="R21" s="1508" t="s">
        <v>8</v>
      </c>
      <c r="S21" s="1509">
        <f>F21</f>
        <v>100</v>
      </c>
      <c r="T21" s="1508" t="s">
        <v>8</v>
      </c>
      <c r="U21" s="1509">
        <f>H21</f>
        <v>100</v>
      </c>
      <c r="V21" s="1508" t="s">
        <v>8</v>
      </c>
      <c r="W21" s="1509">
        <f>J21</f>
        <v>100</v>
      </c>
      <c r="X21" s="2432"/>
      <c r="Y21" s="3490"/>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0"/>
      <c r="Q22" s="2430"/>
      <c r="R22" s="1508"/>
      <c r="S22" s="1509"/>
      <c r="T22" s="1508"/>
      <c r="U22" s="1509"/>
      <c r="V22" s="1508"/>
      <c r="W22" s="1509"/>
      <c r="X22" s="2432"/>
      <c r="Y22" s="3490"/>
      <c r="Z22" s="2431"/>
      <c r="AA22" s="1511">
        <v>1</v>
      </c>
      <c r="AB22" s="1511">
        <v>1</v>
      </c>
      <c r="AC22" s="1511">
        <v>1</v>
      </c>
    </row>
    <row r="23" spans="1:29" ht="82.8">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0"/>
      <c r="Q23" s="1507" t="str">
        <f>B23</f>
        <v>环境质量</v>
      </c>
      <c r="R23" s="1508" t="s">
        <v>8</v>
      </c>
      <c r="S23" s="1509">
        <f>F23</f>
        <v>100</v>
      </c>
      <c r="T23" s="1508" t="s">
        <v>8</v>
      </c>
      <c r="U23" s="1509">
        <f>H23</f>
        <v>100</v>
      </c>
      <c r="V23" s="1508" t="s">
        <v>8</v>
      </c>
      <c r="W23" s="1509">
        <f>J23</f>
        <v>100</v>
      </c>
      <c r="X23" s="1502"/>
      <c r="Y23" s="349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0"/>
      <c r="Q24" s="1507"/>
      <c r="R24" s="1508"/>
      <c r="S24" s="1509"/>
      <c r="T24" s="1508"/>
      <c r="U24" s="1509"/>
      <c r="V24" s="1508"/>
      <c r="W24" s="1509"/>
      <c r="X24" s="1502"/>
      <c r="Y24" s="349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0"/>
      <c r="Q25" s="1507">
        <f>B25</f>
        <v>111</v>
      </c>
      <c r="R25" s="1508" t="s">
        <v>8</v>
      </c>
      <c r="S25" s="1509">
        <f>F25</f>
        <v>100</v>
      </c>
      <c r="T25" s="1508" t="s">
        <v>8</v>
      </c>
      <c r="U25" s="1509">
        <f>H25</f>
        <v>100</v>
      </c>
      <c r="V25" s="1508" t="s">
        <v>8</v>
      </c>
      <c r="W25" s="1509">
        <f>J25</f>
        <v>100</v>
      </c>
      <c r="X25" s="1502"/>
      <c r="Y25" s="349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0"/>
      <c r="Q26" s="1507">
        <f t="shared" ref="Q26:Q40" si="11">B26</f>
        <v>111</v>
      </c>
      <c r="R26" s="1508" t="s">
        <v>8</v>
      </c>
      <c r="S26" s="1509">
        <f>F26</f>
        <v>100</v>
      </c>
      <c r="T26" s="1508" t="s">
        <v>8</v>
      </c>
      <c r="U26" s="1509">
        <f>H26</f>
        <v>100</v>
      </c>
      <c r="V26" s="1508" t="s">
        <v>8</v>
      </c>
      <c r="W26" s="1509">
        <f>J26</f>
        <v>100</v>
      </c>
      <c r="X26" s="1502"/>
      <c r="Y26" s="349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0"/>
      <c r="Q27" s="1134">
        <f t="shared" si="11"/>
        <v>111</v>
      </c>
      <c r="R27" s="1503" t="s">
        <v>8</v>
      </c>
      <c r="S27" s="1504">
        <f>F27</f>
        <v>100</v>
      </c>
      <c r="T27" s="1503" t="s">
        <v>8</v>
      </c>
      <c r="U27" s="1504">
        <f>H27</f>
        <v>100</v>
      </c>
      <c r="V27" s="1503" t="s">
        <v>8</v>
      </c>
      <c r="W27" s="1504">
        <f>J27</f>
        <v>100</v>
      </c>
      <c r="X27" s="1505"/>
      <c r="Y27" s="3490"/>
      <c r="Z27" s="1133">
        <f>Q27</f>
        <v>111</v>
      </c>
      <c r="AA27" s="1511">
        <f>D27/F27</f>
        <v>1</v>
      </c>
      <c r="AB27" s="1511">
        <f>D27/H27</f>
        <v>1</v>
      </c>
      <c r="AC27" s="1511">
        <f>D27/J27</f>
        <v>1</v>
      </c>
    </row>
    <row r="28" spans="1:29" ht="15.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0"/>
      <c r="Q28" s="1507">
        <f t="shared" si="11"/>
        <v>111</v>
      </c>
      <c r="R28" s="1508" t="s">
        <v>8</v>
      </c>
      <c r="S28" s="1509">
        <f t="shared" ref="S28:S40" si="12">F28</f>
        <v>100</v>
      </c>
      <c r="T28" s="1508" t="s">
        <v>8</v>
      </c>
      <c r="U28" s="1509">
        <f t="shared" ref="U28:U40" si="13">H28</f>
        <v>100</v>
      </c>
      <c r="V28" s="1508" t="s">
        <v>8</v>
      </c>
      <c r="W28" s="1509">
        <f t="shared" ref="W28:W40" si="14">J28</f>
        <v>100</v>
      </c>
      <c r="X28" s="1502"/>
      <c r="Y28" s="3490"/>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1" t="s">
        <v>544</v>
      </c>
      <c r="Q29" s="1507" t="str">
        <f t="shared" si="11"/>
        <v>建筑类型</v>
      </c>
      <c r="R29" s="1508" t="s">
        <v>8</v>
      </c>
      <c r="S29" s="1509">
        <f t="shared" si="12"/>
        <v>100</v>
      </c>
      <c r="T29" s="1508" t="s">
        <v>8</v>
      </c>
      <c r="U29" s="1509">
        <f t="shared" si="13"/>
        <v>100</v>
      </c>
      <c r="V29" s="1508" t="s">
        <v>8</v>
      </c>
      <c r="W29" s="1509">
        <f t="shared" si="14"/>
        <v>100</v>
      </c>
      <c r="X29" s="1502"/>
      <c r="Y29" s="349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2"/>
      <c r="Q30" s="1536" t="str">
        <f t="shared" si="11"/>
        <v>项目建筑规模</v>
      </c>
      <c r="R30" s="1512" t="s">
        <v>8</v>
      </c>
      <c r="S30" s="1513" t="e">
        <f t="shared" si="12"/>
        <v>#N/A</v>
      </c>
      <c r="T30" s="1512" t="s">
        <v>8</v>
      </c>
      <c r="U30" s="1513" t="e">
        <f t="shared" si="13"/>
        <v>#N/A</v>
      </c>
      <c r="V30" s="1512" t="s">
        <v>8</v>
      </c>
      <c r="W30" s="1513" t="e">
        <f t="shared" si="14"/>
        <v>#N/A</v>
      </c>
      <c r="X30" s="1514"/>
      <c r="Y30" s="349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2"/>
      <c r="Q31" s="1507" t="str">
        <f t="shared" si="11"/>
        <v>建筑结构</v>
      </c>
      <c r="R31" s="1508" t="s">
        <v>8</v>
      </c>
      <c r="S31" s="1509">
        <f t="shared" si="12"/>
        <v>100</v>
      </c>
      <c r="T31" s="1508" t="s">
        <v>8</v>
      </c>
      <c r="U31" s="1509">
        <f t="shared" si="13"/>
        <v>100</v>
      </c>
      <c r="V31" s="1508" t="s">
        <v>8</v>
      </c>
      <c r="W31" s="1509">
        <f t="shared" si="14"/>
        <v>100</v>
      </c>
      <c r="X31" s="1502"/>
      <c r="Y31" s="349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2"/>
      <c r="Q32" s="1507" t="str">
        <f t="shared" si="11"/>
        <v>公共部分装修</v>
      </c>
      <c r="R32" s="1508" t="s">
        <v>8</v>
      </c>
      <c r="S32" s="1509">
        <f t="shared" si="12"/>
        <v>100</v>
      </c>
      <c r="T32" s="1508" t="s">
        <v>8</v>
      </c>
      <c r="U32" s="1509">
        <f t="shared" si="13"/>
        <v>100</v>
      </c>
      <c r="V32" s="1508" t="s">
        <v>8</v>
      </c>
      <c r="W32" s="1509">
        <f t="shared" si="14"/>
        <v>100</v>
      </c>
      <c r="X32" s="1502"/>
      <c r="Y32" s="349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2"/>
      <c r="Q33" s="1507" t="str">
        <f t="shared" si="11"/>
        <v>成新度</v>
      </c>
      <c r="R33" s="1508" t="s">
        <v>8</v>
      </c>
      <c r="S33" s="1509" t="e">
        <f t="shared" si="12"/>
        <v>#N/A</v>
      </c>
      <c r="T33" s="1508" t="s">
        <v>8</v>
      </c>
      <c r="U33" s="1509" t="e">
        <f t="shared" si="13"/>
        <v>#N/A</v>
      </c>
      <c r="V33" s="1508" t="s">
        <v>8</v>
      </c>
      <c r="W33" s="1509" t="e">
        <f t="shared" si="14"/>
        <v>#N/A</v>
      </c>
      <c r="X33" s="1502"/>
      <c r="Y33" s="349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2"/>
      <c r="Q34" s="1134" t="str">
        <f t="shared" si="11"/>
        <v>物业管理</v>
      </c>
      <c r="R34" s="1503" t="s">
        <v>8</v>
      </c>
      <c r="S34" s="1504">
        <f t="shared" si="12"/>
        <v>100</v>
      </c>
      <c r="T34" s="1503" t="s">
        <v>8</v>
      </c>
      <c r="U34" s="1504">
        <f t="shared" si="13"/>
        <v>100</v>
      </c>
      <c r="V34" s="1503" t="s">
        <v>8</v>
      </c>
      <c r="W34" s="1504">
        <f t="shared" si="14"/>
        <v>100</v>
      </c>
      <c r="X34" s="1505"/>
      <c r="Y34" s="3492"/>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2" t="s">
        <v>544</v>
      </c>
      <c r="Q35" s="1507" t="str">
        <f t="shared" si="11"/>
        <v>市政基础设施</v>
      </c>
      <c r="R35" s="1508" t="s">
        <v>8</v>
      </c>
      <c r="S35" s="1509">
        <f t="shared" si="12"/>
        <v>100</v>
      </c>
      <c r="T35" s="1508" t="s">
        <v>8</v>
      </c>
      <c r="U35" s="1509">
        <f t="shared" si="13"/>
        <v>100</v>
      </c>
      <c r="V35" s="1508" t="s">
        <v>8</v>
      </c>
      <c r="W35" s="1509">
        <f t="shared" si="14"/>
        <v>100</v>
      </c>
      <c r="X35" s="1502"/>
      <c r="Y35" s="349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2"/>
      <c r="Q36" s="1507" t="str">
        <f t="shared" si="11"/>
        <v>内部装修</v>
      </c>
      <c r="R36" s="1508" t="s">
        <v>8</v>
      </c>
      <c r="S36" s="1509">
        <f t="shared" si="12"/>
        <v>100</v>
      </c>
      <c r="T36" s="1508" t="s">
        <v>8</v>
      </c>
      <c r="U36" s="1509">
        <f t="shared" si="13"/>
        <v>100</v>
      </c>
      <c r="V36" s="1508" t="s">
        <v>8</v>
      </c>
      <c r="W36" s="1509">
        <f t="shared" si="14"/>
        <v>100</v>
      </c>
      <c r="X36" s="1502"/>
      <c r="Y36" s="349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2"/>
      <c r="Q37" s="1507" t="str">
        <f t="shared" si="11"/>
        <v>内部装修状况</v>
      </c>
      <c r="R37" s="1508" t="s">
        <v>8</v>
      </c>
      <c r="S37" s="1509">
        <f t="shared" si="12"/>
        <v>100</v>
      </c>
      <c r="T37" s="1508" t="s">
        <v>8</v>
      </c>
      <c r="U37" s="1509">
        <f t="shared" si="13"/>
        <v>100</v>
      </c>
      <c r="V37" s="1508" t="s">
        <v>8</v>
      </c>
      <c r="W37" s="1509">
        <f t="shared" si="14"/>
        <v>100</v>
      </c>
      <c r="X37" s="1502"/>
      <c r="Y37" s="349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2"/>
      <c r="Q38" s="1536">
        <f t="shared" si="11"/>
        <v>111</v>
      </c>
      <c r="R38" s="1512" t="s">
        <v>8</v>
      </c>
      <c r="S38" s="1513">
        <f t="shared" si="12"/>
        <v>100</v>
      </c>
      <c r="T38" s="1512" t="s">
        <v>8</v>
      </c>
      <c r="U38" s="1513">
        <f t="shared" si="13"/>
        <v>100</v>
      </c>
      <c r="V38" s="1512" t="s">
        <v>8</v>
      </c>
      <c r="W38" s="1513">
        <f t="shared" si="14"/>
        <v>100</v>
      </c>
      <c r="X38" s="1514"/>
      <c r="Y38" s="349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2"/>
      <c r="Q39" s="1507">
        <f t="shared" si="11"/>
        <v>111</v>
      </c>
      <c r="R39" s="1508" t="s">
        <v>8</v>
      </c>
      <c r="S39" s="1509">
        <f t="shared" si="12"/>
        <v>100</v>
      </c>
      <c r="T39" s="1508" t="s">
        <v>8</v>
      </c>
      <c r="U39" s="1509">
        <f t="shared" si="13"/>
        <v>100</v>
      </c>
      <c r="V39" s="1508" t="s">
        <v>8</v>
      </c>
      <c r="W39" s="1509">
        <f t="shared" si="14"/>
        <v>100</v>
      </c>
      <c r="X39" s="1502"/>
      <c r="Y39" s="3492"/>
      <c r="Z39" s="1510">
        <f t="shared" si="15"/>
        <v>111</v>
      </c>
      <c r="AA39" s="1511">
        <f t="shared" si="3"/>
        <v>1</v>
      </c>
      <c r="AB39" s="1511">
        <f t="shared" si="4"/>
        <v>1</v>
      </c>
      <c r="AC39" s="1511">
        <f t="shared" si="5"/>
        <v>1</v>
      </c>
    </row>
    <row r="40" spans="1:29" ht="15.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4"/>
      <c r="Q40" s="1507">
        <f t="shared" si="11"/>
        <v>111</v>
      </c>
      <c r="R40" s="1508" t="s">
        <v>8</v>
      </c>
      <c r="S40" s="1509">
        <f t="shared" si="12"/>
        <v>100</v>
      </c>
      <c r="T40" s="1508" t="s">
        <v>8</v>
      </c>
      <c r="U40" s="1509">
        <f t="shared" si="13"/>
        <v>100</v>
      </c>
      <c r="V40" s="1508" t="s">
        <v>8</v>
      </c>
      <c r="W40" s="1509">
        <f t="shared" si="14"/>
        <v>100</v>
      </c>
      <c r="X40" s="1502"/>
      <c r="Y40" s="3574"/>
      <c r="Z40" s="1510">
        <f t="shared" si="15"/>
        <v>111</v>
      </c>
      <c r="AA40" s="1511">
        <f t="shared" si="3"/>
        <v>1</v>
      </c>
      <c r="AB40" s="1511">
        <f t="shared" si="4"/>
        <v>1</v>
      </c>
      <c r="AC40" s="1511">
        <f t="shared" si="5"/>
        <v>1</v>
      </c>
    </row>
    <row r="41" spans="1:29" ht="14.4">
      <c r="A41" s="601" t="s">
        <v>730</v>
      </c>
      <c r="B41" s="876"/>
      <c r="C41" s="2471" t="s">
        <v>1</v>
      </c>
      <c r="D41" s="2472"/>
      <c r="E41" s="2473"/>
      <c r="F41" s="2474"/>
      <c r="G41" s="2475"/>
      <c r="H41" s="2476"/>
      <c r="I41" s="2473"/>
      <c r="J41" s="2476"/>
      <c r="K41" s="1541"/>
      <c r="L41" s="2027"/>
      <c r="M41" s="2028"/>
      <c r="N41" s="2017"/>
      <c r="O41" s="2028"/>
      <c r="P41" s="3455" t="str">
        <f>A41</f>
        <v>成交单价（元/平方米）</v>
      </c>
      <c r="Q41" s="3455"/>
      <c r="R41" s="3573">
        <f>E41</f>
        <v>0</v>
      </c>
      <c r="S41" s="3573"/>
      <c r="T41" s="3573">
        <f>G41</f>
        <v>0</v>
      </c>
      <c r="U41" s="3573"/>
      <c r="V41" s="3573">
        <f>I41</f>
        <v>0</v>
      </c>
      <c r="W41" s="3573"/>
      <c r="X41" s="1497"/>
      <c r="Y41" s="1516"/>
      <c r="Z41" s="1497"/>
      <c r="AA41" s="1497"/>
      <c r="AB41" s="1497"/>
      <c r="AC41" s="1497"/>
    </row>
    <row r="42" spans="1:29" ht="1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55" t="str">
        <f>A42</f>
        <v>比较价格（元/平方米）</v>
      </c>
      <c r="Q42" s="3455"/>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497"/>
      <c r="Y42" s="1497"/>
      <c r="Z42" s="1497"/>
      <c r="AA42" s="1497"/>
      <c r="AB42" s="1497"/>
      <c r="AC42" s="1497"/>
    </row>
    <row r="43" spans="1:29" ht="15" thickBot="1">
      <c r="A43" s="613" t="s">
        <v>2904</v>
      </c>
      <c r="B43" s="614"/>
      <c r="C43" s="2479" t="e">
        <f>R43</f>
        <v>#DIV/0!</v>
      </c>
      <c r="D43" s="2479"/>
      <c r="E43" s="2479"/>
      <c r="F43" s="2479"/>
      <c r="G43" s="2479"/>
      <c r="H43" s="2479"/>
      <c r="I43" s="2479"/>
      <c r="J43" s="2479"/>
      <c r="K43" s="1542"/>
      <c r="L43" s="2027"/>
      <c r="M43" s="2028"/>
      <c r="N43" s="2028"/>
      <c r="O43" s="2028"/>
      <c r="P43" s="3452" t="str">
        <f>A43</f>
        <v>估价对象XX用房的比较价格（楼面单价，元/平方米）</v>
      </c>
      <c r="Q43" s="3453"/>
      <c r="R43" s="3572" t="e">
        <f>IF(F1="售价",ROUND(IF(D42="简单平均",AVERAGE(R42:V42),R42*F42+T42*H42+V42*J42),0),ROUND(IF(D42="简单平均",AVERAGE(R42:V42),R42*F42+T42*H42+V42*J42),1))</f>
        <v>#DIV/0!</v>
      </c>
      <c r="S43" s="3572"/>
      <c r="T43" s="3572"/>
      <c r="U43" s="3572"/>
      <c r="V43" s="3572"/>
      <c r="W43" s="3572"/>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2.2"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4.4">
      <c r="A52" s="637" t="s">
        <v>523</v>
      </c>
      <c r="B52" s="638"/>
      <c r="C52" s="2520" t="str">
        <f>YEAR(C7)&amp;"-"&amp;MONTH(C7)</f>
        <v>1900-1</v>
      </c>
      <c r="D52" s="2522" t="e">
        <f>EDATE(C52,-1)</f>
        <v>#NUM!</v>
      </c>
      <c r="E52" s="2522" t="e">
        <f t="shared" ref="E52:O52" si="16">EDATE(D52,-1)</f>
        <v>#NUM!</v>
      </c>
      <c r="F52" s="2522" t="e">
        <f t="shared" si="16"/>
        <v>#NUM!</v>
      </c>
      <c r="G52" s="2522" t="e">
        <f t="shared" si="16"/>
        <v>#NUM!</v>
      </c>
      <c r="H52" s="2522" t="e">
        <f t="shared" si="16"/>
        <v>#NUM!</v>
      </c>
      <c r="I52" s="2522" t="e">
        <f t="shared" si="16"/>
        <v>#NUM!</v>
      </c>
      <c r="J52" s="2522" t="e">
        <f t="shared" si="16"/>
        <v>#NUM!</v>
      </c>
      <c r="K52" s="2522" t="e">
        <f t="shared" si="16"/>
        <v>#NUM!</v>
      </c>
      <c r="L52" s="2522" t="e">
        <f t="shared" si="16"/>
        <v>#NUM!</v>
      </c>
      <c r="M52" s="2522" t="e">
        <f t="shared" si="16"/>
        <v>#NUM!</v>
      </c>
      <c r="N52" s="2522" t="e">
        <f t="shared" si="16"/>
        <v>#NUM!</v>
      </c>
      <c r="O52" s="2522" t="e">
        <f t="shared" si="16"/>
        <v>#NUM!</v>
      </c>
      <c r="P52" s="2042"/>
      <c r="Q52" s="2043"/>
      <c r="R52" s="2043"/>
      <c r="S52" s="2043"/>
      <c r="T52" s="2043"/>
      <c r="U52" s="2043"/>
      <c r="V52" s="2043"/>
      <c r="W52" s="2043"/>
      <c r="X52" s="2043"/>
      <c r="Y52" s="2043"/>
      <c r="Z52" s="2043"/>
      <c r="AA52" s="2043"/>
      <c r="AB52" s="2043"/>
      <c r="AC52" s="2043"/>
    </row>
    <row r="53" spans="1:29" s="1203" customFormat="1">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4.4">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4.4"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ht="14.4">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4.4"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4.4"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4.4"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4.4"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4.4"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4.4"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ht="14.4">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4.4"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4.4"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4.4"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4.4"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4.4"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4.4"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4.4"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ht="14.4">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9.4"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4.4"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4.4"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4.4"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4.4"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461" t="s">
        <v>792</v>
      </c>
      <c r="D4" s="3462"/>
      <c r="E4" s="3461" t="s">
        <v>793</v>
      </c>
      <c r="F4" s="3462"/>
      <c r="G4" s="3461" t="s">
        <v>794</v>
      </c>
      <c r="H4" s="3462"/>
      <c r="I4" s="3461" t="s">
        <v>795</v>
      </c>
      <c r="J4" s="3462"/>
      <c r="K4" s="508" t="s">
        <v>796</v>
      </c>
      <c r="L4" s="2016"/>
      <c r="M4" s="2017"/>
      <c r="N4" s="2017"/>
      <c r="O4" s="2017"/>
      <c r="P4" s="3463" t="s">
        <v>797</v>
      </c>
      <c r="Q4" s="3464"/>
      <c r="R4" s="3469" t="s">
        <v>793</v>
      </c>
      <c r="S4" s="3470"/>
      <c r="T4" s="3469" t="s">
        <v>794</v>
      </c>
      <c r="U4" s="3470"/>
      <c r="V4" s="3456" t="s">
        <v>795</v>
      </c>
      <c r="W4" s="3456"/>
      <c r="X4" s="1502"/>
      <c r="Y4" s="3469" t="s">
        <v>797</v>
      </c>
      <c r="Z4" s="3470"/>
      <c r="AA4" s="3458" t="s">
        <v>793</v>
      </c>
      <c r="AB4" s="3459" t="s">
        <v>794</v>
      </c>
      <c r="AC4" s="3458" t="s">
        <v>795</v>
      </c>
    </row>
    <row r="5" spans="1:29">
      <c r="A5" s="509"/>
      <c r="B5" s="510"/>
      <c r="C5" s="3477" t="s">
        <v>2898</v>
      </c>
      <c r="D5" s="3478"/>
      <c r="E5" s="3477" t="s">
        <v>2899</v>
      </c>
      <c r="F5" s="3478"/>
      <c r="G5" s="3477" t="s">
        <v>2900</v>
      </c>
      <c r="H5" s="3478"/>
      <c r="I5" s="3477" t="s">
        <v>2901</v>
      </c>
      <c r="J5" s="3478"/>
      <c r="K5" s="508"/>
      <c r="L5" s="2016"/>
      <c r="M5" s="2017"/>
      <c r="N5" s="2017"/>
      <c r="O5" s="2017"/>
      <c r="P5" s="3465"/>
      <c r="Q5" s="3466"/>
      <c r="R5" s="3471"/>
      <c r="S5" s="3472"/>
      <c r="T5" s="3471"/>
      <c r="U5" s="3472"/>
      <c r="V5" s="3456"/>
      <c r="W5" s="3456"/>
      <c r="X5" s="1502"/>
      <c r="Y5" s="3471"/>
      <c r="Z5" s="3472"/>
      <c r="AA5" s="3459"/>
      <c r="AB5" s="3459"/>
      <c r="AC5" s="3459"/>
    </row>
    <row r="6" spans="1:29" ht="15" thickBot="1">
      <c r="A6" s="511"/>
      <c r="B6" s="512"/>
      <c r="C6" s="3475" t="s">
        <v>2902</v>
      </c>
      <c r="D6" s="3476"/>
      <c r="E6" s="3479" t="s">
        <v>2902</v>
      </c>
      <c r="F6" s="3480"/>
      <c r="G6" s="3475" t="s">
        <v>2902</v>
      </c>
      <c r="H6" s="3476"/>
      <c r="I6" s="3475" t="s">
        <v>2902</v>
      </c>
      <c r="J6" s="3476"/>
      <c r="K6" s="508" t="s">
        <v>522</v>
      </c>
      <c r="L6" s="2016"/>
      <c r="M6" s="2017"/>
      <c r="N6" s="2017"/>
      <c r="O6" s="2017"/>
      <c r="P6" s="3467"/>
      <c r="Q6" s="3468"/>
      <c r="R6" s="3471"/>
      <c r="S6" s="3472"/>
      <c r="T6" s="3473"/>
      <c r="U6" s="3474"/>
      <c r="V6" s="3456"/>
      <c r="W6" s="3456"/>
      <c r="X6" s="1502"/>
      <c r="Y6" s="3473"/>
      <c r="Z6" s="3474"/>
      <c r="AA6" s="3460"/>
      <c r="AB6" s="3460"/>
      <c r="AC6" s="3460"/>
    </row>
    <row r="7" spans="1:29" s="1203" customFormat="1" ht="15" thickBot="1">
      <c r="A7" s="2630"/>
      <c r="B7" s="2637" t="s">
        <v>523</v>
      </c>
      <c r="C7" s="513">
        <f>'数据-取费表'!B2</f>
        <v>0</v>
      </c>
      <c r="D7" s="514">
        <v>100</v>
      </c>
      <c r="E7" s="515"/>
      <c r="F7" s="516">
        <f>SUMIF(48:48,YEAR(E7)&amp;"-"&amp;MONTH(E7),49:49)</f>
        <v>100</v>
      </c>
      <c r="G7" s="517"/>
      <c r="H7" s="514">
        <f>SUMIF(48:48,YEAR(G7)&amp;"-"&amp;MONTH(G7),49:49)</f>
        <v>100</v>
      </c>
      <c r="I7" s="517"/>
      <c r="J7" s="514">
        <f>SUMIF(48:48,YEAR(I7)&amp;"-"&amp;MONTH(I7),49:49)</f>
        <v>100</v>
      </c>
      <c r="K7" s="518"/>
      <c r="L7" s="2018"/>
      <c r="M7" s="2019"/>
      <c r="N7" s="2019"/>
      <c r="O7" s="2019"/>
      <c r="P7" s="3486" t="s">
        <v>524</v>
      </c>
      <c r="Q7" s="3488"/>
      <c r="R7" s="1503" t="s">
        <v>8</v>
      </c>
      <c r="S7" s="1504">
        <f t="shared" ref="S7:S14" si="0">F7</f>
        <v>100</v>
      </c>
      <c r="T7" s="1503" t="s">
        <v>8</v>
      </c>
      <c r="U7" s="1504">
        <f t="shared" ref="U7:U14" si="1">H7</f>
        <v>100</v>
      </c>
      <c r="V7" s="1503" t="s">
        <v>8</v>
      </c>
      <c r="W7" s="1504">
        <f t="shared" ref="W7:W14" si="2">J7</f>
        <v>100</v>
      </c>
      <c r="X7" s="1505"/>
      <c r="Y7" s="3486" t="s">
        <v>524</v>
      </c>
      <c r="Z7" s="3487"/>
      <c r="AA7" s="1506">
        <f>D7/F7</f>
        <v>1</v>
      </c>
      <c r="AB7" s="1506">
        <f>D7/H7</f>
        <v>1</v>
      </c>
      <c r="AC7" s="1506">
        <f>D7/J7</f>
        <v>1</v>
      </c>
    </row>
    <row r="8" spans="1:29" s="1203" customFormat="1" ht="1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6" si="3">D8/F8</f>
        <v>#DIV/0!</v>
      </c>
      <c r="AB8" s="1506" t="e">
        <f t="shared" ref="AB8:AB36" si="4">D8/H8</f>
        <v>#DIV/0!</v>
      </c>
      <c r="AC8" s="1506" t="e">
        <f t="shared" ref="AC8:AC36" si="5">D8/J8</f>
        <v>#DIV/0!</v>
      </c>
    </row>
    <row r="9" spans="1:29" s="1203" customFormat="1" ht="14.4">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55" t="s">
        <v>529</v>
      </c>
      <c r="Q9" s="1134" t="str">
        <f t="shared" ref="Q9:Q14" si="6">B9</f>
        <v>用途</v>
      </c>
      <c r="R9" s="1503" t="s">
        <v>8</v>
      </c>
      <c r="S9" s="1504">
        <f t="shared" si="0"/>
        <v>100</v>
      </c>
      <c r="T9" s="1503" t="s">
        <v>8</v>
      </c>
      <c r="U9" s="1504">
        <f t="shared" si="1"/>
        <v>100</v>
      </c>
      <c r="V9" s="1503" t="s">
        <v>8</v>
      </c>
      <c r="W9" s="1504">
        <f t="shared" si="2"/>
        <v>100</v>
      </c>
      <c r="X9" s="1505"/>
      <c r="Y9" s="3401" t="s">
        <v>530</v>
      </c>
      <c r="Z9" s="1133" t="str">
        <f t="shared" ref="Z9:Z14" si="7">Q9</f>
        <v>用途</v>
      </c>
      <c r="AA9" s="1506">
        <f t="shared" si="3"/>
        <v>1</v>
      </c>
      <c r="AB9" s="1506">
        <f t="shared" si="4"/>
        <v>1</v>
      </c>
      <c r="AC9" s="1506">
        <f t="shared" si="5"/>
        <v>1</v>
      </c>
    </row>
    <row r="10" spans="1:29" s="1292" customFormat="1" ht="28.8">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55"/>
      <c r="Q11" s="1134">
        <f t="shared" si="6"/>
        <v>111</v>
      </c>
      <c r="R11" s="1503" t="s">
        <v>8</v>
      </c>
      <c r="S11" s="1504">
        <f t="shared" si="0"/>
        <v>100</v>
      </c>
      <c r="T11" s="1503" t="s">
        <v>8</v>
      </c>
      <c r="U11" s="1504">
        <f t="shared" si="1"/>
        <v>100</v>
      </c>
      <c r="V11" s="1503" t="s">
        <v>8</v>
      </c>
      <c r="W11" s="1504">
        <f t="shared" si="2"/>
        <v>100</v>
      </c>
      <c r="X11" s="1505"/>
      <c r="Y11" s="3401"/>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55"/>
      <c r="Q12" s="1134">
        <f t="shared" si="6"/>
        <v>111</v>
      </c>
      <c r="R12" s="1503" t="s">
        <v>8</v>
      </c>
      <c r="S12" s="1504">
        <f t="shared" si="0"/>
        <v>100</v>
      </c>
      <c r="T12" s="1503" t="s">
        <v>8</v>
      </c>
      <c r="U12" s="1504">
        <f t="shared" si="1"/>
        <v>100</v>
      </c>
      <c r="V12" s="1503" t="s">
        <v>8</v>
      </c>
      <c r="W12" s="1504">
        <f t="shared" si="2"/>
        <v>100</v>
      </c>
      <c r="X12" s="1505"/>
      <c r="Y12" s="3401"/>
      <c r="Z12" s="1133">
        <f t="shared" si="7"/>
        <v>111</v>
      </c>
      <c r="AA12" s="1506">
        <f>D12/F12</f>
        <v>1</v>
      </c>
      <c r="AB12" s="1506">
        <f>D12/H12</f>
        <v>1</v>
      </c>
      <c r="AC12" s="1506">
        <f>D12/J12</f>
        <v>1</v>
      </c>
    </row>
    <row r="13" spans="1:29" ht="15.6"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55"/>
      <c r="Q13" s="1134">
        <f t="shared" si="6"/>
        <v>111</v>
      </c>
      <c r="R13" s="1503" t="s">
        <v>8</v>
      </c>
      <c r="S13" s="1504">
        <f t="shared" si="0"/>
        <v>100</v>
      </c>
      <c r="T13" s="1503" t="s">
        <v>8</v>
      </c>
      <c r="U13" s="1504">
        <f t="shared" si="1"/>
        <v>100</v>
      </c>
      <c r="V13" s="1503" t="s">
        <v>8</v>
      </c>
      <c r="W13" s="1504">
        <f t="shared" si="2"/>
        <v>100</v>
      </c>
      <c r="X13" s="1505"/>
      <c r="Y13" s="3401"/>
      <c r="Z13" s="1133">
        <f t="shared" si="7"/>
        <v>111</v>
      </c>
      <c r="AA13" s="1506">
        <f t="shared" si="3"/>
        <v>1</v>
      </c>
      <c r="AB13" s="1506">
        <f t="shared" si="4"/>
        <v>1</v>
      </c>
      <c r="AC13" s="1506">
        <f t="shared" si="5"/>
        <v>1</v>
      </c>
    </row>
    <row r="14" spans="1:29" ht="96.6">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89" t="s">
        <v>534</v>
      </c>
      <c r="Q14" s="1507" t="str">
        <f t="shared" si="6"/>
        <v>交通便捷度</v>
      </c>
      <c r="R14" s="1508" t="s">
        <v>8</v>
      </c>
      <c r="S14" s="1509">
        <f t="shared" si="0"/>
        <v>100</v>
      </c>
      <c r="T14" s="1508" t="s">
        <v>8</v>
      </c>
      <c r="U14" s="1509">
        <f t="shared" si="1"/>
        <v>100</v>
      </c>
      <c r="V14" s="1508" t="s">
        <v>8</v>
      </c>
      <c r="W14" s="1509">
        <f t="shared" si="2"/>
        <v>100</v>
      </c>
      <c r="X14" s="1502"/>
      <c r="Y14" s="348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0"/>
      <c r="Q15" s="1507"/>
      <c r="R15" s="1508"/>
      <c r="S15" s="1509"/>
      <c r="T15" s="1508"/>
      <c r="U15" s="1509"/>
      <c r="V15" s="1508"/>
      <c r="W15" s="1509"/>
      <c r="X15" s="1502"/>
      <c r="Y15" s="3490"/>
      <c r="Z15" s="1510"/>
      <c r="AA15" s="1511">
        <v>1</v>
      </c>
      <c r="AB15" s="1511">
        <v>1</v>
      </c>
      <c r="AC15" s="1511">
        <v>1</v>
      </c>
    </row>
    <row r="16" spans="1:29" ht="41.4">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0"/>
      <c r="Q16" s="1507" t="str">
        <f>B16</f>
        <v>公共配套设施</v>
      </c>
      <c r="R16" s="1508" t="s">
        <v>8</v>
      </c>
      <c r="S16" s="1509">
        <f>F16</f>
        <v>100</v>
      </c>
      <c r="T16" s="1508" t="s">
        <v>8</v>
      </c>
      <c r="U16" s="1509">
        <f>H16</f>
        <v>100</v>
      </c>
      <c r="V16" s="1508" t="s">
        <v>8</v>
      </c>
      <c r="W16" s="1509">
        <f>J16</f>
        <v>100</v>
      </c>
      <c r="X16" s="1502"/>
      <c r="Y16" s="349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0"/>
      <c r="Q17" s="1507"/>
      <c r="R17" s="1508"/>
      <c r="S17" s="1509"/>
      <c r="T17" s="1508"/>
      <c r="U17" s="1509"/>
      <c r="V17" s="1508"/>
      <c r="W17" s="1509"/>
      <c r="X17" s="1502"/>
      <c r="Y17" s="3490"/>
      <c r="Z17" s="1510"/>
      <c r="AA17" s="1511">
        <v>1</v>
      </c>
      <c r="AB17" s="1511">
        <v>1</v>
      </c>
      <c r="AC17" s="1511">
        <v>1</v>
      </c>
    </row>
    <row r="18" spans="1:29" ht="41.4">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0"/>
      <c r="Q18" s="2430" t="str">
        <f>B18</f>
        <v>基础设施水平</v>
      </c>
      <c r="R18" s="1508" t="s">
        <v>8</v>
      </c>
      <c r="S18" s="1509">
        <f>F18</f>
        <v>100</v>
      </c>
      <c r="T18" s="1508" t="s">
        <v>8</v>
      </c>
      <c r="U18" s="1509">
        <f>H18</f>
        <v>100</v>
      </c>
      <c r="V18" s="1508" t="s">
        <v>8</v>
      </c>
      <c r="W18" s="1509">
        <f>J18</f>
        <v>100</v>
      </c>
      <c r="X18" s="2432"/>
      <c r="Y18" s="3490"/>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0"/>
      <c r="Q19" s="2430"/>
      <c r="R19" s="1508"/>
      <c r="S19" s="1509"/>
      <c r="T19" s="1508"/>
      <c r="U19" s="1509"/>
      <c r="V19" s="1508"/>
      <c r="W19" s="1509"/>
      <c r="X19" s="2432"/>
      <c r="Y19" s="3490"/>
      <c r="Z19" s="2431"/>
      <c r="AA19" s="1511">
        <v>1</v>
      </c>
      <c r="AB19" s="1511">
        <v>1</v>
      </c>
      <c r="AC19" s="1511">
        <v>1</v>
      </c>
    </row>
    <row r="20" spans="1:29" ht="55.2">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0"/>
      <c r="Q20" s="1507" t="str">
        <f>B20</f>
        <v>自然及人文环境</v>
      </c>
      <c r="R20" s="1508" t="s">
        <v>8</v>
      </c>
      <c r="S20" s="1509">
        <f>F20</f>
        <v>100</v>
      </c>
      <c r="T20" s="1508" t="s">
        <v>8</v>
      </c>
      <c r="U20" s="1509">
        <f>H20</f>
        <v>100</v>
      </c>
      <c r="V20" s="1508" t="s">
        <v>8</v>
      </c>
      <c r="W20" s="1509">
        <f>J20</f>
        <v>100</v>
      </c>
      <c r="X20" s="1502"/>
      <c r="Y20" s="349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0"/>
      <c r="Q21" s="1507"/>
      <c r="R21" s="1508"/>
      <c r="S21" s="1509"/>
      <c r="T21" s="1508"/>
      <c r="U21" s="1509"/>
      <c r="V21" s="1508"/>
      <c r="W21" s="1509"/>
      <c r="X21" s="1502"/>
      <c r="Y21" s="349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0"/>
      <c r="Q22" s="1507" t="str">
        <f>B22</f>
        <v>楼层</v>
      </c>
      <c r="R22" s="1508" t="s">
        <v>8</v>
      </c>
      <c r="S22" s="1509">
        <f>F22</f>
        <v>100</v>
      </c>
      <c r="T22" s="1508" t="s">
        <v>8</v>
      </c>
      <c r="U22" s="1509">
        <f>H22</f>
        <v>100</v>
      </c>
      <c r="V22" s="1508" t="s">
        <v>8</v>
      </c>
      <c r="W22" s="1509">
        <f>J22</f>
        <v>100</v>
      </c>
      <c r="X22" s="1502"/>
      <c r="Y22" s="349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0"/>
      <c r="Q23" s="1507">
        <f>B23</f>
        <v>111</v>
      </c>
      <c r="R23" s="1508" t="s">
        <v>8</v>
      </c>
      <c r="S23" s="1509">
        <f>F23</f>
        <v>100</v>
      </c>
      <c r="T23" s="1508" t="s">
        <v>8</v>
      </c>
      <c r="U23" s="1509">
        <f>H23</f>
        <v>100</v>
      </c>
      <c r="V23" s="1508" t="s">
        <v>8</v>
      </c>
      <c r="W23" s="1509">
        <f>J23</f>
        <v>100</v>
      </c>
      <c r="X23" s="1502"/>
      <c r="Y23" s="349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0"/>
      <c r="Q24" s="1507">
        <f t="shared" ref="Q24:Q36" si="11">B24</f>
        <v>111</v>
      </c>
      <c r="R24" s="1508" t="s">
        <v>8</v>
      </c>
      <c r="S24" s="1509">
        <f>F24</f>
        <v>100</v>
      </c>
      <c r="T24" s="1508" t="s">
        <v>8</v>
      </c>
      <c r="U24" s="1509">
        <f>H24</f>
        <v>100</v>
      </c>
      <c r="V24" s="1508" t="s">
        <v>8</v>
      </c>
      <c r="W24" s="1509">
        <f>J24</f>
        <v>100</v>
      </c>
      <c r="X24" s="1502"/>
      <c r="Y24" s="3490"/>
      <c r="Z24" s="1510">
        <f>Q24</f>
        <v>111</v>
      </c>
      <c r="AA24" s="1511">
        <f t="shared" si="3"/>
        <v>1</v>
      </c>
      <c r="AB24" s="1511">
        <f t="shared" si="4"/>
        <v>1</v>
      </c>
      <c r="AC24" s="1511">
        <f t="shared" si="5"/>
        <v>1</v>
      </c>
    </row>
    <row r="25" spans="1:29" s="1203" customFormat="1" ht="15.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0"/>
      <c r="Q25" s="1134">
        <f t="shared" si="11"/>
        <v>111</v>
      </c>
      <c r="R25" s="1503" t="s">
        <v>8</v>
      </c>
      <c r="S25" s="1504">
        <f>F25</f>
        <v>100</v>
      </c>
      <c r="T25" s="1503" t="s">
        <v>8</v>
      </c>
      <c r="U25" s="1504">
        <f>H25</f>
        <v>100</v>
      </c>
      <c r="V25" s="1503" t="s">
        <v>8</v>
      </c>
      <c r="W25" s="1504">
        <f>J25</f>
        <v>100</v>
      </c>
      <c r="X25" s="1505"/>
      <c r="Y25" s="3490"/>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2"/>
      <c r="Q27" s="1536" t="str">
        <f t="shared" si="11"/>
        <v>项目停车位配比</v>
      </c>
      <c r="R27" s="1512" t="s">
        <v>8</v>
      </c>
      <c r="S27" s="1513">
        <f t="shared" si="12"/>
        <v>100</v>
      </c>
      <c r="T27" s="1512" t="s">
        <v>8</v>
      </c>
      <c r="U27" s="1513">
        <f t="shared" si="13"/>
        <v>100</v>
      </c>
      <c r="V27" s="1512" t="s">
        <v>8</v>
      </c>
      <c r="W27" s="1513">
        <f t="shared" si="14"/>
        <v>100</v>
      </c>
      <c r="X27" s="1514"/>
      <c r="Y27" s="349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2"/>
      <c r="Q28" s="1507" t="str">
        <f t="shared" si="11"/>
        <v>公共部分装修</v>
      </c>
      <c r="R28" s="1508" t="s">
        <v>8</v>
      </c>
      <c r="S28" s="1509">
        <f t="shared" si="12"/>
        <v>100</v>
      </c>
      <c r="T28" s="1508" t="s">
        <v>8</v>
      </c>
      <c r="U28" s="1509">
        <f t="shared" si="13"/>
        <v>100</v>
      </c>
      <c r="V28" s="1508" t="s">
        <v>8</v>
      </c>
      <c r="W28" s="1509">
        <f t="shared" si="14"/>
        <v>100</v>
      </c>
      <c r="X28" s="1502"/>
      <c r="Y28" s="349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2"/>
      <c r="Q29" s="1507" t="str">
        <f t="shared" si="11"/>
        <v>成新率</v>
      </c>
      <c r="R29" s="1508" t="s">
        <v>8</v>
      </c>
      <c r="S29" s="1509" t="e">
        <f t="shared" si="12"/>
        <v>#N/A</v>
      </c>
      <c r="T29" s="1508" t="s">
        <v>8</v>
      </c>
      <c r="U29" s="1509" t="e">
        <f t="shared" si="13"/>
        <v>#N/A</v>
      </c>
      <c r="V29" s="1508" t="s">
        <v>8</v>
      </c>
      <c r="W29" s="1509" t="e">
        <f t="shared" si="14"/>
        <v>#N/A</v>
      </c>
      <c r="X29" s="1502"/>
      <c r="Y29" s="349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2"/>
      <c r="Q30" s="1507" t="str">
        <f t="shared" si="11"/>
        <v>物业等级</v>
      </c>
      <c r="R30" s="1508" t="s">
        <v>8</v>
      </c>
      <c r="S30" s="1509">
        <f t="shared" si="12"/>
        <v>100</v>
      </c>
      <c r="T30" s="1508" t="s">
        <v>8</v>
      </c>
      <c r="U30" s="1509">
        <f t="shared" si="13"/>
        <v>100</v>
      </c>
      <c r="V30" s="1508" t="s">
        <v>8</v>
      </c>
      <c r="W30" s="1509">
        <f t="shared" si="14"/>
        <v>100</v>
      </c>
      <c r="X30" s="1502"/>
      <c r="Y30" s="349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2"/>
      <c r="Q31" s="1134" t="str">
        <f t="shared" si="11"/>
        <v>停车位面积</v>
      </c>
      <c r="R31" s="1503" t="s">
        <v>8</v>
      </c>
      <c r="S31" s="1504" t="e">
        <f t="shared" si="12"/>
        <v>#N/A</v>
      </c>
      <c r="T31" s="1503" t="s">
        <v>8</v>
      </c>
      <c r="U31" s="1504" t="e">
        <f t="shared" si="13"/>
        <v>#N/A</v>
      </c>
      <c r="V31" s="1503" t="s">
        <v>8</v>
      </c>
      <c r="W31" s="1504" t="e">
        <f t="shared" si="14"/>
        <v>#N/A</v>
      </c>
      <c r="X31" s="1505"/>
      <c r="Y31" s="349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2" t="s">
        <v>544</v>
      </c>
      <c r="Q32" s="1507" t="str">
        <f t="shared" si="11"/>
        <v>车位类型</v>
      </c>
      <c r="R32" s="1508" t="s">
        <v>8</v>
      </c>
      <c r="S32" s="1509">
        <f t="shared" si="12"/>
        <v>100</v>
      </c>
      <c r="T32" s="1508" t="s">
        <v>8</v>
      </c>
      <c r="U32" s="1509">
        <f t="shared" si="13"/>
        <v>100</v>
      </c>
      <c r="V32" s="1508" t="s">
        <v>8</v>
      </c>
      <c r="W32" s="1509">
        <f t="shared" si="14"/>
        <v>100</v>
      </c>
      <c r="X32" s="1502"/>
      <c r="Y32" s="349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2"/>
      <c r="Q33" s="1507" t="str">
        <f t="shared" si="11"/>
        <v>是否直接入户</v>
      </c>
      <c r="R33" s="1508" t="s">
        <v>8</v>
      </c>
      <c r="S33" s="1509">
        <f t="shared" si="12"/>
        <v>100</v>
      </c>
      <c r="T33" s="1508" t="s">
        <v>8</v>
      </c>
      <c r="U33" s="1509">
        <f t="shared" si="13"/>
        <v>100</v>
      </c>
      <c r="V33" s="1508" t="s">
        <v>8</v>
      </c>
      <c r="W33" s="1509">
        <f t="shared" si="14"/>
        <v>100</v>
      </c>
      <c r="X33" s="1502"/>
      <c r="Y33" s="349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2"/>
      <c r="Q34" s="1507">
        <f t="shared" si="11"/>
        <v>111</v>
      </c>
      <c r="R34" s="1508" t="s">
        <v>8</v>
      </c>
      <c r="S34" s="1509">
        <f t="shared" si="12"/>
        <v>100</v>
      </c>
      <c r="T34" s="1508" t="s">
        <v>8</v>
      </c>
      <c r="U34" s="1509">
        <f t="shared" si="13"/>
        <v>100</v>
      </c>
      <c r="V34" s="1508" t="s">
        <v>8</v>
      </c>
      <c r="W34" s="1509">
        <f t="shared" si="14"/>
        <v>100</v>
      </c>
      <c r="X34" s="1502"/>
      <c r="Y34" s="349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2"/>
      <c r="Q35" s="1536">
        <f t="shared" si="11"/>
        <v>111</v>
      </c>
      <c r="R35" s="1512" t="s">
        <v>8</v>
      </c>
      <c r="S35" s="1513">
        <f t="shared" si="12"/>
        <v>100</v>
      </c>
      <c r="T35" s="1512" t="s">
        <v>8</v>
      </c>
      <c r="U35" s="1513">
        <f t="shared" si="13"/>
        <v>100</v>
      </c>
      <c r="V35" s="1512" t="s">
        <v>8</v>
      </c>
      <c r="W35" s="1513">
        <f t="shared" si="14"/>
        <v>100</v>
      </c>
      <c r="X35" s="1514"/>
      <c r="Y35" s="3492"/>
      <c r="Z35" s="1515">
        <f t="shared" si="15"/>
        <v>111</v>
      </c>
      <c r="AA35" s="1511">
        <f t="shared" si="3"/>
        <v>1</v>
      </c>
      <c r="AB35" s="1511">
        <f t="shared" si="4"/>
        <v>1</v>
      </c>
      <c r="AC35" s="1511">
        <f t="shared" si="5"/>
        <v>1</v>
      </c>
    </row>
    <row r="36" spans="1:29" ht="15.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2"/>
      <c r="Q36" s="1507">
        <f t="shared" si="11"/>
        <v>111</v>
      </c>
      <c r="R36" s="1508" t="s">
        <v>8</v>
      </c>
      <c r="S36" s="1509">
        <f t="shared" si="12"/>
        <v>100</v>
      </c>
      <c r="T36" s="1508" t="s">
        <v>8</v>
      </c>
      <c r="U36" s="1509">
        <f t="shared" si="13"/>
        <v>100</v>
      </c>
      <c r="V36" s="1508" t="s">
        <v>8</v>
      </c>
      <c r="W36" s="1509">
        <f t="shared" si="14"/>
        <v>100</v>
      </c>
      <c r="X36" s="1502"/>
      <c r="Y36" s="3492"/>
      <c r="Z36" s="1510">
        <f t="shared" si="15"/>
        <v>111</v>
      </c>
      <c r="AA36" s="1511">
        <f t="shared" si="3"/>
        <v>1</v>
      </c>
      <c r="AB36" s="1511">
        <f t="shared" si="4"/>
        <v>1</v>
      </c>
      <c r="AC36" s="1511">
        <f t="shared" si="5"/>
        <v>1</v>
      </c>
    </row>
    <row r="37" spans="1:29" ht="14.4">
      <c r="A37" s="1761" t="s">
        <v>2066</v>
      </c>
      <c r="B37" s="1762" t="s">
        <v>2067</v>
      </c>
      <c r="C37" s="2471" t="s">
        <v>1</v>
      </c>
      <c r="D37" s="2472"/>
      <c r="E37" s="2473"/>
      <c r="F37" s="2474"/>
      <c r="G37" s="2475"/>
      <c r="H37" s="2476"/>
      <c r="I37" s="2473"/>
      <c r="J37" s="2476"/>
      <c r="K37" s="1541"/>
      <c r="L37" s="2027"/>
      <c r="M37" s="2028"/>
      <c r="N37" s="2017"/>
      <c r="O37" s="2028"/>
      <c r="P37" s="3455" t="str">
        <f>A37</f>
        <v>成交单价</v>
      </c>
      <c r="Q37" s="3455"/>
      <c r="R37" s="3573">
        <f>E37</f>
        <v>0</v>
      </c>
      <c r="S37" s="3573"/>
      <c r="T37" s="3573">
        <f>G37</f>
        <v>0</v>
      </c>
      <c r="U37" s="3573"/>
      <c r="V37" s="3573">
        <f>I37</f>
        <v>0</v>
      </c>
      <c r="W37" s="3573"/>
      <c r="X37" s="1497"/>
      <c r="Y37" s="1516"/>
      <c r="Z37" s="1497"/>
      <c r="AA37" s="1497"/>
      <c r="AB37" s="1497"/>
      <c r="AC37" s="1497"/>
    </row>
    <row r="38" spans="1:29" ht="1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55" t="str">
        <f>A38</f>
        <v>比较价格（元/平方米）</v>
      </c>
      <c r="Q38" s="3455"/>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1497"/>
      <c r="Y38" s="1497"/>
      <c r="Z38" s="1497"/>
      <c r="AA38" s="1497"/>
      <c r="AB38" s="1497"/>
      <c r="AC38" s="1497"/>
    </row>
    <row r="39" spans="1:29" ht="15" thickBot="1">
      <c r="A39" s="613" t="s">
        <v>2904</v>
      </c>
      <c r="B39" s="614"/>
      <c r="C39" s="2479" t="e">
        <f>R39</f>
        <v>#DIV/0!</v>
      </c>
      <c r="D39" s="2479"/>
      <c r="E39" s="2479"/>
      <c r="F39" s="2479"/>
      <c r="G39" s="2479"/>
      <c r="H39" s="2479"/>
      <c r="I39" s="2479"/>
      <c r="J39" s="2479"/>
      <c r="K39" s="1542"/>
      <c r="L39" s="2027"/>
      <c r="M39" s="2028"/>
      <c r="N39" s="2028"/>
      <c r="O39" s="2028"/>
      <c r="P39" s="3452" t="str">
        <f>A39</f>
        <v>估价对象XX用房的比较价格（楼面单价，元/平方米）</v>
      </c>
      <c r="Q39" s="3453"/>
      <c r="R39" s="3572" t="e">
        <f>IF(F1="售价",ROUND(IF(D38="简单平均",AVERAGE(R38:W38),R38*F38+T38*H38+V38*J38),0),ROUND(IF(D38="简单平均",AVERAGE(R38:V38),R38*F38+T38*H38+V38*J38),1))</f>
        <v>#DIV/0!</v>
      </c>
      <c r="S39" s="3572"/>
      <c r="T39" s="3572"/>
      <c r="U39" s="3572"/>
      <c r="V39" s="3572"/>
      <c r="W39" s="3572"/>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2.2"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4.4">
      <c r="A48" s="637" t="s">
        <v>523</v>
      </c>
      <c r="B48" s="638"/>
      <c r="C48" s="2520" t="str">
        <f>YEAR(C7)&amp;"-"&amp;MONTH(C7)</f>
        <v>1900-1</v>
      </c>
      <c r="D48" s="2522" t="e">
        <f>EDATE(C48,-1)</f>
        <v>#NUM!</v>
      </c>
      <c r="E48" s="2522" t="e">
        <f t="shared" ref="E48:O48" si="16">EDATE(D48,-1)</f>
        <v>#NUM!</v>
      </c>
      <c r="F48" s="2522" t="e">
        <f t="shared" si="16"/>
        <v>#NUM!</v>
      </c>
      <c r="G48" s="2522" t="e">
        <f t="shared" si="16"/>
        <v>#NUM!</v>
      </c>
      <c r="H48" s="2522" t="e">
        <f t="shared" si="16"/>
        <v>#NUM!</v>
      </c>
      <c r="I48" s="2522" t="e">
        <f t="shared" si="16"/>
        <v>#NUM!</v>
      </c>
      <c r="J48" s="2522" t="e">
        <f t="shared" si="16"/>
        <v>#NUM!</v>
      </c>
      <c r="K48" s="2522" t="e">
        <f t="shared" si="16"/>
        <v>#NUM!</v>
      </c>
      <c r="L48" s="2522" t="e">
        <f t="shared" si="16"/>
        <v>#NUM!</v>
      </c>
      <c r="M48" s="2522" t="e">
        <f t="shared" si="16"/>
        <v>#NUM!</v>
      </c>
      <c r="N48" s="2522" t="e">
        <f t="shared" si="16"/>
        <v>#NUM!</v>
      </c>
      <c r="O48" s="2522" t="e">
        <f t="shared" si="16"/>
        <v>#NUM!</v>
      </c>
      <c r="P48" s="2042"/>
      <c r="Q48" s="2043"/>
      <c r="R48" s="2043"/>
      <c r="S48" s="2043"/>
      <c r="T48" s="2043"/>
      <c r="U48" s="2043"/>
      <c r="V48" s="2043"/>
      <c r="W48" s="2043"/>
      <c r="X48" s="2043"/>
      <c r="Y48" s="2043"/>
      <c r="Z48" s="2043"/>
      <c r="AA48" s="2043"/>
      <c r="AB48" s="2043"/>
      <c r="AC48" s="2043"/>
    </row>
    <row r="49" spans="1:29" s="1203" customFormat="1">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4.4">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4.4"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ht="14.4">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4.4"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4.4"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4.4"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4.4"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4.4"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4.4"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4.4"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4.4"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4.4"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4.4"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4.4"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4.4"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9.4"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4.4"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4.4"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4.4"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4.4"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4.4"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4.4"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4.4"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461" t="s">
        <v>792</v>
      </c>
      <c r="D4" s="3462"/>
      <c r="E4" s="3495" t="s">
        <v>793</v>
      </c>
      <c r="F4" s="3496"/>
      <c r="G4" s="3461" t="s">
        <v>794</v>
      </c>
      <c r="H4" s="3462"/>
      <c r="I4" s="3461" t="s">
        <v>795</v>
      </c>
      <c r="J4" s="3462"/>
      <c r="K4" s="508" t="s">
        <v>796</v>
      </c>
      <c r="L4" s="2016"/>
      <c r="M4" s="2017"/>
      <c r="N4" s="2017"/>
      <c r="O4" s="2017"/>
      <c r="P4" s="3463" t="s">
        <v>797</v>
      </c>
      <c r="Q4" s="3464"/>
      <c r="R4" s="3469" t="s">
        <v>793</v>
      </c>
      <c r="S4" s="3470"/>
      <c r="T4" s="3469" t="s">
        <v>794</v>
      </c>
      <c r="U4" s="3470"/>
      <c r="V4" s="3456" t="s">
        <v>795</v>
      </c>
      <c r="W4" s="3456"/>
      <c r="X4" s="1502"/>
      <c r="Y4" s="3469" t="s">
        <v>797</v>
      </c>
      <c r="Z4" s="3470"/>
      <c r="AA4" s="3458" t="s">
        <v>793</v>
      </c>
      <c r="AB4" s="3459" t="s">
        <v>794</v>
      </c>
      <c r="AC4" s="3458" t="s">
        <v>795</v>
      </c>
    </row>
    <row r="5" spans="1:29">
      <c r="A5" s="509"/>
      <c r="B5" s="510"/>
      <c r="C5" s="3477" t="s">
        <v>2898</v>
      </c>
      <c r="D5" s="3478"/>
      <c r="E5" s="3497" t="s">
        <v>2899</v>
      </c>
      <c r="F5" s="3498"/>
      <c r="G5" s="3477" t="s">
        <v>2900</v>
      </c>
      <c r="H5" s="3478"/>
      <c r="I5" s="3477" t="s">
        <v>2901</v>
      </c>
      <c r="J5" s="3478"/>
      <c r="K5" s="508"/>
      <c r="L5" s="2016"/>
      <c r="M5" s="2017"/>
      <c r="N5" s="2017"/>
      <c r="O5" s="2017"/>
      <c r="P5" s="3465"/>
      <c r="Q5" s="3466"/>
      <c r="R5" s="3471"/>
      <c r="S5" s="3472"/>
      <c r="T5" s="3471"/>
      <c r="U5" s="3472"/>
      <c r="V5" s="3456"/>
      <c r="W5" s="3456"/>
      <c r="X5" s="1502"/>
      <c r="Y5" s="3471"/>
      <c r="Z5" s="3472"/>
      <c r="AA5" s="3459"/>
      <c r="AB5" s="3459"/>
      <c r="AC5" s="3459"/>
    </row>
    <row r="6" spans="1:29" ht="15" thickBot="1">
      <c r="A6" s="511"/>
      <c r="B6" s="512"/>
      <c r="C6" s="3475" t="s">
        <v>2902</v>
      </c>
      <c r="D6" s="3476"/>
      <c r="E6" s="3493" t="s">
        <v>2902</v>
      </c>
      <c r="F6" s="3494"/>
      <c r="G6" s="3475" t="s">
        <v>2902</v>
      </c>
      <c r="H6" s="3476"/>
      <c r="I6" s="3475" t="s">
        <v>2902</v>
      </c>
      <c r="J6" s="3476"/>
      <c r="K6" s="508" t="s">
        <v>522</v>
      </c>
      <c r="L6" s="2016"/>
      <c r="M6" s="2017"/>
      <c r="N6" s="2017"/>
      <c r="O6" s="2017"/>
      <c r="P6" s="3467"/>
      <c r="Q6" s="3468"/>
      <c r="R6" s="3471"/>
      <c r="S6" s="3472"/>
      <c r="T6" s="3473"/>
      <c r="U6" s="3474"/>
      <c r="V6" s="3456"/>
      <c r="W6" s="3456"/>
      <c r="X6" s="1502"/>
      <c r="Y6" s="3473"/>
      <c r="Z6" s="3474"/>
      <c r="AA6" s="3460"/>
      <c r="AB6" s="3460"/>
      <c r="AC6" s="3460"/>
    </row>
    <row r="7" spans="1:29" s="1203" customFormat="1" ht="15" thickBot="1">
      <c r="A7" s="2630"/>
      <c r="B7" s="2637" t="s">
        <v>523</v>
      </c>
      <c r="C7" s="513">
        <f>'数据-取费表'!B2</f>
        <v>0</v>
      </c>
      <c r="D7" s="514">
        <v>100</v>
      </c>
      <c r="E7" s="515"/>
      <c r="F7" s="516">
        <f>SUMIF(46:46,YEAR(E7)&amp;"-"&amp;MONTH(E7),47:47)</f>
        <v>100</v>
      </c>
      <c r="G7" s="517"/>
      <c r="H7" s="514">
        <f>SUMIF(46:46,YEAR(G7)&amp;"-"&amp;MONTH(G7),47:47)</f>
        <v>100</v>
      </c>
      <c r="I7" s="517"/>
      <c r="J7" s="514">
        <f>SUMIF(46:46,YEAR(I7)&amp;"-"&amp;MONTH(I7),47:47)</f>
        <v>100</v>
      </c>
      <c r="K7" s="518"/>
      <c r="L7" s="2018"/>
      <c r="M7" s="2019"/>
      <c r="N7" s="2019"/>
      <c r="O7" s="2019"/>
      <c r="P7" s="3486" t="s">
        <v>524</v>
      </c>
      <c r="Q7" s="3488"/>
      <c r="R7" s="1503" t="s">
        <v>8</v>
      </c>
      <c r="S7" s="1504">
        <f t="shared" ref="S7:S14" si="0">F7</f>
        <v>100</v>
      </c>
      <c r="T7" s="1503" t="s">
        <v>8</v>
      </c>
      <c r="U7" s="1504">
        <f t="shared" ref="U7:U14" si="1">H7</f>
        <v>100</v>
      </c>
      <c r="V7" s="1503" t="s">
        <v>8</v>
      </c>
      <c r="W7" s="1504">
        <f t="shared" ref="W7:W14" si="2">J7</f>
        <v>100</v>
      </c>
      <c r="X7" s="1505"/>
      <c r="Y7" s="3486" t="s">
        <v>524</v>
      </c>
      <c r="Z7" s="3487"/>
      <c r="AA7" s="1506">
        <f>D7/F7</f>
        <v>1</v>
      </c>
      <c r="AB7" s="1506">
        <f>D7/H7</f>
        <v>1</v>
      </c>
      <c r="AC7" s="1506">
        <f>D7/J7</f>
        <v>1</v>
      </c>
    </row>
    <row r="8" spans="1:29" s="1203" customFormat="1" ht="1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4" si="3">D8/F8</f>
        <v>#DIV/0!</v>
      </c>
      <c r="AB8" s="1506" t="e">
        <f t="shared" ref="AB8:AB34" si="4">D8/H8</f>
        <v>#DIV/0!</v>
      </c>
      <c r="AC8" s="1506" t="e">
        <f t="shared" ref="AC8:AC34" si="5">D8/J8</f>
        <v>#DIV/0!</v>
      </c>
    </row>
    <row r="9" spans="1:29" s="1203" customFormat="1" ht="14.4">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55" t="s">
        <v>529</v>
      </c>
      <c r="Q9" s="1134" t="str">
        <f t="shared" ref="Q9:Q14" si="6">B9</f>
        <v>用途</v>
      </c>
      <c r="R9" s="1503" t="s">
        <v>8</v>
      </c>
      <c r="S9" s="1504">
        <f t="shared" si="0"/>
        <v>100</v>
      </c>
      <c r="T9" s="1503" t="s">
        <v>8</v>
      </c>
      <c r="U9" s="1504">
        <f t="shared" si="1"/>
        <v>100</v>
      </c>
      <c r="V9" s="1503" t="s">
        <v>8</v>
      </c>
      <c r="W9" s="1504">
        <f t="shared" si="2"/>
        <v>100</v>
      </c>
      <c r="X9" s="1505"/>
      <c r="Y9" s="3401" t="s">
        <v>530</v>
      </c>
      <c r="Z9" s="1133" t="str">
        <f t="shared" ref="Z9:Z14" si="7">Q9</f>
        <v>用途</v>
      </c>
      <c r="AA9" s="1506">
        <f t="shared" si="3"/>
        <v>1</v>
      </c>
      <c r="AB9" s="1506">
        <f t="shared" si="4"/>
        <v>1</v>
      </c>
      <c r="AC9" s="1506">
        <f t="shared" si="5"/>
        <v>1</v>
      </c>
    </row>
    <row r="10" spans="1:29" s="1292" customFormat="1" ht="28.8">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55"/>
      <c r="Q10" s="1134" t="str">
        <f t="shared" si="6"/>
        <v>土地使用年限（年）</v>
      </c>
      <c r="R10" s="1503" t="s">
        <v>8</v>
      </c>
      <c r="S10" s="1504">
        <f t="shared" si="0"/>
        <v>100</v>
      </c>
      <c r="T10" s="1503" t="s">
        <v>8</v>
      </c>
      <c r="U10" s="1504">
        <f t="shared" si="1"/>
        <v>100</v>
      </c>
      <c r="V10" s="1503" t="s">
        <v>8</v>
      </c>
      <c r="W10" s="1504">
        <f t="shared" si="2"/>
        <v>100</v>
      </c>
      <c r="X10" s="1505"/>
      <c r="Y10" s="3401"/>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55"/>
      <c r="Q11" s="1134">
        <f t="shared" si="6"/>
        <v>111</v>
      </c>
      <c r="R11" s="1503" t="s">
        <v>8</v>
      </c>
      <c r="S11" s="1504">
        <f t="shared" si="0"/>
        <v>100</v>
      </c>
      <c r="T11" s="1503" t="s">
        <v>8</v>
      </c>
      <c r="U11" s="1504">
        <f t="shared" si="1"/>
        <v>100</v>
      </c>
      <c r="V11" s="1503" t="s">
        <v>8</v>
      </c>
      <c r="W11" s="1504">
        <f t="shared" si="2"/>
        <v>100</v>
      </c>
      <c r="X11" s="1505"/>
      <c r="Y11" s="3401"/>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55"/>
      <c r="Q12" s="1134">
        <f t="shared" si="6"/>
        <v>111</v>
      </c>
      <c r="R12" s="1503" t="s">
        <v>8</v>
      </c>
      <c r="S12" s="1504">
        <f t="shared" si="0"/>
        <v>100</v>
      </c>
      <c r="T12" s="1503" t="s">
        <v>8</v>
      </c>
      <c r="U12" s="1504">
        <f t="shared" si="1"/>
        <v>100</v>
      </c>
      <c r="V12" s="1503" t="s">
        <v>8</v>
      </c>
      <c r="W12" s="1504">
        <f t="shared" si="2"/>
        <v>100</v>
      </c>
      <c r="X12" s="1505"/>
      <c r="Y12" s="3401"/>
      <c r="Z12" s="1133">
        <f t="shared" si="7"/>
        <v>111</v>
      </c>
      <c r="AA12" s="1506">
        <f>D12/F12</f>
        <v>1</v>
      </c>
      <c r="AB12" s="1506">
        <f>D12/H12</f>
        <v>1</v>
      </c>
      <c r="AC12" s="1506">
        <f>D12/J12</f>
        <v>1</v>
      </c>
    </row>
    <row r="13" spans="1:29" ht="15.6"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55"/>
      <c r="Q13" s="1134">
        <f t="shared" si="6"/>
        <v>111</v>
      </c>
      <c r="R13" s="1503" t="s">
        <v>8</v>
      </c>
      <c r="S13" s="1504">
        <f t="shared" si="0"/>
        <v>100</v>
      </c>
      <c r="T13" s="1503" t="s">
        <v>8</v>
      </c>
      <c r="U13" s="1504">
        <f t="shared" si="1"/>
        <v>100</v>
      </c>
      <c r="V13" s="1503" t="s">
        <v>8</v>
      </c>
      <c r="W13" s="1504">
        <f t="shared" si="2"/>
        <v>100</v>
      </c>
      <c r="X13" s="1505"/>
      <c r="Y13" s="3401"/>
      <c r="Z13" s="1133">
        <f t="shared" si="7"/>
        <v>111</v>
      </c>
      <c r="AA13" s="1506">
        <f t="shared" si="3"/>
        <v>1</v>
      </c>
      <c r="AB13" s="1506">
        <f t="shared" si="4"/>
        <v>1</v>
      </c>
      <c r="AC13" s="1506">
        <f t="shared" si="5"/>
        <v>1</v>
      </c>
    </row>
    <row r="14" spans="1:29" ht="96.6">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89" t="s">
        <v>534</v>
      </c>
      <c r="Q14" s="1507" t="str">
        <f t="shared" si="6"/>
        <v>交通便捷度</v>
      </c>
      <c r="R14" s="1508" t="s">
        <v>8</v>
      </c>
      <c r="S14" s="1509">
        <f t="shared" si="0"/>
        <v>100</v>
      </c>
      <c r="T14" s="1508" t="s">
        <v>8</v>
      </c>
      <c r="U14" s="1509">
        <f t="shared" si="1"/>
        <v>100</v>
      </c>
      <c r="V14" s="1508" t="s">
        <v>8</v>
      </c>
      <c r="W14" s="1509">
        <f t="shared" si="2"/>
        <v>100</v>
      </c>
      <c r="X14" s="1502"/>
      <c r="Y14" s="348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0"/>
      <c r="Q15" s="1507"/>
      <c r="R15" s="1508"/>
      <c r="S15" s="1509"/>
      <c r="T15" s="1508"/>
      <c r="U15" s="1509"/>
      <c r="V15" s="1508"/>
      <c r="W15" s="1509"/>
      <c r="X15" s="1502"/>
      <c r="Y15" s="3490"/>
      <c r="Z15" s="1510"/>
      <c r="AA15" s="1511">
        <v>1</v>
      </c>
      <c r="AB15" s="1511">
        <v>1</v>
      </c>
      <c r="AC15" s="1511">
        <v>1</v>
      </c>
    </row>
    <row r="16" spans="1:29" ht="41.4">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0"/>
      <c r="Q16" s="1507" t="str">
        <f>B16</f>
        <v>公共配套设施</v>
      </c>
      <c r="R16" s="1508" t="s">
        <v>8</v>
      </c>
      <c r="S16" s="1509">
        <f>F16</f>
        <v>100</v>
      </c>
      <c r="T16" s="1508" t="s">
        <v>8</v>
      </c>
      <c r="U16" s="1509">
        <f>H16</f>
        <v>100</v>
      </c>
      <c r="V16" s="1508" t="s">
        <v>8</v>
      </c>
      <c r="W16" s="1509">
        <f>J16</f>
        <v>100</v>
      </c>
      <c r="X16" s="1502"/>
      <c r="Y16" s="349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0"/>
      <c r="Q17" s="1507"/>
      <c r="R17" s="1508"/>
      <c r="S17" s="1509"/>
      <c r="T17" s="1508"/>
      <c r="U17" s="1509"/>
      <c r="V17" s="1508"/>
      <c r="W17" s="1509"/>
      <c r="X17" s="1502"/>
      <c r="Y17" s="3490"/>
      <c r="Z17" s="1510"/>
      <c r="AA17" s="1511">
        <v>1</v>
      </c>
      <c r="AB17" s="1511">
        <v>1</v>
      </c>
      <c r="AC17" s="1511">
        <v>1</v>
      </c>
    </row>
    <row r="18" spans="1:29" ht="41.4">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0"/>
      <c r="Q18" s="2430" t="str">
        <f>B18</f>
        <v>基础设施水平</v>
      </c>
      <c r="R18" s="1508" t="s">
        <v>8</v>
      </c>
      <c r="S18" s="1509">
        <f>F18</f>
        <v>100</v>
      </c>
      <c r="T18" s="1508" t="s">
        <v>8</v>
      </c>
      <c r="U18" s="1509">
        <f>H18</f>
        <v>100</v>
      </c>
      <c r="V18" s="1508" t="s">
        <v>8</v>
      </c>
      <c r="W18" s="1509">
        <f>J18</f>
        <v>100</v>
      </c>
      <c r="X18" s="2432"/>
      <c r="Y18" s="3490"/>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0"/>
      <c r="Q19" s="2430"/>
      <c r="R19" s="1508"/>
      <c r="S19" s="1509"/>
      <c r="T19" s="1508"/>
      <c r="U19" s="1509"/>
      <c r="V19" s="1508"/>
      <c r="W19" s="1509"/>
      <c r="X19" s="2432"/>
      <c r="Y19" s="3490"/>
      <c r="Z19" s="2431"/>
      <c r="AA19" s="1511">
        <v>1</v>
      </c>
      <c r="AB19" s="1511">
        <v>1</v>
      </c>
      <c r="AC19" s="1511">
        <v>1</v>
      </c>
    </row>
    <row r="20" spans="1:29" ht="55.2">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0"/>
      <c r="Q20" s="1507" t="str">
        <f>B20</f>
        <v>自然及人文环境</v>
      </c>
      <c r="R20" s="1508" t="s">
        <v>8</v>
      </c>
      <c r="S20" s="1509">
        <f>F20</f>
        <v>100</v>
      </c>
      <c r="T20" s="1508" t="s">
        <v>8</v>
      </c>
      <c r="U20" s="1509">
        <f>H20</f>
        <v>100</v>
      </c>
      <c r="V20" s="1508" t="s">
        <v>8</v>
      </c>
      <c r="W20" s="1509">
        <f>J20</f>
        <v>100</v>
      </c>
      <c r="X20" s="1502"/>
      <c r="Y20" s="349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0"/>
      <c r="Q21" s="1507"/>
      <c r="R21" s="1508"/>
      <c r="S21" s="1509"/>
      <c r="T21" s="1508"/>
      <c r="U21" s="1509"/>
      <c r="V21" s="1508"/>
      <c r="W21" s="1509"/>
      <c r="X21" s="1502"/>
      <c r="Y21" s="349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0"/>
      <c r="Q22" s="1507" t="str">
        <f>B22</f>
        <v>楼层</v>
      </c>
      <c r="R22" s="1508" t="s">
        <v>8</v>
      </c>
      <c r="S22" s="1509">
        <f>F22</f>
        <v>100</v>
      </c>
      <c r="T22" s="1508" t="s">
        <v>8</v>
      </c>
      <c r="U22" s="1509">
        <f>H22</f>
        <v>100</v>
      </c>
      <c r="V22" s="1508" t="s">
        <v>8</v>
      </c>
      <c r="W22" s="1509">
        <f>J22</f>
        <v>100</v>
      </c>
      <c r="X22" s="1502"/>
      <c r="Y22" s="349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0"/>
      <c r="Q23" s="1507">
        <f>B23</f>
        <v>111</v>
      </c>
      <c r="R23" s="1508" t="s">
        <v>8</v>
      </c>
      <c r="S23" s="1509">
        <f>F23</f>
        <v>100</v>
      </c>
      <c r="T23" s="1508" t="s">
        <v>8</v>
      </c>
      <c r="U23" s="1509">
        <f>H23</f>
        <v>100</v>
      </c>
      <c r="V23" s="1508" t="s">
        <v>8</v>
      </c>
      <c r="W23" s="1509">
        <f>J23</f>
        <v>100</v>
      </c>
      <c r="X23" s="1502"/>
      <c r="Y23" s="349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0"/>
      <c r="Q24" s="1507">
        <f t="shared" ref="Q24:Q34" si="11">B24</f>
        <v>111</v>
      </c>
      <c r="R24" s="1508" t="s">
        <v>8</v>
      </c>
      <c r="S24" s="1509">
        <f>F24</f>
        <v>100</v>
      </c>
      <c r="T24" s="1508" t="s">
        <v>8</v>
      </c>
      <c r="U24" s="1509">
        <f>H24</f>
        <v>100</v>
      </c>
      <c r="V24" s="1508" t="s">
        <v>8</v>
      </c>
      <c r="W24" s="1509">
        <f>J24</f>
        <v>100</v>
      </c>
      <c r="X24" s="1502"/>
      <c r="Y24" s="3490"/>
      <c r="Z24" s="1510">
        <f>Q24</f>
        <v>111</v>
      </c>
      <c r="AA24" s="1511">
        <f t="shared" si="3"/>
        <v>1</v>
      </c>
      <c r="AB24" s="1511">
        <f t="shared" si="4"/>
        <v>1</v>
      </c>
      <c r="AC24" s="1511">
        <f t="shared" si="5"/>
        <v>1</v>
      </c>
    </row>
    <row r="25" spans="1:29" s="1203" customFormat="1" ht="15.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0"/>
      <c r="Q25" s="1134">
        <f t="shared" si="11"/>
        <v>111</v>
      </c>
      <c r="R25" s="1503" t="s">
        <v>8</v>
      </c>
      <c r="S25" s="1504">
        <f>F25</f>
        <v>100</v>
      </c>
      <c r="T25" s="1503" t="s">
        <v>8</v>
      </c>
      <c r="U25" s="1504">
        <f>H25</f>
        <v>100</v>
      </c>
      <c r="V25" s="1503" t="s">
        <v>8</v>
      </c>
      <c r="W25" s="1504">
        <f>J25</f>
        <v>100</v>
      </c>
      <c r="X25" s="1505"/>
      <c r="Y25" s="3490"/>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2"/>
      <c r="Q27" s="1536" t="str">
        <f t="shared" si="11"/>
        <v>成新率</v>
      </c>
      <c r="R27" s="1512" t="s">
        <v>8</v>
      </c>
      <c r="S27" s="1513" t="e">
        <f t="shared" si="12"/>
        <v>#N/A</v>
      </c>
      <c r="T27" s="1512" t="s">
        <v>8</v>
      </c>
      <c r="U27" s="1513" t="e">
        <f t="shared" si="13"/>
        <v>#N/A</v>
      </c>
      <c r="V27" s="1512" t="s">
        <v>8</v>
      </c>
      <c r="W27" s="1513" t="e">
        <f t="shared" si="14"/>
        <v>#N/A</v>
      </c>
      <c r="X27" s="1514"/>
      <c r="Y27" s="349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2"/>
      <c r="Q28" s="1507" t="str">
        <f t="shared" si="11"/>
        <v>物业等级</v>
      </c>
      <c r="R28" s="1508" t="s">
        <v>8</v>
      </c>
      <c r="S28" s="1509">
        <f t="shared" si="12"/>
        <v>100</v>
      </c>
      <c r="T28" s="1508" t="s">
        <v>8</v>
      </c>
      <c r="U28" s="1509">
        <f t="shared" si="13"/>
        <v>100</v>
      </c>
      <c r="V28" s="1508" t="s">
        <v>8</v>
      </c>
      <c r="W28" s="1509">
        <f t="shared" si="14"/>
        <v>100</v>
      </c>
      <c r="X28" s="1502"/>
      <c r="Y28" s="349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2"/>
      <c r="Q29" s="1507" t="str">
        <f t="shared" si="11"/>
        <v>有无电梯</v>
      </c>
      <c r="R29" s="1508" t="s">
        <v>8</v>
      </c>
      <c r="S29" s="1509">
        <f t="shared" si="12"/>
        <v>100</v>
      </c>
      <c r="T29" s="1508" t="s">
        <v>8</v>
      </c>
      <c r="U29" s="1509">
        <f t="shared" si="13"/>
        <v>100</v>
      </c>
      <c r="V29" s="1508" t="s">
        <v>8</v>
      </c>
      <c r="W29" s="1509">
        <f t="shared" si="14"/>
        <v>100</v>
      </c>
      <c r="X29" s="1502"/>
      <c r="Y29" s="349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2"/>
      <c r="Q30" s="1507" t="str">
        <f t="shared" si="11"/>
        <v>建筑面积</v>
      </c>
      <c r="R30" s="1508" t="s">
        <v>8</v>
      </c>
      <c r="S30" s="1509" t="e">
        <f t="shared" si="12"/>
        <v>#N/A</v>
      </c>
      <c r="T30" s="1508" t="s">
        <v>8</v>
      </c>
      <c r="U30" s="1509" t="e">
        <f t="shared" si="13"/>
        <v>#N/A</v>
      </c>
      <c r="V30" s="1508" t="s">
        <v>8</v>
      </c>
      <c r="W30" s="1509" t="e">
        <f t="shared" si="14"/>
        <v>#N/A</v>
      </c>
      <c r="X30" s="1502"/>
      <c r="Y30" s="349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2"/>
      <c r="Q31" s="1134" t="str">
        <f t="shared" si="11"/>
        <v>是否封闭</v>
      </c>
      <c r="R31" s="1503" t="s">
        <v>8</v>
      </c>
      <c r="S31" s="1504">
        <f t="shared" si="12"/>
        <v>100</v>
      </c>
      <c r="T31" s="1503" t="s">
        <v>8</v>
      </c>
      <c r="U31" s="1504">
        <f t="shared" si="13"/>
        <v>100</v>
      </c>
      <c r="V31" s="1503" t="s">
        <v>8</v>
      </c>
      <c r="W31" s="1504">
        <f t="shared" si="14"/>
        <v>100</v>
      </c>
      <c r="X31" s="1505"/>
      <c r="Y31" s="349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2" t="s">
        <v>544</v>
      </c>
      <c r="Q32" s="1507">
        <f t="shared" si="11"/>
        <v>111</v>
      </c>
      <c r="R32" s="1508" t="s">
        <v>8</v>
      </c>
      <c r="S32" s="1509">
        <f t="shared" si="12"/>
        <v>100</v>
      </c>
      <c r="T32" s="1508" t="s">
        <v>8</v>
      </c>
      <c r="U32" s="1509">
        <f t="shared" si="13"/>
        <v>100</v>
      </c>
      <c r="V32" s="1508" t="s">
        <v>8</v>
      </c>
      <c r="W32" s="1509">
        <f t="shared" si="14"/>
        <v>100</v>
      </c>
      <c r="X32" s="1502"/>
      <c r="Y32" s="349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2"/>
      <c r="Q33" s="1507">
        <f t="shared" si="11"/>
        <v>111</v>
      </c>
      <c r="R33" s="1508" t="s">
        <v>8</v>
      </c>
      <c r="S33" s="1509">
        <f t="shared" si="12"/>
        <v>100</v>
      </c>
      <c r="T33" s="1508" t="s">
        <v>8</v>
      </c>
      <c r="U33" s="1509">
        <f t="shared" si="13"/>
        <v>100</v>
      </c>
      <c r="V33" s="1508" t="s">
        <v>8</v>
      </c>
      <c r="W33" s="1509">
        <f t="shared" si="14"/>
        <v>100</v>
      </c>
      <c r="X33" s="1502"/>
      <c r="Y33" s="3492"/>
      <c r="Z33" s="1510">
        <f t="shared" si="15"/>
        <v>111</v>
      </c>
      <c r="AA33" s="1511">
        <f t="shared" si="3"/>
        <v>1</v>
      </c>
      <c r="AB33" s="1511">
        <f t="shared" si="4"/>
        <v>1</v>
      </c>
      <c r="AC33" s="1511">
        <f t="shared" si="5"/>
        <v>1</v>
      </c>
    </row>
    <row r="34" spans="1:29" ht="15.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2"/>
      <c r="Q34" s="1507">
        <f t="shared" si="11"/>
        <v>111</v>
      </c>
      <c r="R34" s="1508" t="s">
        <v>8</v>
      </c>
      <c r="S34" s="1509">
        <f t="shared" si="12"/>
        <v>100</v>
      </c>
      <c r="T34" s="1508" t="s">
        <v>8</v>
      </c>
      <c r="U34" s="1509">
        <f t="shared" si="13"/>
        <v>100</v>
      </c>
      <c r="V34" s="1508" t="s">
        <v>8</v>
      </c>
      <c r="W34" s="1509">
        <f t="shared" si="14"/>
        <v>100</v>
      </c>
      <c r="X34" s="1502"/>
      <c r="Y34" s="3492"/>
      <c r="Z34" s="1510">
        <f t="shared" si="15"/>
        <v>111</v>
      </c>
      <c r="AA34" s="1511">
        <f t="shared" si="3"/>
        <v>1</v>
      </c>
      <c r="AB34" s="1511">
        <f t="shared" si="4"/>
        <v>1</v>
      </c>
      <c r="AC34" s="1511">
        <f t="shared" si="5"/>
        <v>1</v>
      </c>
    </row>
    <row r="35" spans="1:29" ht="14.4">
      <c r="A35" s="601" t="s">
        <v>730</v>
      </c>
      <c r="B35" s="876"/>
      <c r="C35" s="2471" t="s">
        <v>1</v>
      </c>
      <c r="D35" s="2472"/>
      <c r="E35" s="2473"/>
      <c r="F35" s="2474"/>
      <c r="G35" s="2475"/>
      <c r="H35" s="2476"/>
      <c r="I35" s="2473"/>
      <c r="J35" s="2476"/>
      <c r="K35" s="1541"/>
      <c r="L35" s="2027"/>
      <c r="M35" s="2028"/>
      <c r="N35" s="2017"/>
      <c r="O35" s="2028"/>
      <c r="P35" s="3455" t="str">
        <f>A35</f>
        <v>成交单价（元/平方米）</v>
      </c>
      <c r="Q35" s="3455"/>
      <c r="R35" s="3573">
        <f>E35</f>
        <v>0</v>
      </c>
      <c r="S35" s="3573"/>
      <c r="T35" s="3573">
        <f>G35</f>
        <v>0</v>
      </c>
      <c r="U35" s="3573"/>
      <c r="V35" s="3573">
        <f>I35</f>
        <v>0</v>
      </c>
      <c r="W35" s="3573"/>
      <c r="X35" s="1497"/>
      <c r="Y35" s="1516"/>
      <c r="Z35" s="1497"/>
      <c r="AA35" s="1497"/>
      <c r="AB35" s="1497"/>
      <c r="AC35" s="1497"/>
    </row>
    <row r="36" spans="1:29" ht="1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55" t="str">
        <f>A36</f>
        <v>比较价格（元/平方米）</v>
      </c>
      <c r="Q36" s="3455"/>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1497"/>
      <c r="Y36" s="1497"/>
      <c r="Z36" s="1497"/>
      <c r="AA36" s="1497"/>
      <c r="AB36" s="1497"/>
      <c r="AC36" s="1497"/>
    </row>
    <row r="37" spans="1:29" ht="15" thickBot="1">
      <c r="A37" s="613" t="s">
        <v>2904</v>
      </c>
      <c r="B37" s="614"/>
      <c r="C37" s="2479" t="e">
        <f>R37</f>
        <v>#DIV/0!</v>
      </c>
      <c r="D37" s="2479"/>
      <c r="E37" s="2479"/>
      <c r="F37" s="2479"/>
      <c r="G37" s="2479"/>
      <c r="H37" s="2479"/>
      <c r="I37" s="2479"/>
      <c r="J37" s="2479"/>
      <c r="K37" s="1542"/>
      <c r="L37" s="2027"/>
      <c r="M37" s="2028"/>
      <c r="N37" s="2028"/>
      <c r="O37" s="2028"/>
      <c r="P37" s="3452" t="str">
        <f>A37</f>
        <v>估价对象XX用房的比较价格（楼面单价，元/平方米）</v>
      </c>
      <c r="Q37" s="3453"/>
      <c r="R37" s="3572" t="e">
        <f>IF(F1="售价",ROUND(IF(D36="简单平均",AVERAGE(R36:W36),R36*F36+T36*H36+V36*J36),0),ROUND(IF(D36="简单平均",AVERAGE(R36:V36),R36*F36+T36*H36+V36*J36),1))</f>
        <v>#DIV/0!</v>
      </c>
      <c r="S37" s="3572"/>
      <c r="T37" s="3572"/>
      <c r="U37" s="3572"/>
      <c r="V37" s="3572"/>
      <c r="W37" s="3572"/>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2.2"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4.4">
      <c r="A46" s="637" t="s">
        <v>523</v>
      </c>
      <c r="B46" s="638"/>
      <c r="C46" s="2520" t="str">
        <f>YEAR(C7)&amp;"-"&amp;MONTH(C7)</f>
        <v>1900-1</v>
      </c>
      <c r="D46" s="2522" t="e">
        <f>EDATE(C46,-1)</f>
        <v>#NUM!</v>
      </c>
      <c r="E46" s="2522" t="e">
        <f t="shared" ref="E46:O46" si="16">EDATE(D46,-1)</f>
        <v>#NUM!</v>
      </c>
      <c r="F46" s="2522" t="e">
        <f t="shared" si="16"/>
        <v>#NUM!</v>
      </c>
      <c r="G46" s="2522" t="e">
        <f t="shared" si="16"/>
        <v>#NUM!</v>
      </c>
      <c r="H46" s="2522" t="e">
        <f t="shared" si="16"/>
        <v>#NUM!</v>
      </c>
      <c r="I46" s="2522" t="e">
        <f t="shared" si="16"/>
        <v>#NUM!</v>
      </c>
      <c r="J46" s="2522" t="e">
        <f t="shared" si="16"/>
        <v>#NUM!</v>
      </c>
      <c r="K46" s="2522" t="e">
        <f t="shared" si="16"/>
        <v>#NUM!</v>
      </c>
      <c r="L46" s="2522" t="e">
        <f t="shared" si="16"/>
        <v>#NUM!</v>
      </c>
      <c r="M46" s="2522" t="e">
        <f t="shared" si="16"/>
        <v>#NUM!</v>
      </c>
      <c r="N46" s="2522" t="e">
        <f t="shared" si="16"/>
        <v>#NUM!</v>
      </c>
      <c r="O46" s="2522" t="e">
        <f t="shared" si="16"/>
        <v>#NUM!</v>
      </c>
      <c r="P46" s="2042"/>
      <c r="Q46" s="2043"/>
      <c r="R46" s="2043"/>
      <c r="S46" s="2043"/>
      <c r="T46" s="2043"/>
      <c r="U46" s="2043"/>
      <c r="V46" s="2043"/>
      <c r="W46" s="2043"/>
      <c r="X46" s="2043"/>
      <c r="Y46" s="2043"/>
      <c r="Z46" s="2043"/>
      <c r="AA46" s="2043"/>
      <c r="AB46" s="2043"/>
      <c r="AC46" s="2043"/>
    </row>
    <row r="47" spans="1:29" s="1203" customFormat="1">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4.4">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4.4"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ht="14.4">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4.4"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4.4"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4.4"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4.4"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4.4"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4.4"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4.4"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4.4"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4.4"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4.4"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4.4"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4.4"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4.4"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4.4"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4.4"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4.4"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4.4"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4.4"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4.4"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4.4"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4.4"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204" customWidth="1"/>
    <col min="2" max="2" width="9.2187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2" t="s">
        <v>2292</v>
      </c>
      <c r="D1" s="3583"/>
      <c r="E1" s="3583"/>
      <c r="F1" s="3583"/>
      <c r="G1" s="3583"/>
      <c r="H1" s="3583"/>
      <c r="I1" s="3583"/>
      <c r="J1" s="3583"/>
      <c r="K1" s="3583"/>
      <c r="L1" s="3583"/>
      <c r="M1" s="3583"/>
      <c r="N1" s="3583"/>
      <c r="O1" s="3583"/>
      <c r="P1" s="3583"/>
      <c r="Q1" s="3583"/>
      <c r="R1" s="3583"/>
      <c r="S1" s="3584"/>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8"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8"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8"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8"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8"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8"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8"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8"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6">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6">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79" t="s">
        <v>20</v>
      </c>
      <c r="D22" s="3580"/>
      <c r="E22" s="3580"/>
      <c r="F22" s="3580"/>
      <c r="G22" s="3580"/>
      <c r="H22" s="3580"/>
      <c r="I22" s="3580"/>
      <c r="J22" s="3580"/>
      <c r="K22" s="3580"/>
      <c r="L22" s="3580"/>
      <c r="M22" s="3580"/>
      <c r="N22" s="3580"/>
      <c r="O22" s="3580"/>
      <c r="P22" s="3580"/>
      <c r="Q22" s="3581"/>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17.399999999999999">
      <c r="A4" s="1707" t="str">
        <f>"受贵公司委托，我公司对"&amp;项目基本情况!K2&amp;项目基本情况!B9&amp;"进行了预评估。"</f>
        <v>受贵公司委托，我公司对出让国有建设用地使用权进行了预评估。</v>
      </c>
    </row>
    <row r="5" spans="1:4" ht="17.399999999999999">
      <c r="A5" s="1710" t="s">
        <v>1896</v>
      </c>
    </row>
    <row r="6" spans="1:4" ht="17.399999999999999">
      <c r="A6" s="170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591" t="s">
        <v>2729</v>
      </c>
    </row>
    <row r="8" spans="1:4" ht="17.399999999999999">
      <c r="A8" s="1710" t="s">
        <v>1897</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2015</v>
      </c>
    </row>
    <row r="11" spans="1:4" ht="17.399999999999999">
      <c r="A11" s="1696" t="str">
        <f>TEXT(项目基本情况!D3,"yyyy年m月d日;;")&amp;IF(项目基本情况!B3=项目基本情况!D3,"（评估专业人员勘察现场之日）","")</f>
        <v>（评估专业人员勘察现场之日）</v>
      </c>
    </row>
    <row r="12" spans="1:4" ht="17.399999999999999">
      <c r="A12" s="1713" t="s">
        <v>2014</v>
      </c>
    </row>
    <row r="13" spans="1:4" ht="17.399999999999999">
      <c r="A13" s="1707" t="s">
        <v>2060</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7" t="s">
        <v>2062</v>
      </c>
    </row>
    <row r="20" spans="1:1" ht="17.399999999999999">
      <c r="A20" s="241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7" t="s">
        <v>2063</v>
      </c>
    </row>
    <row r="23" spans="1:1" ht="17.399999999999999">
      <c r="A23" s="2593" t="s">
        <v>2730</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659" customWidth="1"/>
    <col min="2" max="2" width="13.21875" style="2665" customWidth="1"/>
    <col min="3" max="3" width="15.6640625" style="2665" customWidth="1"/>
    <col min="4" max="4" width="9.33203125" style="2665" bestFit="1" customWidth="1"/>
    <col min="5" max="5" width="13.44140625" style="2665" customWidth="1"/>
    <col min="6" max="6" width="9" style="2665"/>
    <col min="7" max="7" width="9.33203125" style="2665" bestFit="1" customWidth="1"/>
    <col min="8" max="9" width="9" style="2665"/>
    <col min="10" max="10" width="9.33203125" style="2665" bestFit="1" customWidth="1"/>
    <col min="11" max="11" width="4" style="2659" customWidth="1"/>
    <col min="12" max="12" width="5.109375" style="2665" customWidth="1"/>
    <col min="13" max="13" width="13.77734375" style="2665" customWidth="1"/>
    <col min="14" max="256" width="9" style="2665"/>
    <col min="257" max="257" width="4.88671875" style="2657" customWidth="1"/>
    <col min="258" max="258" width="13.21875" style="2657" customWidth="1"/>
    <col min="259" max="259" width="15.6640625" style="2657" customWidth="1"/>
    <col min="260" max="260" width="9.33203125" style="2657" bestFit="1" customWidth="1"/>
    <col min="261" max="261" width="13.44140625" style="2657" customWidth="1"/>
    <col min="262" max="262" width="9" style="2657"/>
    <col min="263" max="263" width="9.33203125" style="2657" bestFit="1" customWidth="1"/>
    <col min="264" max="265" width="9" style="2657"/>
    <col min="266" max="266" width="9.33203125" style="2657" bestFit="1" customWidth="1"/>
    <col min="267" max="267" width="4" style="2657" customWidth="1"/>
    <col min="268" max="268" width="5.109375" style="2657" customWidth="1"/>
    <col min="269" max="269" width="13.77734375" style="2657" customWidth="1"/>
    <col min="270" max="512" width="9" style="2657"/>
    <col min="513" max="513" width="4.88671875" style="2657" customWidth="1"/>
    <col min="514" max="514" width="13.21875" style="2657" customWidth="1"/>
    <col min="515" max="515" width="15.6640625" style="2657" customWidth="1"/>
    <col min="516" max="516" width="9.33203125" style="2657" bestFit="1" customWidth="1"/>
    <col min="517" max="517" width="13.44140625" style="2657" customWidth="1"/>
    <col min="518" max="518" width="9" style="2657"/>
    <col min="519" max="519" width="9.33203125" style="2657" bestFit="1" customWidth="1"/>
    <col min="520" max="521" width="9" style="2657"/>
    <col min="522" max="522" width="9.33203125" style="2657" bestFit="1" customWidth="1"/>
    <col min="523" max="523" width="4" style="2657" customWidth="1"/>
    <col min="524" max="524" width="5.109375" style="2657" customWidth="1"/>
    <col min="525" max="525" width="13.77734375" style="2657" customWidth="1"/>
    <col min="526" max="768" width="9" style="2657"/>
    <col min="769" max="769" width="4.88671875" style="2657" customWidth="1"/>
    <col min="770" max="770" width="13.21875" style="2657" customWidth="1"/>
    <col min="771" max="771" width="15.6640625" style="2657" customWidth="1"/>
    <col min="772" max="772" width="9.33203125" style="2657" bestFit="1" customWidth="1"/>
    <col min="773" max="773" width="13.44140625" style="2657" customWidth="1"/>
    <col min="774" max="774" width="9" style="2657"/>
    <col min="775" max="775" width="9.33203125" style="2657" bestFit="1" customWidth="1"/>
    <col min="776" max="777" width="9" style="2657"/>
    <col min="778" max="778" width="9.33203125" style="2657" bestFit="1" customWidth="1"/>
    <col min="779" max="779" width="4" style="2657" customWidth="1"/>
    <col min="780" max="780" width="5.109375" style="2657" customWidth="1"/>
    <col min="781" max="781" width="13.77734375" style="2657" customWidth="1"/>
    <col min="782" max="1024" width="9" style="2657"/>
    <col min="1025" max="1025" width="4.88671875" style="2657" customWidth="1"/>
    <col min="1026" max="1026" width="13.21875" style="2657" customWidth="1"/>
    <col min="1027" max="1027" width="15.6640625" style="2657" customWidth="1"/>
    <col min="1028" max="1028" width="9.33203125" style="2657" bestFit="1" customWidth="1"/>
    <col min="1029" max="1029" width="13.44140625" style="2657" customWidth="1"/>
    <col min="1030" max="1030" width="9" style="2657"/>
    <col min="1031" max="1031" width="9.33203125" style="2657" bestFit="1" customWidth="1"/>
    <col min="1032" max="1033" width="9" style="2657"/>
    <col min="1034" max="1034" width="9.33203125" style="2657" bestFit="1" customWidth="1"/>
    <col min="1035" max="1035" width="4" style="2657" customWidth="1"/>
    <col min="1036" max="1036" width="5.109375" style="2657" customWidth="1"/>
    <col min="1037" max="1037" width="13.77734375" style="2657" customWidth="1"/>
    <col min="1038" max="1280" width="9" style="2657"/>
    <col min="1281" max="1281" width="4.88671875" style="2657" customWidth="1"/>
    <col min="1282" max="1282" width="13.21875" style="2657" customWidth="1"/>
    <col min="1283" max="1283" width="15.6640625" style="2657" customWidth="1"/>
    <col min="1284" max="1284" width="9.33203125" style="2657" bestFit="1" customWidth="1"/>
    <col min="1285" max="1285" width="13.44140625" style="2657" customWidth="1"/>
    <col min="1286" max="1286" width="9" style="2657"/>
    <col min="1287" max="1287" width="9.33203125" style="2657" bestFit="1" customWidth="1"/>
    <col min="1288" max="1289" width="9" style="2657"/>
    <col min="1290" max="1290" width="9.33203125" style="2657" bestFit="1" customWidth="1"/>
    <col min="1291" max="1291" width="4" style="2657" customWidth="1"/>
    <col min="1292" max="1292" width="5.109375" style="2657" customWidth="1"/>
    <col min="1293" max="1293" width="13.77734375" style="2657" customWidth="1"/>
    <col min="1294" max="1536" width="9" style="2657"/>
    <col min="1537" max="1537" width="4.88671875" style="2657" customWidth="1"/>
    <col min="1538" max="1538" width="13.21875" style="2657" customWidth="1"/>
    <col min="1539" max="1539" width="15.6640625" style="2657" customWidth="1"/>
    <col min="1540" max="1540" width="9.33203125" style="2657" bestFit="1" customWidth="1"/>
    <col min="1541" max="1541" width="13.44140625" style="2657" customWidth="1"/>
    <col min="1542" max="1542" width="9" style="2657"/>
    <col min="1543" max="1543" width="9.33203125" style="2657" bestFit="1" customWidth="1"/>
    <col min="1544" max="1545" width="9" style="2657"/>
    <col min="1546" max="1546" width="9.33203125" style="2657" bestFit="1" customWidth="1"/>
    <col min="1547" max="1547" width="4" style="2657" customWidth="1"/>
    <col min="1548" max="1548" width="5.109375" style="2657" customWidth="1"/>
    <col min="1549" max="1549" width="13.77734375" style="2657" customWidth="1"/>
    <col min="1550" max="1792" width="9" style="2657"/>
    <col min="1793" max="1793" width="4.88671875" style="2657" customWidth="1"/>
    <col min="1794" max="1794" width="13.21875" style="2657" customWidth="1"/>
    <col min="1795" max="1795" width="15.6640625" style="2657" customWidth="1"/>
    <col min="1796" max="1796" width="9.33203125" style="2657" bestFit="1" customWidth="1"/>
    <col min="1797" max="1797" width="13.44140625" style="2657" customWidth="1"/>
    <col min="1798" max="1798" width="9" style="2657"/>
    <col min="1799" max="1799" width="9.33203125" style="2657" bestFit="1" customWidth="1"/>
    <col min="1800" max="1801" width="9" style="2657"/>
    <col min="1802" max="1802" width="9.33203125" style="2657" bestFit="1" customWidth="1"/>
    <col min="1803" max="1803" width="4" style="2657" customWidth="1"/>
    <col min="1804" max="1804" width="5.109375" style="2657" customWidth="1"/>
    <col min="1805" max="1805" width="13.77734375" style="2657" customWidth="1"/>
    <col min="1806" max="2048" width="9" style="2657"/>
    <col min="2049" max="2049" width="4.88671875" style="2657" customWidth="1"/>
    <col min="2050" max="2050" width="13.21875" style="2657" customWidth="1"/>
    <col min="2051" max="2051" width="15.6640625" style="2657" customWidth="1"/>
    <col min="2052" max="2052" width="9.33203125" style="2657" bestFit="1" customWidth="1"/>
    <col min="2053" max="2053" width="13.44140625" style="2657" customWidth="1"/>
    <col min="2054" max="2054" width="9" style="2657"/>
    <col min="2055" max="2055" width="9.33203125" style="2657" bestFit="1" customWidth="1"/>
    <col min="2056" max="2057" width="9" style="2657"/>
    <col min="2058" max="2058" width="9.33203125" style="2657" bestFit="1" customWidth="1"/>
    <col min="2059" max="2059" width="4" style="2657" customWidth="1"/>
    <col min="2060" max="2060" width="5.109375" style="2657" customWidth="1"/>
    <col min="2061" max="2061" width="13.77734375" style="2657" customWidth="1"/>
    <col min="2062" max="2304" width="9" style="2657"/>
    <col min="2305" max="2305" width="4.88671875" style="2657" customWidth="1"/>
    <col min="2306" max="2306" width="13.21875" style="2657" customWidth="1"/>
    <col min="2307" max="2307" width="15.6640625" style="2657" customWidth="1"/>
    <col min="2308" max="2308" width="9.33203125" style="2657" bestFit="1" customWidth="1"/>
    <col min="2309" max="2309" width="13.44140625" style="2657" customWidth="1"/>
    <col min="2310" max="2310" width="9" style="2657"/>
    <col min="2311" max="2311" width="9.33203125" style="2657" bestFit="1" customWidth="1"/>
    <col min="2312" max="2313" width="9" style="2657"/>
    <col min="2314" max="2314" width="9.33203125" style="2657" bestFit="1" customWidth="1"/>
    <col min="2315" max="2315" width="4" style="2657" customWidth="1"/>
    <col min="2316" max="2316" width="5.109375" style="2657" customWidth="1"/>
    <col min="2317" max="2317" width="13.77734375" style="2657" customWidth="1"/>
    <col min="2318" max="2560" width="9" style="2657"/>
    <col min="2561" max="2561" width="4.88671875" style="2657" customWidth="1"/>
    <col min="2562" max="2562" width="13.21875" style="2657" customWidth="1"/>
    <col min="2563" max="2563" width="15.6640625" style="2657" customWidth="1"/>
    <col min="2564" max="2564" width="9.33203125" style="2657" bestFit="1" customWidth="1"/>
    <col min="2565" max="2565" width="13.44140625" style="2657" customWidth="1"/>
    <col min="2566" max="2566" width="9" style="2657"/>
    <col min="2567" max="2567" width="9.33203125" style="2657" bestFit="1" customWidth="1"/>
    <col min="2568" max="2569" width="9" style="2657"/>
    <col min="2570" max="2570" width="9.33203125" style="2657" bestFit="1" customWidth="1"/>
    <col min="2571" max="2571" width="4" style="2657" customWidth="1"/>
    <col min="2572" max="2572" width="5.109375" style="2657" customWidth="1"/>
    <col min="2573" max="2573" width="13.77734375" style="2657" customWidth="1"/>
    <col min="2574" max="2816" width="9" style="2657"/>
    <col min="2817" max="2817" width="4.88671875" style="2657" customWidth="1"/>
    <col min="2818" max="2818" width="13.21875" style="2657" customWidth="1"/>
    <col min="2819" max="2819" width="15.6640625" style="2657" customWidth="1"/>
    <col min="2820" max="2820" width="9.33203125" style="2657" bestFit="1" customWidth="1"/>
    <col min="2821" max="2821" width="13.44140625" style="2657" customWidth="1"/>
    <col min="2822" max="2822" width="9" style="2657"/>
    <col min="2823" max="2823" width="9.33203125" style="2657" bestFit="1" customWidth="1"/>
    <col min="2824" max="2825" width="9" style="2657"/>
    <col min="2826" max="2826" width="9.33203125" style="2657" bestFit="1" customWidth="1"/>
    <col min="2827" max="2827" width="4" style="2657" customWidth="1"/>
    <col min="2828" max="2828" width="5.109375" style="2657" customWidth="1"/>
    <col min="2829" max="2829" width="13.77734375" style="2657" customWidth="1"/>
    <col min="2830" max="3072" width="9" style="2657"/>
    <col min="3073" max="3073" width="4.88671875" style="2657" customWidth="1"/>
    <col min="3074" max="3074" width="13.21875" style="2657" customWidth="1"/>
    <col min="3075" max="3075" width="15.6640625" style="2657" customWidth="1"/>
    <col min="3076" max="3076" width="9.33203125" style="2657" bestFit="1" customWidth="1"/>
    <col min="3077" max="3077" width="13.44140625" style="2657" customWidth="1"/>
    <col min="3078" max="3078" width="9" style="2657"/>
    <col min="3079" max="3079" width="9.33203125" style="2657" bestFit="1" customWidth="1"/>
    <col min="3080" max="3081" width="9" style="2657"/>
    <col min="3082" max="3082" width="9.33203125" style="2657" bestFit="1" customWidth="1"/>
    <col min="3083" max="3083" width="4" style="2657" customWidth="1"/>
    <col min="3084" max="3084" width="5.109375" style="2657" customWidth="1"/>
    <col min="3085" max="3085" width="13.77734375" style="2657" customWidth="1"/>
    <col min="3086" max="3328" width="9" style="2657"/>
    <col min="3329" max="3329" width="4.88671875" style="2657" customWidth="1"/>
    <col min="3330" max="3330" width="13.21875" style="2657" customWidth="1"/>
    <col min="3331" max="3331" width="15.6640625" style="2657" customWidth="1"/>
    <col min="3332" max="3332" width="9.33203125" style="2657" bestFit="1" customWidth="1"/>
    <col min="3333" max="3333" width="13.44140625" style="2657" customWidth="1"/>
    <col min="3334" max="3334" width="9" style="2657"/>
    <col min="3335" max="3335" width="9.33203125" style="2657" bestFit="1" customWidth="1"/>
    <col min="3336" max="3337" width="9" style="2657"/>
    <col min="3338" max="3338" width="9.33203125" style="2657" bestFit="1" customWidth="1"/>
    <col min="3339" max="3339" width="4" style="2657" customWidth="1"/>
    <col min="3340" max="3340" width="5.109375" style="2657" customWidth="1"/>
    <col min="3341" max="3341" width="13.77734375" style="2657" customWidth="1"/>
    <col min="3342" max="3584" width="9" style="2657"/>
    <col min="3585" max="3585" width="4.88671875" style="2657" customWidth="1"/>
    <col min="3586" max="3586" width="13.21875" style="2657" customWidth="1"/>
    <col min="3587" max="3587" width="15.6640625" style="2657" customWidth="1"/>
    <col min="3588" max="3588" width="9.33203125" style="2657" bestFit="1" customWidth="1"/>
    <col min="3589" max="3589" width="13.44140625" style="2657" customWidth="1"/>
    <col min="3590" max="3590" width="9" style="2657"/>
    <col min="3591" max="3591" width="9.33203125" style="2657" bestFit="1" customWidth="1"/>
    <col min="3592" max="3593" width="9" style="2657"/>
    <col min="3594" max="3594" width="9.33203125" style="2657" bestFit="1" customWidth="1"/>
    <col min="3595" max="3595" width="4" style="2657" customWidth="1"/>
    <col min="3596" max="3596" width="5.109375" style="2657" customWidth="1"/>
    <col min="3597" max="3597" width="13.77734375" style="2657" customWidth="1"/>
    <col min="3598" max="3840" width="9" style="2657"/>
    <col min="3841" max="3841" width="4.88671875" style="2657" customWidth="1"/>
    <col min="3842" max="3842" width="13.21875" style="2657" customWidth="1"/>
    <col min="3843" max="3843" width="15.6640625" style="2657" customWidth="1"/>
    <col min="3844" max="3844" width="9.33203125" style="2657" bestFit="1" customWidth="1"/>
    <col min="3845" max="3845" width="13.44140625" style="2657" customWidth="1"/>
    <col min="3846" max="3846" width="9" style="2657"/>
    <col min="3847" max="3847" width="9.33203125" style="2657" bestFit="1" customWidth="1"/>
    <col min="3848" max="3849" width="9" style="2657"/>
    <col min="3850" max="3850" width="9.33203125" style="2657" bestFit="1" customWidth="1"/>
    <col min="3851" max="3851" width="4" style="2657" customWidth="1"/>
    <col min="3852" max="3852" width="5.109375" style="2657" customWidth="1"/>
    <col min="3853" max="3853" width="13.77734375" style="2657" customWidth="1"/>
    <col min="3854" max="4096" width="9" style="2657"/>
    <col min="4097" max="4097" width="4.88671875" style="2657" customWidth="1"/>
    <col min="4098" max="4098" width="13.21875" style="2657" customWidth="1"/>
    <col min="4099" max="4099" width="15.6640625" style="2657" customWidth="1"/>
    <col min="4100" max="4100" width="9.33203125" style="2657" bestFit="1" customWidth="1"/>
    <col min="4101" max="4101" width="13.44140625" style="2657" customWidth="1"/>
    <col min="4102" max="4102" width="9" style="2657"/>
    <col min="4103" max="4103" width="9.33203125" style="2657" bestFit="1" customWidth="1"/>
    <col min="4104" max="4105" width="9" style="2657"/>
    <col min="4106" max="4106" width="9.33203125" style="2657" bestFit="1" customWidth="1"/>
    <col min="4107" max="4107" width="4" style="2657" customWidth="1"/>
    <col min="4108" max="4108" width="5.109375" style="2657" customWidth="1"/>
    <col min="4109" max="4109" width="13.77734375" style="2657" customWidth="1"/>
    <col min="4110" max="4352" width="9" style="2657"/>
    <col min="4353" max="4353" width="4.88671875" style="2657" customWidth="1"/>
    <col min="4354" max="4354" width="13.21875" style="2657" customWidth="1"/>
    <col min="4355" max="4355" width="15.6640625" style="2657" customWidth="1"/>
    <col min="4356" max="4356" width="9.33203125" style="2657" bestFit="1" customWidth="1"/>
    <col min="4357" max="4357" width="13.44140625" style="2657" customWidth="1"/>
    <col min="4358" max="4358" width="9" style="2657"/>
    <col min="4359" max="4359" width="9.33203125" style="2657" bestFit="1" customWidth="1"/>
    <col min="4360" max="4361" width="9" style="2657"/>
    <col min="4362" max="4362" width="9.33203125" style="2657" bestFit="1" customWidth="1"/>
    <col min="4363" max="4363" width="4" style="2657" customWidth="1"/>
    <col min="4364" max="4364" width="5.109375" style="2657" customWidth="1"/>
    <col min="4365" max="4365" width="13.77734375" style="2657" customWidth="1"/>
    <col min="4366" max="4608" width="9" style="2657"/>
    <col min="4609" max="4609" width="4.88671875" style="2657" customWidth="1"/>
    <col min="4610" max="4610" width="13.21875" style="2657" customWidth="1"/>
    <col min="4611" max="4611" width="15.6640625" style="2657" customWidth="1"/>
    <col min="4612" max="4612" width="9.33203125" style="2657" bestFit="1" customWidth="1"/>
    <col min="4613" max="4613" width="13.44140625" style="2657" customWidth="1"/>
    <col min="4614" max="4614" width="9" style="2657"/>
    <col min="4615" max="4615" width="9.33203125" style="2657" bestFit="1" customWidth="1"/>
    <col min="4616" max="4617" width="9" style="2657"/>
    <col min="4618" max="4618" width="9.33203125" style="2657" bestFit="1" customWidth="1"/>
    <col min="4619" max="4619" width="4" style="2657" customWidth="1"/>
    <col min="4620" max="4620" width="5.109375" style="2657" customWidth="1"/>
    <col min="4621" max="4621" width="13.77734375" style="2657" customWidth="1"/>
    <col min="4622" max="4864" width="9" style="2657"/>
    <col min="4865" max="4865" width="4.88671875" style="2657" customWidth="1"/>
    <col min="4866" max="4866" width="13.21875" style="2657" customWidth="1"/>
    <col min="4867" max="4867" width="15.6640625" style="2657" customWidth="1"/>
    <col min="4868" max="4868" width="9.33203125" style="2657" bestFit="1" customWidth="1"/>
    <col min="4869" max="4869" width="13.44140625" style="2657" customWidth="1"/>
    <col min="4870" max="4870" width="9" style="2657"/>
    <col min="4871" max="4871" width="9.33203125" style="2657" bestFit="1" customWidth="1"/>
    <col min="4872" max="4873" width="9" style="2657"/>
    <col min="4874" max="4874" width="9.33203125" style="2657" bestFit="1" customWidth="1"/>
    <col min="4875" max="4875" width="4" style="2657" customWidth="1"/>
    <col min="4876" max="4876" width="5.109375" style="2657" customWidth="1"/>
    <col min="4877" max="4877" width="13.77734375" style="2657" customWidth="1"/>
    <col min="4878" max="5120" width="9" style="2657"/>
    <col min="5121" max="5121" width="4.88671875" style="2657" customWidth="1"/>
    <col min="5122" max="5122" width="13.21875" style="2657" customWidth="1"/>
    <col min="5123" max="5123" width="15.6640625" style="2657" customWidth="1"/>
    <col min="5124" max="5124" width="9.33203125" style="2657" bestFit="1" customWidth="1"/>
    <col min="5125" max="5125" width="13.44140625" style="2657" customWidth="1"/>
    <col min="5126" max="5126" width="9" style="2657"/>
    <col min="5127" max="5127" width="9.33203125" style="2657" bestFit="1" customWidth="1"/>
    <col min="5128" max="5129" width="9" style="2657"/>
    <col min="5130" max="5130" width="9.33203125" style="2657" bestFit="1" customWidth="1"/>
    <col min="5131" max="5131" width="4" style="2657" customWidth="1"/>
    <col min="5132" max="5132" width="5.109375" style="2657" customWidth="1"/>
    <col min="5133" max="5133" width="13.77734375" style="2657" customWidth="1"/>
    <col min="5134" max="5376" width="9" style="2657"/>
    <col min="5377" max="5377" width="4.88671875" style="2657" customWidth="1"/>
    <col min="5378" max="5378" width="13.21875" style="2657" customWidth="1"/>
    <col min="5379" max="5379" width="15.6640625" style="2657" customWidth="1"/>
    <col min="5380" max="5380" width="9.33203125" style="2657" bestFit="1" customWidth="1"/>
    <col min="5381" max="5381" width="13.44140625" style="2657" customWidth="1"/>
    <col min="5382" max="5382" width="9" style="2657"/>
    <col min="5383" max="5383" width="9.33203125" style="2657" bestFit="1" customWidth="1"/>
    <col min="5384" max="5385" width="9" style="2657"/>
    <col min="5386" max="5386" width="9.33203125" style="2657" bestFit="1" customWidth="1"/>
    <col min="5387" max="5387" width="4" style="2657" customWidth="1"/>
    <col min="5388" max="5388" width="5.109375" style="2657" customWidth="1"/>
    <col min="5389" max="5389" width="13.77734375" style="2657" customWidth="1"/>
    <col min="5390" max="5632" width="9" style="2657"/>
    <col min="5633" max="5633" width="4.88671875" style="2657" customWidth="1"/>
    <col min="5634" max="5634" width="13.21875" style="2657" customWidth="1"/>
    <col min="5635" max="5635" width="15.6640625" style="2657" customWidth="1"/>
    <col min="5636" max="5636" width="9.33203125" style="2657" bestFit="1" customWidth="1"/>
    <col min="5637" max="5637" width="13.44140625" style="2657" customWidth="1"/>
    <col min="5638" max="5638" width="9" style="2657"/>
    <col min="5639" max="5639" width="9.33203125" style="2657" bestFit="1" customWidth="1"/>
    <col min="5640" max="5641" width="9" style="2657"/>
    <col min="5642" max="5642" width="9.33203125" style="2657" bestFit="1" customWidth="1"/>
    <col min="5643" max="5643" width="4" style="2657" customWidth="1"/>
    <col min="5644" max="5644" width="5.109375" style="2657" customWidth="1"/>
    <col min="5645" max="5645" width="13.77734375" style="2657" customWidth="1"/>
    <col min="5646" max="5888" width="9" style="2657"/>
    <col min="5889" max="5889" width="4.88671875" style="2657" customWidth="1"/>
    <col min="5890" max="5890" width="13.21875" style="2657" customWidth="1"/>
    <col min="5891" max="5891" width="15.6640625" style="2657" customWidth="1"/>
    <col min="5892" max="5892" width="9.33203125" style="2657" bestFit="1" customWidth="1"/>
    <col min="5893" max="5893" width="13.44140625" style="2657" customWidth="1"/>
    <col min="5894" max="5894" width="9" style="2657"/>
    <col min="5895" max="5895" width="9.33203125" style="2657" bestFit="1" customWidth="1"/>
    <col min="5896" max="5897" width="9" style="2657"/>
    <col min="5898" max="5898" width="9.33203125" style="2657" bestFit="1" customWidth="1"/>
    <col min="5899" max="5899" width="4" style="2657" customWidth="1"/>
    <col min="5900" max="5900" width="5.109375" style="2657" customWidth="1"/>
    <col min="5901" max="5901" width="13.77734375" style="2657" customWidth="1"/>
    <col min="5902" max="6144" width="9" style="2657"/>
    <col min="6145" max="6145" width="4.88671875" style="2657" customWidth="1"/>
    <col min="6146" max="6146" width="13.21875" style="2657" customWidth="1"/>
    <col min="6147" max="6147" width="15.6640625" style="2657" customWidth="1"/>
    <col min="6148" max="6148" width="9.33203125" style="2657" bestFit="1" customWidth="1"/>
    <col min="6149" max="6149" width="13.44140625" style="2657" customWidth="1"/>
    <col min="6150" max="6150" width="9" style="2657"/>
    <col min="6151" max="6151" width="9.33203125" style="2657" bestFit="1" customWidth="1"/>
    <col min="6152" max="6153" width="9" style="2657"/>
    <col min="6154" max="6154" width="9.33203125" style="2657" bestFit="1" customWidth="1"/>
    <col min="6155" max="6155" width="4" style="2657" customWidth="1"/>
    <col min="6156" max="6156" width="5.109375" style="2657" customWidth="1"/>
    <col min="6157" max="6157" width="13.77734375" style="2657" customWidth="1"/>
    <col min="6158" max="6400" width="9" style="2657"/>
    <col min="6401" max="6401" width="4.88671875" style="2657" customWidth="1"/>
    <col min="6402" max="6402" width="13.21875" style="2657" customWidth="1"/>
    <col min="6403" max="6403" width="15.6640625" style="2657" customWidth="1"/>
    <col min="6404" max="6404" width="9.33203125" style="2657" bestFit="1" customWidth="1"/>
    <col min="6405" max="6405" width="13.44140625" style="2657" customWidth="1"/>
    <col min="6406" max="6406" width="9" style="2657"/>
    <col min="6407" max="6407" width="9.33203125" style="2657" bestFit="1" customWidth="1"/>
    <col min="6408" max="6409" width="9" style="2657"/>
    <col min="6410" max="6410" width="9.33203125" style="2657" bestFit="1" customWidth="1"/>
    <col min="6411" max="6411" width="4" style="2657" customWidth="1"/>
    <col min="6412" max="6412" width="5.109375" style="2657" customWidth="1"/>
    <col min="6413" max="6413" width="13.77734375" style="2657" customWidth="1"/>
    <col min="6414" max="6656" width="9" style="2657"/>
    <col min="6657" max="6657" width="4.88671875" style="2657" customWidth="1"/>
    <col min="6658" max="6658" width="13.21875" style="2657" customWidth="1"/>
    <col min="6659" max="6659" width="15.6640625" style="2657" customWidth="1"/>
    <col min="6660" max="6660" width="9.33203125" style="2657" bestFit="1" customWidth="1"/>
    <col min="6661" max="6661" width="13.44140625" style="2657" customWidth="1"/>
    <col min="6662" max="6662" width="9" style="2657"/>
    <col min="6663" max="6663" width="9.33203125" style="2657" bestFit="1" customWidth="1"/>
    <col min="6664" max="6665" width="9" style="2657"/>
    <col min="6666" max="6666" width="9.33203125" style="2657" bestFit="1" customWidth="1"/>
    <col min="6667" max="6667" width="4" style="2657" customWidth="1"/>
    <col min="6668" max="6668" width="5.109375" style="2657" customWidth="1"/>
    <col min="6669" max="6669" width="13.77734375" style="2657" customWidth="1"/>
    <col min="6670" max="6912" width="9" style="2657"/>
    <col min="6913" max="6913" width="4.88671875" style="2657" customWidth="1"/>
    <col min="6914" max="6914" width="13.21875" style="2657" customWidth="1"/>
    <col min="6915" max="6915" width="15.6640625" style="2657" customWidth="1"/>
    <col min="6916" max="6916" width="9.33203125" style="2657" bestFit="1" customWidth="1"/>
    <col min="6917" max="6917" width="13.44140625" style="2657" customWidth="1"/>
    <col min="6918" max="6918" width="9" style="2657"/>
    <col min="6919" max="6919" width="9.33203125" style="2657" bestFit="1" customWidth="1"/>
    <col min="6920" max="6921" width="9" style="2657"/>
    <col min="6922" max="6922" width="9.33203125" style="2657" bestFit="1" customWidth="1"/>
    <col min="6923" max="6923" width="4" style="2657" customWidth="1"/>
    <col min="6924" max="6924" width="5.109375" style="2657" customWidth="1"/>
    <col min="6925" max="6925" width="13.77734375" style="2657" customWidth="1"/>
    <col min="6926" max="7168" width="9" style="2657"/>
    <col min="7169" max="7169" width="4.88671875" style="2657" customWidth="1"/>
    <col min="7170" max="7170" width="13.21875" style="2657" customWidth="1"/>
    <col min="7171" max="7171" width="15.6640625" style="2657" customWidth="1"/>
    <col min="7172" max="7172" width="9.33203125" style="2657" bestFit="1" customWidth="1"/>
    <col min="7173" max="7173" width="13.44140625" style="2657" customWidth="1"/>
    <col min="7174" max="7174" width="9" style="2657"/>
    <col min="7175" max="7175" width="9.33203125" style="2657" bestFit="1" customWidth="1"/>
    <col min="7176" max="7177" width="9" style="2657"/>
    <col min="7178" max="7178" width="9.33203125" style="2657" bestFit="1" customWidth="1"/>
    <col min="7179" max="7179" width="4" style="2657" customWidth="1"/>
    <col min="7180" max="7180" width="5.109375" style="2657" customWidth="1"/>
    <col min="7181" max="7181" width="13.77734375" style="2657" customWidth="1"/>
    <col min="7182" max="7424" width="9" style="2657"/>
    <col min="7425" max="7425" width="4.88671875" style="2657" customWidth="1"/>
    <col min="7426" max="7426" width="13.21875" style="2657" customWidth="1"/>
    <col min="7427" max="7427" width="15.6640625" style="2657" customWidth="1"/>
    <col min="7428" max="7428" width="9.33203125" style="2657" bestFit="1" customWidth="1"/>
    <col min="7429" max="7429" width="13.44140625" style="2657" customWidth="1"/>
    <col min="7430" max="7430" width="9" style="2657"/>
    <col min="7431" max="7431" width="9.33203125" style="2657" bestFit="1" customWidth="1"/>
    <col min="7432" max="7433" width="9" style="2657"/>
    <col min="7434" max="7434" width="9.33203125" style="2657" bestFit="1" customWidth="1"/>
    <col min="7435" max="7435" width="4" style="2657" customWidth="1"/>
    <col min="7436" max="7436" width="5.109375" style="2657" customWidth="1"/>
    <col min="7437" max="7437" width="13.77734375" style="2657" customWidth="1"/>
    <col min="7438" max="7680" width="9" style="2657"/>
    <col min="7681" max="7681" width="4.88671875" style="2657" customWidth="1"/>
    <col min="7682" max="7682" width="13.21875" style="2657" customWidth="1"/>
    <col min="7683" max="7683" width="15.6640625" style="2657" customWidth="1"/>
    <col min="7684" max="7684" width="9.33203125" style="2657" bestFit="1" customWidth="1"/>
    <col min="7685" max="7685" width="13.44140625" style="2657" customWidth="1"/>
    <col min="7686" max="7686" width="9" style="2657"/>
    <col min="7687" max="7687" width="9.33203125" style="2657" bestFit="1" customWidth="1"/>
    <col min="7688" max="7689" width="9" style="2657"/>
    <col min="7690" max="7690" width="9.33203125" style="2657" bestFit="1" customWidth="1"/>
    <col min="7691" max="7691" width="4" style="2657" customWidth="1"/>
    <col min="7692" max="7692" width="5.109375" style="2657" customWidth="1"/>
    <col min="7693" max="7693" width="13.77734375" style="2657" customWidth="1"/>
    <col min="7694" max="7936" width="9" style="2657"/>
    <col min="7937" max="7937" width="4.88671875" style="2657" customWidth="1"/>
    <col min="7938" max="7938" width="13.21875" style="2657" customWidth="1"/>
    <col min="7939" max="7939" width="15.6640625" style="2657" customWidth="1"/>
    <col min="7940" max="7940" width="9.33203125" style="2657" bestFit="1" customWidth="1"/>
    <col min="7941" max="7941" width="13.44140625" style="2657" customWidth="1"/>
    <col min="7942" max="7942" width="9" style="2657"/>
    <col min="7943" max="7943" width="9.33203125" style="2657" bestFit="1" customWidth="1"/>
    <col min="7944" max="7945" width="9" style="2657"/>
    <col min="7946" max="7946" width="9.33203125" style="2657" bestFit="1" customWidth="1"/>
    <col min="7947" max="7947" width="4" style="2657" customWidth="1"/>
    <col min="7948" max="7948" width="5.109375" style="2657" customWidth="1"/>
    <col min="7949" max="7949" width="13.77734375" style="2657" customWidth="1"/>
    <col min="7950" max="8192" width="9" style="2657"/>
    <col min="8193" max="8193" width="4.88671875" style="2657" customWidth="1"/>
    <col min="8194" max="8194" width="13.21875" style="2657" customWidth="1"/>
    <col min="8195" max="8195" width="15.6640625" style="2657" customWidth="1"/>
    <col min="8196" max="8196" width="9.33203125" style="2657" bestFit="1" customWidth="1"/>
    <col min="8197" max="8197" width="13.44140625" style="2657" customWidth="1"/>
    <col min="8198" max="8198" width="9" style="2657"/>
    <col min="8199" max="8199" width="9.33203125" style="2657" bestFit="1" customWidth="1"/>
    <col min="8200" max="8201" width="9" style="2657"/>
    <col min="8202" max="8202" width="9.33203125" style="2657" bestFit="1" customWidth="1"/>
    <col min="8203" max="8203" width="4" style="2657" customWidth="1"/>
    <col min="8204" max="8204" width="5.109375" style="2657" customWidth="1"/>
    <col min="8205" max="8205" width="13.77734375" style="2657" customWidth="1"/>
    <col min="8206" max="8448" width="9" style="2657"/>
    <col min="8449" max="8449" width="4.88671875" style="2657" customWidth="1"/>
    <col min="8450" max="8450" width="13.21875" style="2657" customWidth="1"/>
    <col min="8451" max="8451" width="15.6640625" style="2657" customWidth="1"/>
    <col min="8452" max="8452" width="9.33203125" style="2657" bestFit="1" customWidth="1"/>
    <col min="8453" max="8453" width="13.44140625" style="2657" customWidth="1"/>
    <col min="8454" max="8454" width="9" style="2657"/>
    <col min="8455" max="8455" width="9.33203125" style="2657" bestFit="1" customWidth="1"/>
    <col min="8456" max="8457" width="9" style="2657"/>
    <col min="8458" max="8458" width="9.33203125" style="2657" bestFit="1" customWidth="1"/>
    <col min="8459" max="8459" width="4" style="2657" customWidth="1"/>
    <col min="8460" max="8460" width="5.109375" style="2657" customWidth="1"/>
    <col min="8461" max="8461" width="13.77734375" style="2657" customWidth="1"/>
    <col min="8462" max="8704" width="9" style="2657"/>
    <col min="8705" max="8705" width="4.88671875" style="2657" customWidth="1"/>
    <col min="8706" max="8706" width="13.21875" style="2657" customWidth="1"/>
    <col min="8707" max="8707" width="15.6640625" style="2657" customWidth="1"/>
    <col min="8708" max="8708" width="9.33203125" style="2657" bestFit="1" customWidth="1"/>
    <col min="8709" max="8709" width="13.44140625" style="2657" customWidth="1"/>
    <col min="8710" max="8710" width="9" style="2657"/>
    <col min="8711" max="8711" width="9.33203125" style="2657" bestFit="1" customWidth="1"/>
    <col min="8712" max="8713" width="9" style="2657"/>
    <col min="8714" max="8714" width="9.33203125" style="2657" bestFit="1" customWidth="1"/>
    <col min="8715" max="8715" width="4" style="2657" customWidth="1"/>
    <col min="8716" max="8716" width="5.109375" style="2657" customWidth="1"/>
    <col min="8717" max="8717" width="13.77734375" style="2657" customWidth="1"/>
    <col min="8718" max="8960" width="9" style="2657"/>
    <col min="8961" max="8961" width="4.88671875" style="2657" customWidth="1"/>
    <col min="8962" max="8962" width="13.21875" style="2657" customWidth="1"/>
    <col min="8963" max="8963" width="15.6640625" style="2657" customWidth="1"/>
    <col min="8964" max="8964" width="9.33203125" style="2657" bestFit="1" customWidth="1"/>
    <col min="8965" max="8965" width="13.44140625" style="2657" customWidth="1"/>
    <col min="8966" max="8966" width="9" style="2657"/>
    <col min="8967" max="8967" width="9.33203125" style="2657" bestFit="1" customWidth="1"/>
    <col min="8968" max="8969" width="9" style="2657"/>
    <col min="8970" max="8970" width="9.33203125" style="2657" bestFit="1" customWidth="1"/>
    <col min="8971" max="8971" width="4" style="2657" customWidth="1"/>
    <col min="8972" max="8972" width="5.109375" style="2657" customWidth="1"/>
    <col min="8973" max="8973" width="13.77734375" style="2657" customWidth="1"/>
    <col min="8974" max="9216" width="9" style="2657"/>
    <col min="9217" max="9217" width="4.88671875" style="2657" customWidth="1"/>
    <col min="9218" max="9218" width="13.21875" style="2657" customWidth="1"/>
    <col min="9219" max="9219" width="15.6640625" style="2657" customWidth="1"/>
    <col min="9220" max="9220" width="9.33203125" style="2657" bestFit="1" customWidth="1"/>
    <col min="9221" max="9221" width="13.44140625" style="2657" customWidth="1"/>
    <col min="9222" max="9222" width="9" style="2657"/>
    <col min="9223" max="9223" width="9.33203125" style="2657" bestFit="1" customWidth="1"/>
    <col min="9224" max="9225" width="9" style="2657"/>
    <col min="9226" max="9226" width="9.33203125" style="2657" bestFit="1" customWidth="1"/>
    <col min="9227" max="9227" width="4" style="2657" customWidth="1"/>
    <col min="9228" max="9228" width="5.109375" style="2657" customWidth="1"/>
    <col min="9229" max="9229" width="13.77734375" style="2657" customWidth="1"/>
    <col min="9230" max="9472" width="9" style="2657"/>
    <col min="9473" max="9473" width="4.88671875" style="2657" customWidth="1"/>
    <col min="9474" max="9474" width="13.21875" style="2657" customWidth="1"/>
    <col min="9475" max="9475" width="15.6640625" style="2657" customWidth="1"/>
    <col min="9476" max="9476" width="9.33203125" style="2657" bestFit="1" customWidth="1"/>
    <col min="9477" max="9477" width="13.44140625" style="2657" customWidth="1"/>
    <col min="9478" max="9478" width="9" style="2657"/>
    <col min="9479" max="9479" width="9.33203125" style="2657" bestFit="1" customWidth="1"/>
    <col min="9480" max="9481" width="9" style="2657"/>
    <col min="9482" max="9482" width="9.33203125" style="2657" bestFit="1" customWidth="1"/>
    <col min="9483" max="9483" width="4" style="2657" customWidth="1"/>
    <col min="9484" max="9484" width="5.109375" style="2657" customWidth="1"/>
    <col min="9485" max="9485" width="13.77734375" style="2657" customWidth="1"/>
    <col min="9486" max="9728" width="9" style="2657"/>
    <col min="9729" max="9729" width="4.88671875" style="2657" customWidth="1"/>
    <col min="9730" max="9730" width="13.21875" style="2657" customWidth="1"/>
    <col min="9731" max="9731" width="15.6640625" style="2657" customWidth="1"/>
    <col min="9732" max="9732" width="9.33203125" style="2657" bestFit="1" customWidth="1"/>
    <col min="9733" max="9733" width="13.44140625" style="2657" customWidth="1"/>
    <col min="9734" max="9734" width="9" style="2657"/>
    <col min="9735" max="9735" width="9.33203125" style="2657" bestFit="1" customWidth="1"/>
    <col min="9736" max="9737" width="9" style="2657"/>
    <col min="9738" max="9738" width="9.33203125" style="2657" bestFit="1" customWidth="1"/>
    <col min="9739" max="9739" width="4" style="2657" customWidth="1"/>
    <col min="9740" max="9740" width="5.109375" style="2657" customWidth="1"/>
    <col min="9741" max="9741" width="13.77734375" style="2657" customWidth="1"/>
    <col min="9742" max="9984" width="9" style="2657"/>
    <col min="9985" max="9985" width="4.88671875" style="2657" customWidth="1"/>
    <col min="9986" max="9986" width="13.21875" style="2657" customWidth="1"/>
    <col min="9987" max="9987" width="15.6640625" style="2657" customWidth="1"/>
    <col min="9988" max="9988" width="9.33203125" style="2657" bestFit="1" customWidth="1"/>
    <col min="9989" max="9989" width="13.44140625" style="2657" customWidth="1"/>
    <col min="9990" max="9990" width="9" style="2657"/>
    <col min="9991" max="9991" width="9.33203125" style="2657" bestFit="1" customWidth="1"/>
    <col min="9992" max="9993" width="9" style="2657"/>
    <col min="9994" max="9994" width="9.33203125" style="2657" bestFit="1" customWidth="1"/>
    <col min="9995" max="9995" width="4" style="2657" customWidth="1"/>
    <col min="9996" max="9996" width="5.109375" style="2657" customWidth="1"/>
    <col min="9997" max="9997" width="13.77734375" style="2657" customWidth="1"/>
    <col min="9998" max="10240" width="9" style="2657"/>
    <col min="10241" max="10241" width="4.88671875" style="2657" customWidth="1"/>
    <col min="10242" max="10242" width="13.21875" style="2657" customWidth="1"/>
    <col min="10243" max="10243" width="15.6640625" style="2657" customWidth="1"/>
    <col min="10244" max="10244" width="9.33203125" style="2657" bestFit="1" customWidth="1"/>
    <col min="10245" max="10245" width="13.44140625" style="2657" customWidth="1"/>
    <col min="10246" max="10246" width="9" style="2657"/>
    <col min="10247" max="10247" width="9.33203125" style="2657" bestFit="1" customWidth="1"/>
    <col min="10248" max="10249" width="9" style="2657"/>
    <col min="10250" max="10250" width="9.33203125" style="2657" bestFit="1" customWidth="1"/>
    <col min="10251" max="10251" width="4" style="2657" customWidth="1"/>
    <col min="10252" max="10252" width="5.109375" style="2657" customWidth="1"/>
    <col min="10253" max="10253" width="13.77734375" style="2657" customWidth="1"/>
    <col min="10254" max="10496" width="9" style="2657"/>
    <col min="10497" max="10497" width="4.88671875" style="2657" customWidth="1"/>
    <col min="10498" max="10498" width="13.21875" style="2657" customWidth="1"/>
    <col min="10499" max="10499" width="15.6640625" style="2657" customWidth="1"/>
    <col min="10500" max="10500" width="9.33203125" style="2657" bestFit="1" customWidth="1"/>
    <col min="10501" max="10501" width="13.44140625" style="2657" customWidth="1"/>
    <col min="10502" max="10502" width="9" style="2657"/>
    <col min="10503" max="10503" width="9.33203125" style="2657" bestFit="1" customWidth="1"/>
    <col min="10504" max="10505" width="9" style="2657"/>
    <col min="10506" max="10506" width="9.33203125" style="2657" bestFit="1" customWidth="1"/>
    <col min="10507" max="10507" width="4" style="2657" customWidth="1"/>
    <col min="10508" max="10508" width="5.109375" style="2657" customWidth="1"/>
    <col min="10509" max="10509" width="13.77734375" style="2657" customWidth="1"/>
    <col min="10510" max="10752" width="9" style="2657"/>
    <col min="10753" max="10753" width="4.88671875" style="2657" customWidth="1"/>
    <col min="10754" max="10754" width="13.21875" style="2657" customWidth="1"/>
    <col min="10755" max="10755" width="15.6640625" style="2657" customWidth="1"/>
    <col min="10756" max="10756" width="9.33203125" style="2657" bestFit="1" customWidth="1"/>
    <col min="10757" max="10757" width="13.44140625" style="2657" customWidth="1"/>
    <col min="10758" max="10758" width="9" style="2657"/>
    <col min="10759" max="10759" width="9.33203125" style="2657" bestFit="1" customWidth="1"/>
    <col min="10760" max="10761" width="9" style="2657"/>
    <col min="10762" max="10762" width="9.33203125" style="2657" bestFit="1" customWidth="1"/>
    <col min="10763" max="10763" width="4" style="2657" customWidth="1"/>
    <col min="10764" max="10764" width="5.109375" style="2657" customWidth="1"/>
    <col min="10765" max="10765" width="13.77734375" style="2657" customWidth="1"/>
    <col min="10766" max="11008" width="9" style="2657"/>
    <col min="11009" max="11009" width="4.88671875" style="2657" customWidth="1"/>
    <col min="11010" max="11010" width="13.21875" style="2657" customWidth="1"/>
    <col min="11011" max="11011" width="15.6640625" style="2657" customWidth="1"/>
    <col min="11012" max="11012" width="9.33203125" style="2657" bestFit="1" customWidth="1"/>
    <col min="11013" max="11013" width="13.44140625" style="2657" customWidth="1"/>
    <col min="11014" max="11014" width="9" style="2657"/>
    <col min="11015" max="11015" width="9.33203125" style="2657" bestFit="1" customWidth="1"/>
    <col min="11016" max="11017" width="9" style="2657"/>
    <col min="11018" max="11018" width="9.33203125" style="2657" bestFit="1" customWidth="1"/>
    <col min="11019" max="11019" width="4" style="2657" customWidth="1"/>
    <col min="11020" max="11020" width="5.109375" style="2657" customWidth="1"/>
    <col min="11021" max="11021" width="13.77734375" style="2657" customWidth="1"/>
    <col min="11022" max="11264" width="9" style="2657"/>
    <col min="11265" max="11265" width="4.88671875" style="2657" customWidth="1"/>
    <col min="11266" max="11266" width="13.21875" style="2657" customWidth="1"/>
    <col min="11267" max="11267" width="15.6640625" style="2657" customWidth="1"/>
    <col min="11268" max="11268" width="9.33203125" style="2657" bestFit="1" customWidth="1"/>
    <col min="11269" max="11269" width="13.44140625" style="2657" customWidth="1"/>
    <col min="11270" max="11270" width="9" style="2657"/>
    <col min="11271" max="11271" width="9.33203125" style="2657" bestFit="1" customWidth="1"/>
    <col min="11272" max="11273" width="9" style="2657"/>
    <col min="11274" max="11274" width="9.33203125" style="2657" bestFit="1" customWidth="1"/>
    <col min="11275" max="11275" width="4" style="2657" customWidth="1"/>
    <col min="11276" max="11276" width="5.109375" style="2657" customWidth="1"/>
    <col min="11277" max="11277" width="13.77734375" style="2657" customWidth="1"/>
    <col min="11278" max="11520" width="9" style="2657"/>
    <col min="11521" max="11521" width="4.88671875" style="2657" customWidth="1"/>
    <col min="11522" max="11522" width="13.21875" style="2657" customWidth="1"/>
    <col min="11523" max="11523" width="15.6640625" style="2657" customWidth="1"/>
    <col min="11524" max="11524" width="9.33203125" style="2657" bestFit="1" customWidth="1"/>
    <col min="11525" max="11525" width="13.44140625" style="2657" customWidth="1"/>
    <col min="11526" max="11526" width="9" style="2657"/>
    <col min="11527" max="11527" width="9.33203125" style="2657" bestFit="1" customWidth="1"/>
    <col min="11528" max="11529" width="9" style="2657"/>
    <col min="11530" max="11530" width="9.33203125" style="2657" bestFit="1" customWidth="1"/>
    <col min="11531" max="11531" width="4" style="2657" customWidth="1"/>
    <col min="11532" max="11532" width="5.109375" style="2657" customWidth="1"/>
    <col min="11533" max="11533" width="13.77734375" style="2657" customWidth="1"/>
    <col min="11534" max="11776" width="9" style="2657"/>
    <col min="11777" max="11777" width="4.88671875" style="2657" customWidth="1"/>
    <col min="11778" max="11778" width="13.21875" style="2657" customWidth="1"/>
    <col min="11779" max="11779" width="15.6640625" style="2657" customWidth="1"/>
    <col min="11780" max="11780" width="9.33203125" style="2657" bestFit="1" customWidth="1"/>
    <col min="11781" max="11781" width="13.44140625" style="2657" customWidth="1"/>
    <col min="11782" max="11782" width="9" style="2657"/>
    <col min="11783" max="11783" width="9.33203125" style="2657" bestFit="1" customWidth="1"/>
    <col min="11784" max="11785" width="9" style="2657"/>
    <col min="11786" max="11786" width="9.33203125" style="2657" bestFit="1" customWidth="1"/>
    <col min="11787" max="11787" width="4" style="2657" customWidth="1"/>
    <col min="11788" max="11788" width="5.109375" style="2657" customWidth="1"/>
    <col min="11789" max="11789" width="13.77734375" style="2657" customWidth="1"/>
    <col min="11790" max="12032" width="9" style="2657"/>
    <col min="12033" max="12033" width="4.88671875" style="2657" customWidth="1"/>
    <col min="12034" max="12034" width="13.21875" style="2657" customWidth="1"/>
    <col min="12035" max="12035" width="15.6640625" style="2657" customWidth="1"/>
    <col min="12036" max="12036" width="9.33203125" style="2657" bestFit="1" customWidth="1"/>
    <col min="12037" max="12037" width="13.44140625" style="2657" customWidth="1"/>
    <col min="12038" max="12038" width="9" style="2657"/>
    <col min="12039" max="12039" width="9.33203125" style="2657" bestFit="1" customWidth="1"/>
    <col min="12040" max="12041" width="9" style="2657"/>
    <col min="12042" max="12042" width="9.33203125" style="2657" bestFit="1" customWidth="1"/>
    <col min="12043" max="12043" width="4" style="2657" customWidth="1"/>
    <col min="12044" max="12044" width="5.109375" style="2657" customWidth="1"/>
    <col min="12045" max="12045" width="13.77734375" style="2657" customWidth="1"/>
    <col min="12046" max="12288" width="9" style="2657"/>
    <col min="12289" max="12289" width="4.88671875" style="2657" customWidth="1"/>
    <col min="12290" max="12290" width="13.21875" style="2657" customWidth="1"/>
    <col min="12291" max="12291" width="15.6640625" style="2657" customWidth="1"/>
    <col min="12292" max="12292" width="9.33203125" style="2657" bestFit="1" customWidth="1"/>
    <col min="12293" max="12293" width="13.44140625" style="2657" customWidth="1"/>
    <col min="12294" max="12294" width="9" style="2657"/>
    <col min="12295" max="12295" width="9.33203125" style="2657" bestFit="1" customWidth="1"/>
    <col min="12296" max="12297" width="9" style="2657"/>
    <col min="12298" max="12298" width="9.33203125" style="2657" bestFit="1" customWidth="1"/>
    <col min="12299" max="12299" width="4" style="2657" customWidth="1"/>
    <col min="12300" max="12300" width="5.109375" style="2657" customWidth="1"/>
    <col min="12301" max="12301" width="13.77734375" style="2657" customWidth="1"/>
    <col min="12302" max="12544" width="9" style="2657"/>
    <col min="12545" max="12545" width="4.88671875" style="2657" customWidth="1"/>
    <col min="12546" max="12546" width="13.21875" style="2657" customWidth="1"/>
    <col min="12547" max="12547" width="15.6640625" style="2657" customWidth="1"/>
    <col min="12548" max="12548" width="9.33203125" style="2657" bestFit="1" customWidth="1"/>
    <col min="12549" max="12549" width="13.44140625" style="2657" customWidth="1"/>
    <col min="12550" max="12550" width="9" style="2657"/>
    <col min="12551" max="12551" width="9.33203125" style="2657" bestFit="1" customWidth="1"/>
    <col min="12552" max="12553" width="9" style="2657"/>
    <col min="12554" max="12554" width="9.33203125" style="2657" bestFit="1" customWidth="1"/>
    <col min="12555" max="12555" width="4" style="2657" customWidth="1"/>
    <col min="12556" max="12556" width="5.109375" style="2657" customWidth="1"/>
    <col min="12557" max="12557" width="13.77734375" style="2657" customWidth="1"/>
    <col min="12558" max="12800" width="9" style="2657"/>
    <col min="12801" max="12801" width="4.88671875" style="2657" customWidth="1"/>
    <col min="12802" max="12802" width="13.21875" style="2657" customWidth="1"/>
    <col min="12803" max="12803" width="15.6640625" style="2657" customWidth="1"/>
    <col min="12804" max="12804" width="9.33203125" style="2657" bestFit="1" customWidth="1"/>
    <col min="12805" max="12805" width="13.44140625" style="2657" customWidth="1"/>
    <col min="12806" max="12806" width="9" style="2657"/>
    <col min="12807" max="12807" width="9.33203125" style="2657" bestFit="1" customWidth="1"/>
    <col min="12808" max="12809" width="9" style="2657"/>
    <col min="12810" max="12810" width="9.33203125" style="2657" bestFit="1" customWidth="1"/>
    <col min="12811" max="12811" width="4" style="2657" customWidth="1"/>
    <col min="12812" max="12812" width="5.109375" style="2657" customWidth="1"/>
    <col min="12813" max="12813" width="13.77734375" style="2657" customWidth="1"/>
    <col min="12814" max="13056" width="9" style="2657"/>
    <col min="13057" max="13057" width="4.88671875" style="2657" customWidth="1"/>
    <col min="13058" max="13058" width="13.21875" style="2657" customWidth="1"/>
    <col min="13059" max="13059" width="15.6640625" style="2657" customWidth="1"/>
    <col min="13060" max="13060" width="9.33203125" style="2657" bestFit="1" customWidth="1"/>
    <col min="13061" max="13061" width="13.44140625" style="2657" customWidth="1"/>
    <col min="13062" max="13062" width="9" style="2657"/>
    <col min="13063" max="13063" width="9.33203125" style="2657" bestFit="1" customWidth="1"/>
    <col min="13064" max="13065" width="9" style="2657"/>
    <col min="13066" max="13066" width="9.33203125" style="2657" bestFit="1" customWidth="1"/>
    <col min="13067" max="13067" width="4" style="2657" customWidth="1"/>
    <col min="13068" max="13068" width="5.109375" style="2657" customWidth="1"/>
    <col min="13069" max="13069" width="13.77734375" style="2657" customWidth="1"/>
    <col min="13070" max="13312" width="9" style="2657"/>
    <col min="13313" max="13313" width="4.88671875" style="2657" customWidth="1"/>
    <col min="13314" max="13314" width="13.21875" style="2657" customWidth="1"/>
    <col min="13315" max="13315" width="15.6640625" style="2657" customWidth="1"/>
    <col min="13316" max="13316" width="9.33203125" style="2657" bestFit="1" customWidth="1"/>
    <col min="13317" max="13317" width="13.44140625" style="2657" customWidth="1"/>
    <col min="13318" max="13318" width="9" style="2657"/>
    <col min="13319" max="13319" width="9.33203125" style="2657" bestFit="1" customWidth="1"/>
    <col min="13320" max="13321" width="9" style="2657"/>
    <col min="13322" max="13322" width="9.33203125" style="2657" bestFit="1" customWidth="1"/>
    <col min="13323" max="13323" width="4" style="2657" customWidth="1"/>
    <col min="13324" max="13324" width="5.109375" style="2657" customWidth="1"/>
    <col min="13325" max="13325" width="13.77734375" style="2657" customWidth="1"/>
    <col min="13326" max="13568" width="9" style="2657"/>
    <col min="13569" max="13569" width="4.88671875" style="2657" customWidth="1"/>
    <col min="13570" max="13570" width="13.21875" style="2657" customWidth="1"/>
    <col min="13571" max="13571" width="15.6640625" style="2657" customWidth="1"/>
    <col min="13572" max="13572" width="9.33203125" style="2657" bestFit="1" customWidth="1"/>
    <col min="13573" max="13573" width="13.44140625" style="2657" customWidth="1"/>
    <col min="13574" max="13574" width="9" style="2657"/>
    <col min="13575" max="13575" width="9.33203125" style="2657" bestFit="1" customWidth="1"/>
    <col min="13576" max="13577" width="9" style="2657"/>
    <col min="13578" max="13578" width="9.33203125" style="2657" bestFit="1" customWidth="1"/>
    <col min="13579" max="13579" width="4" style="2657" customWidth="1"/>
    <col min="13580" max="13580" width="5.109375" style="2657" customWidth="1"/>
    <col min="13581" max="13581" width="13.77734375" style="2657" customWidth="1"/>
    <col min="13582" max="13824" width="9" style="2657"/>
    <col min="13825" max="13825" width="4.88671875" style="2657" customWidth="1"/>
    <col min="13826" max="13826" width="13.21875" style="2657" customWidth="1"/>
    <col min="13827" max="13827" width="15.6640625" style="2657" customWidth="1"/>
    <col min="13828" max="13828" width="9.33203125" style="2657" bestFit="1" customWidth="1"/>
    <col min="13829" max="13829" width="13.44140625" style="2657" customWidth="1"/>
    <col min="13830" max="13830" width="9" style="2657"/>
    <col min="13831" max="13831" width="9.33203125" style="2657" bestFit="1" customWidth="1"/>
    <col min="13832" max="13833" width="9" style="2657"/>
    <col min="13834" max="13834" width="9.33203125" style="2657" bestFit="1" customWidth="1"/>
    <col min="13835" max="13835" width="4" style="2657" customWidth="1"/>
    <col min="13836" max="13836" width="5.109375" style="2657" customWidth="1"/>
    <col min="13837" max="13837" width="13.77734375" style="2657" customWidth="1"/>
    <col min="13838" max="14080" width="9" style="2657"/>
    <col min="14081" max="14081" width="4.88671875" style="2657" customWidth="1"/>
    <col min="14082" max="14082" width="13.21875" style="2657" customWidth="1"/>
    <col min="14083" max="14083" width="15.6640625" style="2657" customWidth="1"/>
    <col min="14084" max="14084" width="9.33203125" style="2657" bestFit="1" customWidth="1"/>
    <col min="14085" max="14085" width="13.44140625" style="2657" customWidth="1"/>
    <col min="14086" max="14086" width="9" style="2657"/>
    <col min="14087" max="14087" width="9.33203125" style="2657" bestFit="1" customWidth="1"/>
    <col min="14088" max="14089" width="9" style="2657"/>
    <col min="14090" max="14090" width="9.33203125" style="2657" bestFit="1" customWidth="1"/>
    <col min="14091" max="14091" width="4" style="2657" customWidth="1"/>
    <col min="14092" max="14092" width="5.109375" style="2657" customWidth="1"/>
    <col min="14093" max="14093" width="13.77734375" style="2657" customWidth="1"/>
    <col min="14094" max="14336" width="9" style="2657"/>
    <col min="14337" max="14337" width="4.88671875" style="2657" customWidth="1"/>
    <col min="14338" max="14338" width="13.21875" style="2657" customWidth="1"/>
    <col min="14339" max="14339" width="15.6640625" style="2657" customWidth="1"/>
    <col min="14340" max="14340" width="9.33203125" style="2657" bestFit="1" customWidth="1"/>
    <col min="14341" max="14341" width="13.44140625" style="2657" customWidth="1"/>
    <col min="14342" max="14342" width="9" style="2657"/>
    <col min="14343" max="14343" width="9.33203125" style="2657" bestFit="1" customWidth="1"/>
    <col min="14344" max="14345" width="9" style="2657"/>
    <col min="14346" max="14346" width="9.33203125" style="2657" bestFit="1" customWidth="1"/>
    <col min="14347" max="14347" width="4" style="2657" customWidth="1"/>
    <col min="14348" max="14348" width="5.109375" style="2657" customWidth="1"/>
    <col min="14349" max="14349" width="13.77734375" style="2657" customWidth="1"/>
    <col min="14350" max="14592" width="9" style="2657"/>
    <col min="14593" max="14593" width="4.88671875" style="2657" customWidth="1"/>
    <col min="14594" max="14594" width="13.21875" style="2657" customWidth="1"/>
    <col min="14595" max="14595" width="15.6640625" style="2657" customWidth="1"/>
    <col min="14596" max="14596" width="9.33203125" style="2657" bestFit="1" customWidth="1"/>
    <col min="14597" max="14597" width="13.44140625" style="2657" customWidth="1"/>
    <col min="14598" max="14598" width="9" style="2657"/>
    <col min="14599" max="14599" width="9.33203125" style="2657" bestFit="1" customWidth="1"/>
    <col min="14600" max="14601" width="9" style="2657"/>
    <col min="14602" max="14602" width="9.33203125" style="2657" bestFit="1" customWidth="1"/>
    <col min="14603" max="14603" width="4" style="2657" customWidth="1"/>
    <col min="14604" max="14604" width="5.109375" style="2657" customWidth="1"/>
    <col min="14605" max="14605" width="13.77734375" style="2657" customWidth="1"/>
    <col min="14606" max="14848" width="9" style="2657"/>
    <col min="14849" max="14849" width="4.88671875" style="2657" customWidth="1"/>
    <col min="14850" max="14850" width="13.21875" style="2657" customWidth="1"/>
    <col min="14851" max="14851" width="15.6640625" style="2657" customWidth="1"/>
    <col min="14852" max="14852" width="9.33203125" style="2657" bestFit="1" customWidth="1"/>
    <col min="14853" max="14853" width="13.44140625" style="2657" customWidth="1"/>
    <col min="14854" max="14854" width="9" style="2657"/>
    <col min="14855" max="14855" width="9.33203125" style="2657" bestFit="1" customWidth="1"/>
    <col min="14856" max="14857" width="9" style="2657"/>
    <col min="14858" max="14858" width="9.33203125" style="2657" bestFit="1" customWidth="1"/>
    <col min="14859" max="14859" width="4" style="2657" customWidth="1"/>
    <col min="14860" max="14860" width="5.109375" style="2657" customWidth="1"/>
    <col min="14861" max="14861" width="13.77734375" style="2657" customWidth="1"/>
    <col min="14862" max="15104" width="9" style="2657"/>
    <col min="15105" max="15105" width="4.88671875" style="2657" customWidth="1"/>
    <col min="15106" max="15106" width="13.21875" style="2657" customWidth="1"/>
    <col min="15107" max="15107" width="15.6640625" style="2657" customWidth="1"/>
    <col min="15108" max="15108" width="9.33203125" style="2657" bestFit="1" customWidth="1"/>
    <col min="15109" max="15109" width="13.44140625" style="2657" customWidth="1"/>
    <col min="15110" max="15110" width="9" style="2657"/>
    <col min="15111" max="15111" width="9.33203125" style="2657" bestFit="1" customWidth="1"/>
    <col min="15112" max="15113" width="9" style="2657"/>
    <col min="15114" max="15114" width="9.33203125" style="2657" bestFit="1" customWidth="1"/>
    <col min="15115" max="15115" width="4" style="2657" customWidth="1"/>
    <col min="15116" max="15116" width="5.109375" style="2657" customWidth="1"/>
    <col min="15117" max="15117" width="13.77734375" style="2657" customWidth="1"/>
    <col min="15118" max="15360" width="9" style="2657"/>
    <col min="15361" max="15361" width="4.88671875" style="2657" customWidth="1"/>
    <col min="15362" max="15362" width="13.21875" style="2657" customWidth="1"/>
    <col min="15363" max="15363" width="15.6640625" style="2657" customWidth="1"/>
    <col min="15364" max="15364" width="9.33203125" style="2657" bestFit="1" customWidth="1"/>
    <col min="15365" max="15365" width="13.44140625" style="2657" customWidth="1"/>
    <col min="15366" max="15366" width="9" style="2657"/>
    <col min="15367" max="15367" width="9.33203125" style="2657" bestFit="1" customWidth="1"/>
    <col min="15368" max="15369" width="9" style="2657"/>
    <col min="15370" max="15370" width="9.33203125" style="2657" bestFit="1" customWidth="1"/>
    <col min="15371" max="15371" width="4" style="2657" customWidth="1"/>
    <col min="15372" max="15372" width="5.109375" style="2657" customWidth="1"/>
    <col min="15373" max="15373" width="13.77734375" style="2657" customWidth="1"/>
    <col min="15374" max="15616" width="9" style="2657"/>
    <col min="15617" max="15617" width="4.88671875" style="2657" customWidth="1"/>
    <col min="15618" max="15618" width="13.21875" style="2657" customWidth="1"/>
    <col min="15619" max="15619" width="15.6640625" style="2657" customWidth="1"/>
    <col min="15620" max="15620" width="9.33203125" style="2657" bestFit="1" customWidth="1"/>
    <col min="15621" max="15621" width="13.44140625" style="2657" customWidth="1"/>
    <col min="15622" max="15622" width="9" style="2657"/>
    <col min="15623" max="15623" width="9.33203125" style="2657" bestFit="1" customWidth="1"/>
    <col min="15624" max="15625" width="9" style="2657"/>
    <col min="15626" max="15626" width="9.33203125" style="2657" bestFit="1" customWidth="1"/>
    <col min="15627" max="15627" width="4" style="2657" customWidth="1"/>
    <col min="15628" max="15628" width="5.109375" style="2657" customWidth="1"/>
    <col min="15629" max="15629" width="13.77734375" style="2657" customWidth="1"/>
    <col min="15630" max="15872" width="9" style="2657"/>
    <col min="15873" max="15873" width="4.88671875" style="2657" customWidth="1"/>
    <col min="15874" max="15874" width="13.21875" style="2657" customWidth="1"/>
    <col min="15875" max="15875" width="15.6640625" style="2657" customWidth="1"/>
    <col min="15876" max="15876" width="9.33203125" style="2657" bestFit="1" customWidth="1"/>
    <col min="15877" max="15877" width="13.44140625" style="2657" customWidth="1"/>
    <col min="15878" max="15878" width="9" style="2657"/>
    <col min="15879" max="15879" width="9.33203125" style="2657" bestFit="1" customWidth="1"/>
    <col min="15880" max="15881" width="9" style="2657"/>
    <col min="15882" max="15882" width="9.33203125" style="2657" bestFit="1" customWidth="1"/>
    <col min="15883" max="15883" width="4" style="2657" customWidth="1"/>
    <col min="15884" max="15884" width="5.109375" style="2657" customWidth="1"/>
    <col min="15885" max="15885" width="13.77734375" style="2657" customWidth="1"/>
    <col min="15886" max="16128" width="9" style="2657"/>
    <col min="16129" max="16129" width="4.88671875" style="2657" customWidth="1"/>
    <col min="16130" max="16130" width="13.21875" style="2657" customWidth="1"/>
    <col min="16131" max="16131" width="15.6640625" style="2657" customWidth="1"/>
    <col min="16132" max="16132" width="9.33203125" style="2657" bestFit="1" customWidth="1"/>
    <col min="16133" max="16133" width="13.44140625" style="2657" customWidth="1"/>
    <col min="16134" max="16134" width="9" style="2657"/>
    <col min="16135" max="16135" width="9.33203125" style="2657" bestFit="1" customWidth="1"/>
    <col min="16136" max="16137" width="9" style="2657"/>
    <col min="16138" max="16138" width="9.33203125" style="2657" bestFit="1" customWidth="1"/>
    <col min="16139" max="16139" width="4" style="2657" customWidth="1"/>
    <col min="16140" max="16140" width="5.109375" style="2657" customWidth="1"/>
    <col min="16141" max="16141" width="13.77734375" style="2657" customWidth="1"/>
    <col min="16142" max="16384" width="9" style="2657"/>
  </cols>
  <sheetData>
    <row r="1" spans="1:257" s="2717" customFormat="1" ht="15" thickBot="1">
      <c r="A1" s="2716"/>
      <c r="B1" s="2718" t="s">
        <v>2768</v>
      </c>
      <c r="C1" s="2722">
        <f>项目基本情况!D3</f>
        <v>0</v>
      </c>
      <c r="H1" s="2656">
        <f>IF(C1&gt;C13,0,MATCH(C1,C$13:C$100,-1))+IF(SUMIF(C13:C100,C1,D13:D100)=0,13,12)</f>
        <v>58</v>
      </c>
      <c r="I1" s="2656">
        <f ca="1">MATCH(C2,H3:H7,1)+IF(SUMIF(H3:H7,C2,I3:I7)=0,2,1)</f>
        <v>3</v>
      </c>
      <c r="J1" s="2715">
        <f ca="1">MATCH(C3,H3:H7,1)+IF(SUMIF(H3:H7,C3,J3:J7)=0,2,1)</f>
        <v>3</v>
      </c>
      <c r="N1" s="2656">
        <f>IF(C1&gt;M13,0,MATCH(C1,M$13:M$100,-1))+IF(SUMIF(M13:M100,C1,N13:N100)=0,13,12)</f>
        <v>52</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6" thickTop="1" thickBot="1">
      <c r="A2" s="2658"/>
      <c r="B2" s="2719" t="s">
        <v>2799</v>
      </c>
      <c r="C2" s="2723">
        <f>'数据-取费表'!B22</f>
        <v>0</v>
      </c>
      <c r="D2" s="2718" t="s">
        <v>2769</v>
      </c>
      <c r="E2" s="2721">
        <f ca="1">INDIRECT("I"&amp;$I$1)/100</f>
        <v>0</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0</v>
      </c>
      <c r="J3" s="2662">
        <f ca="1">INDIRECT("d"&amp;$H$1)</f>
        <v>0</v>
      </c>
      <c r="K3" s="2659"/>
      <c r="L3" s="2659"/>
      <c r="M3" s="2663">
        <v>0.5</v>
      </c>
      <c r="N3" s="2664">
        <f ca="1">INDIRECT("p"&amp;$N$1)</f>
        <v>0</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0</v>
      </c>
      <c r="G4" s="2666" t="s">
        <v>2773</v>
      </c>
      <c r="H4" s="2667">
        <v>0.5</v>
      </c>
      <c r="I4" s="2668">
        <f ca="1">INDIRECT("e"&amp;$H$1)</f>
        <v>0</v>
      </c>
      <c r="J4" s="2668">
        <f ca="1">INDIRECT("e"&amp;$H$1)</f>
        <v>0</v>
      </c>
      <c r="K4" s="2659"/>
      <c r="L4" s="2659"/>
      <c r="M4" s="2669">
        <v>1</v>
      </c>
      <c r="N4" s="2670">
        <f ca="1">INDIRECT("q"&amp;$N$1)</f>
        <v>0</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0</v>
      </c>
      <c r="J5" s="2668">
        <f ca="1">INDIRECT("f"&amp;$H$1)</f>
        <v>0</v>
      </c>
      <c r="K5" s="2659"/>
      <c r="L5" s="2659"/>
      <c r="M5" s="2669">
        <v>2</v>
      </c>
      <c r="N5" s="2670">
        <f ca="1">INDIRECT("r"&amp;$N$1)</f>
        <v>0</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0</v>
      </c>
      <c r="J6" s="2668">
        <f ca="1">INDIRECT("g"&amp;$H$1)</f>
        <v>0</v>
      </c>
      <c r="K6" s="2659"/>
      <c r="L6" s="2659"/>
      <c r="M6" s="2669">
        <v>3</v>
      </c>
      <c r="N6" s="2670">
        <f ca="1">INDIRECT("s"&amp;$N$1)</f>
        <v>0</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5" thickBot="1">
      <c r="A7" s="2659"/>
      <c r="G7" s="2671" t="s">
        <v>2776</v>
      </c>
      <c r="H7" s="2672">
        <v>5</v>
      </c>
      <c r="I7" s="2673">
        <f ca="1">INDIRECT("h"&amp;$H$1)</f>
        <v>0</v>
      </c>
      <c r="J7" s="2673">
        <f ca="1">INDIRECT("h"&amp;$H$1)</f>
        <v>0</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399999999999999">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2">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31.2">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6.8">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3" t="s">
        <v>2027</v>
      </c>
      <c r="B1" s="3283"/>
      <c r="C1" s="3283"/>
      <c r="D1" s="3283"/>
      <c r="E1" s="3283"/>
      <c r="F1" s="3283"/>
      <c r="G1" s="3283"/>
      <c r="H1" s="3283"/>
      <c r="I1" s="3283"/>
      <c r="J1" s="3283"/>
      <c r="K1" s="3283"/>
      <c r="L1" s="3283"/>
      <c r="M1" s="3283"/>
      <c r="N1" s="3283"/>
      <c r="O1" s="3283"/>
      <c r="P1" s="3283"/>
      <c r="Q1" s="3283"/>
      <c r="R1" s="3283"/>
    </row>
    <row r="2" spans="1:18">
      <c r="A2" s="1723" t="s">
        <v>2029</v>
      </c>
      <c r="B2" s="1723"/>
      <c r="C2" s="1723"/>
      <c r="D2" s="1723"/>
      <c r="E2" s="1723"/>
      <c r="F2" s="1723"/>
      <c r="G2" s="1723"/>
      <c r="H2" s="1723"/>
      <c r="I2" s="1724"/>
      <c r="J2" s="1724"/>
      <c r="K2" s="1725" t="str">
        <f>"估价期日："&amp;TEXT(项目基本情况!D3,"yyyy年m月d日;;")</f>
        <v>估价期日：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4" t="s">
        <v>2018</v>
      </c>
      <c r="B3" s="3284" t="s">
        <v>2712</v>
      </c>
      <c r="C3" s="3285" t="s">
        <v>2019</v>
      </c>
      <c r="D3" s="3284" t="s">
        <v>2716</v>
      </c>
      <c r="E3" s="3287" t="s">
        <v>2020</v>
      </c>
      <c r="F3" s="3287"/>
      <c r="G3" s="3287"/>
      <c r="H3" s="3287" t="s">
        <v>2021</v>
      </c>
      <c r="I3" s="3287"/>
      <c r="J3" s="3287"/>
      <c r="K3" s="3285" t="s">
        <v>2022</v>
      </c>
      <c r="L3" s="3285" t="s">
        <v>2023</v>
      </c>
      <c r="M3" s="3284" t="s">
        <v>2713</v>
      </c>
      <c r="N3" s="3286" t="str">
        <f>"（分摊）"&amp;项目基本情况!B16&amp;"国有建设用地使用权面积/㎡"</f>
        <v>（分摊）出让国有建设用地使用权面积/㎡</v>
      </c>
      <c r="O3" s="3284" t="s">
        <v>2052</v>
      </c>
      <c r="P3" s="3285" t="s">
        <v>2032</v>
      </c>
      <c r="Q3" s="3285" t="s">
        <v>2053</v>
      </c>
      <c r="R3" s="3285" t="s">
        <v>2024</v>
      </c>
    </row>
    <row r="4" spans="1:18" ht="36.75" customHeight="1">
      <c r="A4" s="3284"/>
      <c r="B4" s="3284"/>
      <c r="C4" s="3285"/>
      <c r="D4" s="3284"/>
      <c r="E4" s="2492" t="s">
        <v>2031</v>
      </c>
      <c r="F4" s="2492" t="s">
        <v>2725</v>
      </c>
      <c r="G4" s="2492" t="s">
        <v>2025</v>
      </c>
      <c r="H4" s="2492" t="s">
        <v>2026</v>
      </c>
      <c r="I4" s="2492" t="s">
        <v>2726</v>
      </c>
      <c r="J4" s="2492" t="s">
        <v>2025</v>
      </c>
      <c r="K4" s="3285"/>
      <c r="L4" s="3285"/>
      <c r="M4" s="3284"/>
      <c r="N4" s="3286"/>
      <c r="O4" s="3284"/>
      <c r="P4" s="3285"/>
      <c r="Q4" s="3285"/>
      <c r="R4" s="3285"/>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t="e">
        <f>项目基本情况!C22</f>
        <v>#DIV/0!</v>
      </c>
      <c r="O5" s="1726">
        <f>项目基本情况!C21</f>
        <v>0</v>
      </c>
      <c r="P5" s="1726" t="e">
        <f ca="1">结果表!E42</f>
        <v>#REF!</v>
      </c>
      <c r="Q5" s="1726" t="e">
        <f ca="1">结果表!D42</f>
        <v>#REF!</v>
      </c>
      <c r="R5" s="1727" t="e">
        <f ca="1">结果表!C42</f>
        <v>#REF!</v>
      </c>
    </row>
    <row r="6" spans="1:18">
      <c r="A6" s="3280" t="str">
        <f>IF(项目基本情况!B9="市场价格","——","抵押价格")</f>
        <v>抵押价格</v>
      </c>
      <c r="B6" s="3281"/>
      <c r="C6" s="3281"/>
      <c r="D6" s="3281"/>
      <c r="E6" s="3281"/>
      <c r="F6" s="3281"/>
      <c r="G6" s="3281"/>
      <c r="H6" s="3281"/>
      <c r="I6" s="3281"/>
      <c r="J6" s="3281"/>
      <c r="K6" s="3281"/>
      <c r="L6" s="3281"/>
      <c r="M6" s="3281"/>
      <c r="N6" s="3281"/>
      <c r="O6" s="3281"/>
      <c r="P6" s="3281"/>
      <c r="Q6" s="3282"/>
      <c r="R6" s="1728" t="str">
        <f>结果表!O39</f>
        <v>——</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728" t="str">
        <f>结果表!O40</f>
        <v>——</v>
      </c>
    </row>
    <row r="8" spans="1:18">
      <c r="A8" s="3280">
        <f>IF(项目基本情况!B9="市场价格","——",项目基本情况!E9)</f>
        <v>0</v>
      </c>
      <c r="B8" s="3281"/>
      <c r="C8" s="3281"/>
      <c r="D8" s="3281"/>
      <c r="E8" s="3281"/>
      <c r="F8" s="3281"/>
      <c r="G8" s="3281"/>
      <c r="H8" s="3281"/>
      <c r="I8" s="3281"/>
      <c r="J8" s="3281"/>
      <c r="K8" s="3281"/>
      <c r="L8" s="3281"/>
      <c r="M8" s="3281"/>
      <c r="N8" s="3281"/>
      <c r="O8" s="3281"/>
      <c r="P8" s="3281"/>
      <c r="Q8" s="3282"/>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8" customWidth="1"/>
    <col min="2" max="3" width="21.33203125" style="1718" customWidth="1"/>
    <col min="4" max="4" width="19.88671875" style="1718" customWidth="1"/>
    <col min="5" max="16384" width="9" style="1718"/>
  </cols>
  <sheetData>
    <row r="1" spans="1:4">
      <c r="A1" s="3289" t="s">
        <v>2054</v>
      </c>
      <c r="B1" s="3289"/>
      <c r="C1" s="3289"/>
      <c r="D1" s="3289"/>
    </row>
    <row r="2" spans="1:4" ht="47.25" customHeight="1">
      <c r="A2" s="3290" t="str">
        <f>"1.权利限制："&amp;项目基本情况!L24&amp;"未设定租赁等其他他项权利。"</f>
        <v>1.权利限制：根据估价对象《不动产权证书》原件、《国有土地使用权》复印件，截至估价期日，估价对象抵押权未见登记。未设定租赁等其他他项权利。</v>
      </c>
      <c r="B2" s="3290"/>
      <c r="C2" s="3290"/>
      <c r="D2" s="3290"/>
    </row>
    <row r="3" spans="1:4" ht="48" customHeight="1">
      <c r="A3" s="32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9"/>
      <c r="C3" s="3289"/>
      <c r="D3" s="3289"/>
    </row>
    <row r="4" spans="1:4" ht="36.75" customHeight="1">
      <c r="A4" s="3289" t="str">
        <f>"3.估价规划限制条件：详见"&amp;项目基本情况!E21&amp;"。"</f>
        <v>3.估价规划限制条件：详见《建设工程规划许可证》[]、《出让合同》[]。</v>
      </c>
      <c r="B4" s="3289"/>
      <c r="C4" s="3289"/>
      <c r="D4" s="3289"/>
    </row>
    <row r="5" spans="1:4">
      <c r="A5" s="3288" t="s">
        <v>2055</v>
      </c>
      <c r="B5" s="3288"/>
      <c r="C5" s="3288"/>
      <c r="D5" s="3288"/>
    </row>
    <row r="6" spans="1:4">
      <c r="A6" s="3289" t="s">
        <v>2033</v>
      </c>
      <c r="B6" s="3289"/>
      <c r="C6" s="3289"/>
      <c r="D6" s="3289"/>
    </row>
    <row r="7" spans="1:4" ht="33" customHeight="1">
      <c r="A7" s="3289" t="s">
        <v>2556</v>
      </c>
      <c r="B7" s="3289"/>
      <c r="C7" s="3289"/>
      <c r="D7" s="3289"/>
    </row>
    <row r="8" spans="1:4" ht="32.25" customHeight="1">
      <c r="A8" s="32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9"/>
      <c r="C8" s="3289"/>
      <c r="D8" s="3289"/>
    </row>
    <row r="9" spans="1:4" ht="33.75" customHeight="1">
      <c r="A9" s="32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9"/>
      <c r="C9" s="3289"/>
      <c r="D9" s="3289"/>
    </row>
    <row r="10" spans="1:4">
      <c r="A10" s="3289" t="str">
        <f>IF(项目基本情况!B8="抵押","4.估价师所知悉的法定优先受偿款情况为：","——")</f>
        <v>4.估价师所知悉的法定优先受偿款情况为：</v>
      </c>
      <c r="B10" s="3289"/>
      <c r="C10" s="3289"/>
      <c r="D10" s="3289"/>
    </row>
    <row r="11" spans="1:4" ht="37.5" customHeight="1">
      <c r="A11" s="32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1"/>
      <c r="C11" s="3291"/>
      <c r="D11" s="3291"/>
    </row>
    <row r="12" spans="1:4" ht="168" customHeight="1">
      <c r="A12" s="3288" t="s">
        <v>2057</v>
      </c>
      <c r="B12" s="3288"/>
      <c r="C12" s="3288"/>
      <c r="D12" s="3288"/>
    </row>
    <row r="13" spans="1:4">
      <c r="A13" s="3292" t="s">
        <v>2727</v>
      </c>
      <c r="B13" s="3292"/>
      <c r="C13" s="3292"/>
      <c r="D13" s="3292"/>
    </row>
    <row r="14" spans="1:4">
      <c r="A14" s="3291" t="str">
        <f>IF(项目基本情况!B8="抵押","综上，"&amp;结果表!K47,"——")</f>
        <v>综上，本次评估不存在估价师知悉的法定优先受偿款</v>
      </c>
      <c r="B14" s="3291"/>
      <c r="C14" s="3291"/>
      <c r="D14" s="3291"/>
    </row>
    <row r="15" spans="1:4" ht="58.5" customHeight="1">
      <c r="A15" s="32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9"/>
      <c r="C15" s="3289"/>
      <c r="D15" s="3289"/>
    </row>
    <row r="16" spans="1:4" ht="70.5" customHeight="1">
      <c r="A16" s="32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9"/>
      <c r="C16" s="3289"/>
      <c r="D16" s="3289"/>
    </row>
    <row r="17" spans="1:4">
      <c r="A17" s="3289" t="s">
        <v>2683</v>
      </c>
      <c r="B17" s="3289"/>
      <c r="C17" s="3289"/>
      <c r="D17" s="3289"/>
    </row>
    <row r="18" spans="1:4">
      <c r="A18" s="3289" t="s">
        <v>2675</v>
      </c>
      <c r="B18" s="3289"/>
      <c r="C18" s="3289"/>
      <c r="D18" s="3289"/>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289" t="s">
        <v>2680</v>
      </c>
      <c r="B23" s="3289"/>
      <c r="C23" s="3289"/>
      <c r="D23" s="3289"/>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48" customWidth="1"/>
    <col min="2" max="16384" width="14.44140625" style="1146"/>
  </cols>
  <sheetData>
    <row r="1" spans="1:7" s="1144" customFormat="1" ht="17.399999999999999">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4">
      <c r="A15" s="3300" t="s">
        <v>53</v>
      </c>
      <c r="B15" s="3301" t="s">
        <v>838</v>
      </c>
      <c r="C15" s="3297"/>
    </row>
    <row r="16" spans="1:7" ht="14.4">
      <c r="A16" s="3300"/>
      <c r="B16" s="3298" t="s">
        <v>54</v>
      </c>
      <c r="C16" s="1155" t="s">
        <v>53</v>
      </c>
    </row>
    <row r="17" spans="1:3" ht="14.4">
      <c r="A17" s="3300"/>
      <c r="B17" s="3298"/>
      <c r="C17" s="1155" t="s">
        <v>55</v>
      </c>
    </row>
    <row r="18" spans="1:3" ht="14.4">
      <c r="A18" s="3300"/>
      <c r="B18" s="3298"/>
      <c r="C18" s="1155" t="s">
        <v>56</v>
      </c>
    </row>
    <row r="19" spans="1:3" ht="14.4">
      <c r="A19" s="3300"/>
      <c r="B19" s="3296" t="s">
        <v>57</v>
      </c>
      <c r="C19" s="3297"/>
    </row>
    <row r="20" spans="1:3" ht="14.4">
      <c r="A20" s="1156" t="s">
        <v>58</v>
      </c>
      <c r="B20" s="1157"/>
      <c r="C20" s="1158"/>
    </row>
    <row r="21" spans="1:3" ht="14.4">
      <c r="A21" s="3299" t="s">
        <v>59</v>
      </c>
      <c r="B21" s="3296" t="s">
        <v>60</v>
      </c>
      <c r="C21" s="3297"/>
    </row>
    <row r="22" spans="1:3" ht="14.4">
      <c r="A22" s="3299"/>
      <c r="B22" s="3296" t="s">
        <v>61</v>
      </c>
      <c r="C22" s="3297"/>
    </row>
    <row r="23" spans="1:3" ht="14.4">
      <c r="A23" s="3299"/>
      <c r="B23" s="3296" t="s">
        <v>62</v>
      </c>
      <c r="C23" s="3297"/>
    </row>
    <row r="24" spans="1:3" ht="14.4">
      <c r="A24" s="3299"/>
      <c r="B24" s="3302" t="s">
        <v>63</v>
      </c>
      <c r="C24" s="1159" t="s">
        <v>829</v>
      </c>
    </row>
    <row r="25" spans="1:3" ht="14.4">
      <c r="A25" s="3299"/>
      <c r="B25" s="3303"/>
      <c r="C25" s="1159" t="s">
        <v>830</v>
      </c>
    </row>
    <row r="26" spans="1:3" ht="14.4">
      <c r="A26" s="3299"/>
      <c r="B26" s="3303"/>
      <c r="C26" s="1159" t="s">
        <v>831</v>
      </c>
    </row>
    <row r="27" spans="1:3" ht="14.4">
      <c r="A27" s="3299"/>
      <c r="B27" s="3303"/>
      <c r="C27" s="1159" t="s">
        <v>832</v>
      </c>
    </row>
    <row r="28" spans="1:3" ht="14.4">
      <c r="A28" s="3299"/>
      <c r="B28" s="3303"/>
      <c r="C28" s="1159" t="s">
        <v>833</v>
      </c>
    </row>
    <row r="29" spans="1:3" ht="14.4">
      <c r="A29" s="3299"/>
      <c r="B29" s="3303"/>
      <c r="C29" s="1159" t="s">
        <v>834</v>
      </c>
    </row>
    <row r="30" spans="1:3" ht="14.4">
      <c r="A30" s="3299"/>
      <c r="B30" s="3303"/>
      <c r="C30" s="1159" t="s">
        <v>835</v>
      </c>
    </row>
    <row r="31" spans="1:3" ht="14.4">
      <c r="A31" s="3299"/>
      <c r="B31" s="3303"/>
      <c r="C31" s="1159" t="s">
        <v>836</v>
      </c>
    </row>
    <row r="32" spans="1:3" ht="14.4">
      <c r="A32" s="3299"/>
      <c r="B32" s="3303"/>
      <c r="C32" s="1159" t="s">
        <v>1637</v>
      </c>
    </row>
    <row r="33" spans="1:3" ht="14.4">
      <c r="A33" s="3299"/>
      <c r="B33" s="3293" t="s">
        <v>1643</v>
      </c>
      <c r="C33" s="1159" t="s">
        <v>1638</v>
      </c>
    </row>
    <row r="34" spans="1:3" ht="14.4">
      <c r="A34" s="3299"/>
      <c r="B34" s="3294"/>
      <c r="C34" s="1164" t="s">
        <v>1639</v>
      </c>
    </row>
    <row r="35" spans="1:3" ht="14.4">
      <c r="A35" s="3299"/>
      <c r="B35" s="3294"/>
      <c r="C35" s="1165" t="s">
        <v>1640</v>
      </c>
    </row>
    <row r="36" spans="1:3" ht="14.4">
      <c r="A36" s="3299"/>
      <c r="B36" s="3294"/>
      <c r="C36" s="1165" t="s">
        <v>1641</v>
      </c>
    </row>
    <row r="37" spans="1:3" ht="14.4">
      <c r="A37" s="3299"/>
      <c r="B37" s="3295"/>
      <c r="C37" s="1166" t="s">
        <v>1642</v>
      </c>
    </row>
    <row r="38" spans="1:3">
      <c r="A38" s="1160" t="s">
        <v>837</v>
      </c>
    </row>
    <row r="41" spans="1:3">
      <c r="A41" s="1160" t="s">
        <v>68</v>
      </c>
    </row>
    <row r="42" spans="1:3" ht="14.4">
      <c r="A42" s="1161" t="s">
        <v>845</v>
      </c>
    </row>
    <row r="43" spans="1:3" ht="14.4">
      <c r="A43" s="1162" t="s">
        <v>69</v>
      </c>
    </row>
    <row r="44" spans="1:3" ht="14.4">
      <c r="A44" s="1161" t="s">
        <v>844</v>
      </c>
    </row>
    <row r="45" spans="1:3" ht="14.4">
      <c r="A45" s="1163" t="s">
        <v>846</v>
      </c>
    </row>
    <row r="46" spans="1:3" ht="14.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31" customWidth="1"/>
    <col min="2" max="2" width="22.77734375" style="2831" bestFit="1" customWidth="1"/>
    <col min="3" max="3" width="25.77734375" style="2831" bestFit="1" customWidth="1"/>
    <col min="4" max="4" width="22.6640625" style="2831"/>
    <col min="5" max="5" width="22.77734375" style="2831" bestFit="1" customWidth="1"/>
    <col min="6" max="6" width="25.6640625" style="2831" customWidth="1"/>
    <col min="7" max="16384" width="22.6640625" style="2831"/>
  </cols>
  <sheetData>
    <row r="1" spans="1:7" ht="20.25" customHeight="1">
      <c r="A1" s="3026"/>
      <c r="B1" s="3026"/>
      <c r="C1" s="3026"/>
      <c r="D1" s="3026"/>
      <c r="E1" s="3026"/>
      <c r="F1" s="3026"/>
      <c r="G1" s="3026"/>
    </row>
    <row r="2" spans="1:7" ht="20.25" customHeight="1">
      <c r="A2" s="3027" t="s">
        <v>1898</v>
      </c>
      <c r="B2" s="3028">
        <f ca="1">TODAY()</f>
        <v>44211</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07" t="s">
        <v>1915</v>
      </c>
      <c r="B17" s="3308"/>
      <c r="C17" s="3308"/>
      <c r="D17" s="3308"/>
      <c r="E17" s="3308"/>
      <c r="F17" s="3308"/>
      <c r="G17" s="3035"/>
    </row>
    <row r="18" spans="1:7" ht="20.25" customHeight="1">
      <c r="A18" s="3304" t="s">
        <v>1916</v>
      </c>
      <c r="B18" s="3304"/>
      <c r="C18" s="3305"/>
      <c r="D18" s="3306" t="s">
        <v>1917</v>
      </c>
      <c r="E18" s="3304"/>
      <c r="F18" s="3304"/>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68" customWidth="1"/>
    <col min="2" max="2" width="18.88671875" style="114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21875" style="1146" customWidth="1"/>
    <col min="26" max="16384" width="9" style="1146"/>
  </cols>
  <sheetData>
    <row r="1" spans="1:23" s="1167" customFormat="1" ht="28.8">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ht="14.4">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ht="14.4">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ht="14.4">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ht="14.4">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ht="14.4">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ht="14.4">
      <c r="A7" s="8" t="s">
        <v>102</v>
      </c>
      <c r="B7" s="8" t="s">
        <v>103</v>
      </c>
      <c r="C7" s="1490" t="s">
        <v>1705</v>
      </c>
      <c r="F7" s="9" t="s">
        <v>154</v>
      </c>
      <c r="H7" s="9" t="s">
        <v>104</v>
      </c>
      <c r="I7" s="9" t="s">
        <v>105</v>
      </c>
    </row>
    <row r="8" spans="1:23" ht="14.4">
      <c r="A8" s="8" t="s">
        <v>106</v>
      </c>
      <c r="B8" s="8" t="s">
        <v>107</v>
      </c>
      <c r="C8" s="1490" t="s">
        <v>1706</v>
      </c>
      <c r="F8" s="9" t="s">
        <v>155</v>
      </c>
      <c r="H8" s="9"/>
      <c r="I8" s="9" t="s">
        <v>108</v>
      </c>
    </row>
    <row r="9" spans="1:23" ht="14.4">
      <c r="A9" s="8" t="s">
        <v>109</v>
      </c>
      <c r="B9" s="8" t="s">
        <v>156</v>
      </c>
      <c r="C9" s="1490" t="s">
        <v>1707</v>
      </c>
      <c r="F9" s="9" t="s">
        <v>110</v>
      </c>
      <c r="H9" s="9"/>
    </row>
    <row r="10" spans="1:23" ht="14.4">
      <c r="A10" s="8" t="s">
        <v>111</v>
      </c>
      <c r="B10" s="8" t="s">
        <v>157</v>
      </c>
      <c r="C10" s="1490" t="s">
        <v>1708</v>
      </c>
      <c r="F10" s="9" t="s">
        <v>6</v>
      </c>
    </row>
    <row r="11" spans="1:23" ht="14.4">
      <c r="A11" s="8" t="s">
        <v>112</v>
      </c>
      <c r="B11" s="8" t="s">
        <v>158</v>
      </c>
      <c r="C11" s="1490" t="s">
        <v>1709</v>
      </c>
    </row>
    <row r="12" spans="1:23" ht="14.4">
      <c r="A12" s="8" t="s">
        <v>113</v>
      </c>
      <c r="B12" s="8" t="s">
        <v>159</v>
      </c>
      <c r="C12" s="1490" t="s">
        <v>1710</v>
      </c>
    </row>
    <row r="13" spans="1:23" ht="14.4">
      <c r="A13" s="8" t="s">
        <v>114</v>
      </c>
      <c r="B13" s="8" t="s">
        <v>160</v>
      </c>
      <c r="C13" s="1490" t="s">
        <v>1711</v>
      </c>
    </row>
    <row r="14" spans="1:23" ht="14.4">
      <c r="A14" s="8" t="s">
        <v>115</v>
      </c>
      <c r="B14" s="8" t="s">
        <v>161</v>
      </c>
      <c r="C14" s="1493" t="s">
        <v>1887</v>
      </c>
    </row>
    <row r="15" spans="1:23" ht="14.4">
      <c r="A15" s="8" t="s">
        <v>116</v>
      </c>
      <c r="B15" s="8" t="s">
        <v>1672</v>
      </c>
      <c r="C15" s="1493"/>
    </row>
    <row r="16" spans="1:23" ht="14.4">
      <c r="A16" s="8" t="s">
        <v>117</v>
      </c>
      <c r="B16" s="8" t="s">
        <v>1673</v>
      </c>
      <c r="C16" s="1493"/>
    </row>
    <row r="17" spans="1:3" ht="14.4">
      <c r="A17" s="8" t="s">
        <v>118</v>
      </c>
      <c r="B17" s="8" t="s">
        <v>1674</v>
      </c>
      <c r="C17" s="1493"/>
    </row>
    <row r="18" spans="1:3" ht="14.4">
      <c r="A18" s="8" t="s">
        <v>119</v>
      </c>
      <c r="B18" s="2793" t="s">
        <v>2922</v>
      </c>
      <c r="C18" s="1493"/>
    </row>
    <row r="19" spans="1:3" ht="14.4">
      <c r="A19" s="8" t="s">
        <v>120</v>
      </c>
      <c r="B19" s="2793" t="s">
        <v>2929</v>
      </c>
      <c r="C19" s="1493"/>
    </row>
    <row r="20" spans="1:3" ht="14.4">
      <c r="A20" s="8" t="s">
        <v>121</v>
      </c>
      <c r="B20" s="2793" t="s">
        <v>2975</v>
      </c>
      <c r="C20" s="1493"/>
    </row>
    <row r="21" spans="1:3" ht="14.4">
      <c r="A21" s="8" t="s">
        <v>122</v>
      </c>
      <c r="B21" s="8" t="s">
        <v>1632</v>
      </c>
      <c r="C21" s="1493"/>
    </row>
    <row r="22" spans="1:3" ht="14.4">
      <c r="A22" s="8" t="s">
        <v>123</v>
      </c>
      <c r="B22" s="8" t="s">
        <v>1632</v>
      </c>
      <c r="C22" s="1493"/>
    </row>
    <row r="23" spans="1:3" ht="14.4">
      <c r="A23" s="8" t="s">
        <v>124</v>
      </c>
      <c r="B23" s="8" t="s">
        <v>1632</v>
      </c>
      <c r="C23" s="1493"/>
    </row>
    <row r="24" spans="1:3">
      <c r="A24" s="8" t="s">
        <v>12</v>
      </c>
      <c r="B24" s="8" t="s">
        <v>1632</v>
      </c>
      <c r="C24" s="1493"/>
    </row>
    <row r="25" spans="1:3" ht="14.4">
      <c r="A25" s="8" t="s">
        <v>125</v>
      </c>
      <c r="B25" s="8" t="s">
        <v>1632</v>
      </c>
      <c r="C25" s="1493"/>
    </row>
    <row r="26" spans="1:3" ht="14.4">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09"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686"/>
      <c r="E53" s="1686"/>
    </row>
    <row r="54" spans="1:5">
      <c r="A54" s="3309"/>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09"/>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09"/>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09"/>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ht="14.4">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2021-01-15T05:58:11Z</dcterms:modified>
</cp:coreProperties>
</file>