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84" windowWidth="11364" windowHeight="10980" tabRatio="875" firstSheet="6"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r:id="rId28"/>
    <sheet name="收益还原法" sheetId="44" r:id="rId29"/>
    <sheet name="不动产收益法" sheetId="15" r:id="rId30"/>
    <sheet name="不动产收益法-酒店模型" sheetId="68" r:id="rId31"/>
    <sheet name="成本逼近法" sheetId="11" r:id="rId32"/>
    <sheet name="不动产比较法-住宅" sheetId="2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r:id="rId40"/>
  </sheets>
  <externalReferences>
    <externalReference r:id="rId41"/>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AB9" i="59" s="1"/>
  <c r="P10" i="59"/>
  <c r="AA9" i="59" s="1"/>
  <c r="O10" i="59"/>
  <c r="Y9" i="59" s="1"/>
  <c r="Z9" i="59" s="1"/>
  <c r="N10" i="59"/>
  <c r="X9" i="59" s="1"/>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N16" i="4" s="1"/>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c r="K2" i="4"/>
  <c r="K1" i="4"/>
  <c r="B1" i="4"/>
  <c r="B37" i="50" s="1"/>
  <c r="B2" i="63" s="1"/>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C6" i="12"/>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W23" i="40"/>
  <c r="AP11" i="1"/>
  <c r="B11" i="1"/>
  <c r="E11" i="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s="1"/>
  <c r="A18" i="51"/>
  <c r="B14" i="63"/>
  <c r="BA16" i="3"/>
  <c r="BA17" i="3"/>
  <c r="AZ17" i="3"/>
  <c r="C24" i="12"/>
  <c r="F3" i="35"/>
  <c r="K1" i="43"/>
  <c r="K1" i="12"/>
  <c r="G1" i="44"/>
  <c r="I4" i="6"/>
  <c r="G3" i="46"/>
  <c r="AZ15" i="3"/>
  <c r="BK5" i="3"/>
  <c r="BO5" i="3"/>
  <c r="BP5" i="3"/>
  <c r="BN5" i="3"/>
  <c r="BL18" i="3"/>
  <c r="AZ18" i="3"/>
  <c r="BC5" i="3"/>
  <c r="E8" i="6"/>
  <c r="E53" i="40" s="1"/>
  <c r="BD5" i="3"/>
  <c r="BR5" i="3"/>
  <c r="BS5" i="3"/>
  <c r="BQ5" i="3"/>
  <c r="BL16" i="3"/>
  <c r="BL5"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F27" i="6"/>
  <c r="F31" i="6" s="1"/>
  <c r="E5" i="6"/>
  <c r="D12" i="11" s="1"/>
  <c r="C12" i="11" s="1"/>
  <c r="AT6" i="3"/>
  <c r="BA5" i="3"/>
  <c r="AZ13" i="3"/>
  <c r="G29" i="6"/>
  <c r="E29" i="6" s="1"/>
  <c r="AZ16" i="3"/>
  <c r="A9" i="64"/>
  <c r="A9" i="51"/>
  <c r="B9" i="63" s="1"/>
  <c r="A3" i="55"/>
  <c r="B56" i="63"/>
  <c r="E4" i="4"/>
  <c r="C4" i="4"/>
  <c r="G66" i="36"/>
  <c r="J18" i="36"/>
  <c r="AE8" i="1"/>
  <c r="AE7" i="1"/>
  <c r="AE6" i="1"/>
  <c r="W18" i="36"/>
  <c r="AC18" i="36"/>
  <c r="AG6" i="1"/>
  <c r="L20" i="6"/>
  <c r="AZ5" i="3"/>
  <c r="E3" i="6" s="1"/>
  <c r="D16" i="43" s="1"/>
  <c r="L19" i="6"/>
  <c r="B21" i="55"/>
  <c r="B72" i="63" s="1"/>
  <c r="B20" i="55"/>
  <c r="B70" i="63" s="1"/>
  <c r="S7" i="1"/>
  <c r="S8" i="1"/>
  <c r="S9" i="1"/>
  <c r="L38" i="9"/>
  <c r="B14" i="66" s="1"/>
  <c r="B1" i="66" s="1"/>
  <c r="R9" i="1"/>
  <c r="R7" i="1"/>
  <c r="R8"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C21" i="4"/>
  <c r="O5" i="54" s="1"/>
  <c r="B45" i="63" s="1"/>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H63" i="46"/>
  <c r="I101" i="46"/>
  <c r="I105" i="46" s="1"/>
  <c r="M101" i="46"/>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H72" i="46"/>
  <c r="H69" i="46"/>
  <c r="H77" i="46"/>
  <c r="H76" i="46"/>
  <c r="H55" i="46"/>
  <c r="H54" i="46"/>
  <c r="H52" i="46"/>
  <c r="H47" i="46"/>
  <c r="AD12" i="46"/>
  <c r="AH12" i="46"/>
  <c r="C22" i="59"/>
  <c r="C21" i="59"/>
  <c r="T21" i="59"/>
  <c r="B22" i="59"/>
  <c r="B21" i="59"/>
  <c r="S21" i="59"/>
  <c r="D22" i="59"/>
  <c r="V21" i="59"/>
  <c r="D21"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D20" i="59"/>
  <c r="D19" i="59"/>
  <c r="G20" i="46"/>
  <c r="E41" i="46" s="1"/>
  <c r="C41" i="46" s="1"/>
  <c r="S5" i="46"/>
  <c r="S2" i="46"/>
  <c r="S3" i="46"/>
  <c r="S7" i="46"/>
  <c r="S6" i="46"/>
  <c r="S4" i="46"/>
  <c r="F11" i="67"/>
  <c r="M26" i="15"/>
  <c r="M29" i="44"/>
  <c r="L48" i="15"/>
  <c r="F11" i="44"/>
  <c r="F41" i="15"/>
  <c r="M10" i="44"/>
  <c r="I7" i="65"/>
  <c r="F43" i="15"/>
  <c r="M31" i="44"/>
  <c r="F12" i="67"/>
  <c r="M26" i="44"/>
  <c r="F14" i="67"/>
  <c r="F45" i="44"/>
  <c r="F8" i="67"/>
  <c r="B12" i="67"/>
  <c r="F18" i="44"/>
  <c r="I4" i="65"/>
  <c r="J15" i="15"/>
  <c r="F13" i="15"/>
  <c r="J4" i="65"/>
  <c r="C19" i="9"/>
  <c r="M25" i="44"/>
  <c r="F13" i="67"/>
  <c r="M28" i="15"/>
  <c r="F8" i="15"/>
  <c r="M28" i="44"/>
  <c r="M27" i="15"/>
  <c r="J3" i="65"/>
  <c r="F10" i="44"/>
  <c r="D19" i="9"/>
  <c r="F10" i="67"/>
  <c r="F9" i="67"/>
  <c r="F16" i="15"/>
  <c r="F46" i="44"/>
  <c r="M24" i="15"/>
  <c r="F40" i="15"/>
  <c r="F36" i="15"/>
  <c r="F9" i="44"/>
  <c r="J7" i="65"/>
  <c r="C20" i="9"/>
  <c r="M9" i="15"/>
  <c r="N4" i="65"/>
  <c r="M8" i="44"/>
  <c r="E9" i="67"/>
  <c r="M23" i="15"/>
  <c r="J17" i="44"/>
  <c r="N3" i="65"/>
  <c r="F15" i="44"/>
  <c r="B9" i="67"/>
  <c r="F37" i="15"/>
  <c r="L49" i="44"/>
  <c r="B13" i="67"/>
  <c r="L47" i="15"/>
  <c r="M24" i="44"/>
  <c r="E14" i="67"/>
  <c r="M30" i="44"/>
  <c r="I5" i="65"/>
  <c r="E11" i="67"/>
  <c r="M6" i="15"/>
  <c r="E10" i="67"/>
  <c r="I6" i="65"/>
  <c r="F39" i="44"/>
  <c r="M22" i="15"/>
  <c r="B11" i="67"/>
  <c r="E8" i="67"/>
  <c r="F43" i="44"/>
  <c r="E12" i="67"/>
  <c r="L48" i="44"/>
  <c r="B10" i="67"/>
  <c r="F28" i="44"/>
  <c r="N6" i="65"/>
  <c r="E13" i="67"/>
  <c r="B8" i="67"/>
  <c r="F38" i="44"/>
  <c r="I3" i="65"/>
  <c r="J6" i="65"/>
  <c r="D21" i="9"/>
  <c r="M8" i="15"/>
  <c r="F8" i="44"/>
  <c r="F7" i="15"/>
  <c r="C21" i="9"/>
  <c r="F40" i="44"/>
  <c r="F9" i="15"/>
  <c r="N7" i="65"/>
  <c r="F42" i="15"/>
  <c r="M29" i="15"/>
  <c r="F26" i="15"/>
  <c r="M11" i="44"/>
  <c r="N5" i="65"/>
  <c r="D20" i="9"/>
  <c r="F38" i="15"/>
  <c r="J36" i="15"/>
  <c r="B14" i="67"/>
  <c r="F6" i="15"/>
  <c r="J5" i="65"/>
  <c r="S17" i="40" l="1"/>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D16" i="12"/>
  <c r="D19" i="12" s="1"/>
  <c r="C19" i="12" s="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16"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K19" i="6"/>
  <c r="S6" i="1" s="1"/>
  <c r="K26" i="6"/>
  <c r="M26" i="6" s="1"/>
  <c r="I26" i="6" s="1"/>
  <c r="K24" i="6"/>
  <c r="M24" i="6" s="1"/>
  <c r="I24" i="6" s="1"/>
  <c r="S24" i="6" s="1"/>
  <c r="K23" i="6"/>
  <c r="M23" i="6" s="1"/>
  <c r="I23" i="6" s="1"/>
  <c r="K21" i="6"/>
  <c r="M21" i="6" s="1"/>
  <c r="I21" i="6" s="1"/>
  <c r="K20" i="6"/>
  <c r="M20" i="6" s="1"/>
  <c r="I20" i="6" s="1"/>
  <c r="K22" i="6"/>
  <c r="M22" i="6" s="1"/>
  <c r="I22" i="6" s="1"/>
  <c r="S22" i="6" s="1"/>
  <c r="K25" i="6"/>
  <c r="M25" i="6" s="1"/>
  <c r="I25" i="6" s="1"/>
  <c r="C8" i="66"/>
  <c r="C7" i="66"/>
  <c r="C6" i="66"/>
  <c r="O11" i="1"/>
  <c r="P11" i="1" s="1"/>
  <c r="E16" i="6"/>
  <c r="E6" i="6"/>
  <c r="D21" i="12"/>
  <c r="C21" i="12" s="1"/>
  <c r="O6" i="1"/>
  <c r="P6" i="1" s="1"/>
  <c r="O7" i="1"/>
  <c r="P7" i="1" s="1"/>
  <c r="O12" i="1"/>
  <c r="P12" i="1" s="1"/>
  <c r="O10" i="1"/>
  <c r="P10" i="1" s="1"/>
  <c r="O9" i="1"/>
  <c r="P9" i="1" s="1"/>
  <c r="O13" i="1"/>
  <c r="P13" i="1" s="1"/>
  <c r="J109" i="46"/>
  <c r="C105" i="46"/>
  <c r="C102" i="46"/>
  <c r="C107" i="46"/>
  <c r="J105" i="46"/>
  <c r="J104" i="46"/>
  <c r="D113" i="46"/>
  <c r="G6" i="1"/>
  <c r="K17" i="4"/>
  <c r="A22" i="51" s="1"/>
  <c r="B16" i="63" s="1"/>
  <c r="A25" i="51"/>
  <c r="B18" i="63" s="1"/>
  <c r="AP16" i="1"/>
  <c r="F22" i="11" s="1"/>
  <c r="G10" i="1"/>
  <c r="G13" i="1"/>
  <c r="F12" i="59"/>
  <c r="V13" i="59"/>
  <c r="C95" i="9"/>
  <c r="C92" i="9" s="1"/>
  <c r="C25" i="12"/>
  <c r="C15" i="43"/>
  <c r="C15" i="12"/>
  <c r="C30" i="44"/>
  <c r="C29"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2" i="46"/>
  <c r="P24" i="46"/>
  <c r="B67" i="40" s="1"/>
  <c r="P23" i="46"/>
  <c r="P25" i="46"/>
  <c r="B72" i="39" s="1"/>
  <c r="P21" i="46"/>
  <c r="L44" i="9"/>
  <c r="G20" i="9"/>
  <c r="G21" i="9"/>
  <c r="L43" i="9"/>
  <c r="G19" i="9"/>
  <c r="D22" i="9"/>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C17" i="15"/>
  <c r="C19" i="44"/>
  <c r="C16" i="15"/>
  <c r="E3" i="65"/>
  <c r="E2" i="65"/>
  <c r="C7" i="46" l="1"/>
  <c r="C16" i="12"/>
  <c r="G5" i="3"/>
  <c r="B3" i="3" s="1"/>
  <c r="F21" i="43"/>
  <c r="F33" i="12"/>
  <c r="C34" i="12" s="1"/>
  <c r="D33" i="12" s="1"/>
  <c r="S21" i="6"/>
  <c r="S16" i="1"/>
  <c r="S20" i="6"/>
  <c r="S23" i="6"/>
  <c r="S26" i="6"/>
  <c r="S25" i="6"/>
  <c r="E65" i="39"/>
  <c r="E60" i="40"/>
  <c r="E63" i="39"/>
  <c r="E58" i="40"/>
  <c r="E64" i="39"/>
  <c r="E59" i="40"/>
  <c r="E62" i="39"/>
  <c r="E57" i="40"/>
  <c r="E66" i="39"/>
  <c r="E61" i="40"/>
  <c r="E30" i="6"/>
  <c r="E31" i="6" s="1"/>
  <c r="K14" i="1"/>
  <c r="M19" i="6"/>
  <c r="K27" i="6"/>
  <c r="D13" i="11"/>
  <c r="C13" i="11" s="1"/>
  <c r="D22" i="12"/>
  <c r="C22" i="12" s="1"/>
  <c r="C20" i="12" s="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D15" i="59"/>
  <c r="C14" i="59"/>
  <c r="M19" i="44"/>
  <c r="C19" i="46"/>
  <c r="C34" i="46" s="1"/>
  <c r="F17" i="11"/>
  <c r="C17" i="11" s="1"/>
  <c r="C19" i="11" s="1"/>
  <c r="L47" i="44"/>
  <c r="Q62" i="15"/>
  <c r="Q75" i="15"/>
  <c r="C32" i="9"/>
  <c r="N43" i="9"/>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427" i="3" l="1"/>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O43" i="9"/>
  <c r="C42" i="9"/>
  <c r="O38" i="9"/>
  <c r="C33" i="9"/>
  <c r="C52" i="15"/>
  <c r="C47" i="15" s="1"/>
  <c r="C10" i="15"/>
  <c r="C5" i="15" s="1"/>
  <c r="C20" i="11"/>
  <c r="C21" i="11" s="1"/>
  <c r="C22" i="11" s="1"/>
  <c r="C23" i="11" s="1"/>
  <c r="B2" i="11" s="1"/>
  <c r="F9" i="59" l="1"/>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13" i="59"/>
  <c r="E29" i="46"/>
  <c r="C27" i="46"/>
  <c r="C65" i="15"/>
  <c r="C59" i="15"/>
  <c r="N38" i="9"/>
  <c r="K28" i="9" s="1"/>
  <c r="D42" i="9"/>
  <c r="Q5" i="54" s="1"/>
  <c r="B47" i="63" s="1"/>
  <c r="R5" i="54"/>
  <c r="B48" i="63" s="1"/>
  <c r="D14" i="66"/>
  <c r="D63" i="9"/>
  <c r="N68" i="9"/>
  <c r="B5" i="11"/>
  <c r="B3" i="11"/>
  <c r="B4" i="11"/>
  <c r="K26" i="9"/>
  <c r="K25" i="9"/>
  <c r="J26" i="15"/>
  <c r="J29" i="15" s="1"/>
  <c r="J24" i="15"/>
  <c r="C38" i="15"/>
  <c r="Q58" i="44"/>
  <c r="Q67" i="44"/>
  <c r="Q49" i="44"/>
  <c r="Q55" i="44" s="1"/>
  <c r="C14" i="15"/>
  <c r="F7" i="67"/>
  <c r="C16" i="44"/>
  <c r="F8" i="59" l="1"/>
  <c r="C7" i="59"/>
  <c r="D8" i="59"/>
  <c r="E9" i="59"/>
  <c r="D9" i="59"/>
  <c r="B9" i="59"/>
  <c r="D22" i="6"/>
  <c r="D8" i="6"/>
  <c r="E62" i="40"/>
  <c r="D15" i="6"/>
  <c r="D11" i="6"/>
  <c r="K38" i="9"/>
  <c r="C14" i="66" s="1"/>
  <c r="B2" i="66" s="1"/>
  <c r="E45" i="9"/>
  <c r="D14" i="6"/>
  <c r="D21" i="6"/>
  <c r="D13" i="6"/>
  <c r="E44" i="9"/>
  <c r="E67" i="39"/>
  <c r="D25" i="6"/>
  <c r="D29" i="6"/>
  <c r="F46" i="9"/>
  <c r="D5" i="6"/>
  <c r="D26" i="6"/>
  <c r="R26" i="6" s="1"/>
  <c r="F44" i="9"/>
  <c r="D20" i="6"/>
  <c r="D10" i="6"/>
  <c r="H22" i="6"/>
  <c r="R22" i="6" s="1"/>
  <c r="H24" i="6"/>
  <c r="D12" i="6"/>
  <c r="H21" i="6"/>
  <c r="H20" i="6"/>
  <c r="H27" i="6" s="1"/>
  <c r="H26" i="6"/>
  <c r="D23" i="6"/>
  <c r="E46" i="9"/>
  <c r="F45" i="9"/>
  <c r="D28" i="6"/>
  <c r="D30" i="6" s="1"/>
  <c r="G22" i="9"/>
  <c r="H25" i="6"/>
  <c r="H23" i="6"/>
  <c r="C22" i="4"/>
  <c r="D24" i="6"/>
  <c r="R24" i="6" s="1"/>
  <c r="D19" i="6"/>
  <c r="D9" i="6"/>
  <c r="D6" i="6"/>
  <c r="C34" i="9"/>
  <c r="C35" i="9"/>
  <c r="F42" i="9" s="1"/>
  <c r="C18" i="15"/>
  <c r="C15" i="15"/>
  <c r="C20" i="44"/>
  <c r="C17" i="44"/>
  <c r="T16" i="1"/>
  <c r="P14" i="1"/>
  <c r="P16" i="1" s="1"/>
  <c r="C13" i="12" s="1"/>
  <c r="O16" i="1"/>
  <c r="L16" i="1"/>
  <c r="C13" i="43"/>
  <c r="R19" i="6"/>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D73" i="9"/>
  <c r="N73" i="9" s="1"/>
  <c r="C111" i="9"/>
  <c r="C104" i="9" s="1"/>
  <c r="C96" i="9"/>
  <c r="C91" i="9" s="1"/>
  <c r="C82" i="9"/>
  <c r="C81" i="9" s="1"/>
  <c r="C85" i="9" s="1"/>
  <c r="C86" i="9" s="1"/>
  <c r="D72" i="9" s="1"/>
  <c r="C103" i="9"/>
  <c r="D70" i="9"/>
  <c r="C90" i="9"/>
  <c r="D71" i="9"/>
  <c r="D66" i="9" s="1"/>
  <c r="N72" i="9" s="1"/>
  <c r="B5" i="66"/>
  <c r="E14" i="66"/>
  <c r="F14" i="66"/>
  <c r="E7" i="67"/>
  <c r="B7" i="67"/>
  <c r="C6" i="59" l="1"/>
  <c r="D7" i="59"/>
  <c r="F7" i="59"/>
  <c r="B8" i="59"/>
  <c r="E8" i="59"/>
  <c r="R25" i="6"/>
  <c r="R21" i="6"/>
  <c r="E42" i="9"/>
  <c r="P5" i="54" s="1"/>
  <c r="B46" i="63" s="1"/>
  <c r="M38" i="9"/>
  <c r="K27" i="9" s="1"/>
  <c r="D27" i="6"/>
  <c r="D31" i="6" s="1"/>
  <c r="A20" i="64"/>
  <c r="A6" i="64"/>
  <c r="A20" i="51"/>
  <c r="B15" i="63" s="1"/>
  <c r="N5" i="54"/>
  <c r="B43" i="63" s="1"/>
  <c r="A6" i="51"/>
  <c r="B7" i="63" s="1"/>
  <c r="D6" i="66"/>
  <c r="D8" i="66"/>
  <c r="D7" i="66"/>
  <c r="D16" i="6"/>
  <c r="R23" i="6"/>
  <c r="R20" i="6"/>
  <c r="C21" i="44"/>
  <c r="C22" i="44" s="1"/>
  <c r="C28" i="44" s="1"/>
  <c r="C19" i="15"/>
  <c r="C20" i="15" s="1"/>
  <c r="C26" i="15" s="1"/>
  <c r="R27" i="6"/>
  <c r="R6" i="1"/>
  <c r="C17" i="43"/>
  <c r="C14" i="43"/>
  <c r="C14" i="12"/>
  <c r="C17" i="12"/>
  <c r="I64" i="40"/>
  <c r="H66" i="40"/>
  <c r="H71" i="39"/>
  <c r="I69" i="39"/>
  <c r="N46" i="36"/>
  <c r="E3" i="67"/>
  <c r="C97" i="9"/>
  <c r="C98" i="9" s="1"/>
  <c r="E98" i="9" s="1"/>
  <c r="E99" i="9" s="1"/>
  <c r="B2" i="67"/>
  <c r="D4" i="46"/>
  <c r="B3" i="46"/>
  <c r="B4" i="46"/>
  <c r="C113" i="9"/>
  <c r="C114" i="9" s="1"/>
  <c r="E114" i="9" s="1"/>
  <c r="E115" i="9" s="1"/>
  <c r="D5" i="66"/>
  <c r="C5" i="66"/>
  <c r="F35" i="15"/>
  <c r="F37" i="44"/>
  <c r="M21" i="15"/>
  <c r="M23" i="44"/>
  <c r="E7" i="59" l="1"/>
  <c r="B7" i="59"/>
  <c r="F6" i="59"/>
  <c r="D6" i="59"/>
  <c r="C5" i="59"/>
  <c r="I6" i="6"/>
  <c r="I5" i="6"/>
  <c r="J22" i="44"/>
  <c r="J20" i="15"/>
  <c r="F62" i="15"/>
  <c r="C61" i="15" s="1"/>
  <c r="C34" i="15"/>
  <c r="C36" i="44"/>
  <c r="R16" i="1"/>
  <c r="C18" i="43"/>
  <c r="C18" i="12"/>
  <c r="C23" i="12" s="1"/>
  <c r="C35" i="12" s="1"/>
  <c r="C33" i="12" s="1"/>
  <c r="O46" i="36"/>
  <c r="J7" i="36" s="1"/>
  <c r="F7" i="36"/>
  <c r="H7" i="36"/>
  <c r="J64" i="40"/>
  <c r="I66" i="40"/>
  <c r="J69" i="39"/>
  <c r="I71" i="39"/>
  <c r="C99" i="9"/>
  <c r="C115" i="9"/>
  <c r="D76" i="9" s="1"/>
  <c r="D74" i="9" s="1"/>
  <c r="N74" i="9" s="1"/>
  <c r="O77" i="9" s="1"/>
  <c r="O78" i="9" s="1"/>
  <c r="B3" i="67"/>
  <c r="B4" i="67"/>
  <c r="D5" i="59" l="1"/>
  <c r="T5" i="59"/>
  <c r="F5" i="59"/>
  <c r="V5" i="59" s="1"/>
  <c r="B6" i="59"/>
  <c r="E6" i="59"/>
  <c r="C19" i="43"/>
  <c r="K69" i="39"/>
  <c r="J71" i="39"/>
  <c r="U7" i="36"/>
  <c r="AB7" i="36"/>
  <c r="T36" i="36" s="1"/>
  <c r="G36" i="36" s="1"/>
  <c r="AC7" i="36"/>
  <c r="V36" i="36" s="1"/>
  <c r="I36" i="36" s="1"/>
  <c r="W7" i="36"/>
  <c r="J66" i="40"/>
  <c r="K64" i="40"/>
  <c r="S7" i="36"/>
  <c r="AA7" i="36"/>
  <c r="R36" i="36" s="1"/>
  <c r="Q77" i="9"/>
  <c r="O79" i="9"/>
  <c r="O81" i="9" s="1"/>
  <c r="E5" i="59" l="1"/>
  <c r="U5" i="59" s="1"/>
  <c r="B5" i="59"/>
  <c r="C21" i="43"/>
  <c r="R37" i="36"/>
  <c r="E36" i="36"/>
  <c r="K66" i="40"/>
  <c r="L64" i="40"/>
  <c r="G41" i="36"/>
  <c r="H41" i="36" s="1"/>
  <c r="G40" i="36"/>
  <c r="H40" i="36" s="1"/>
  <c r="I40" i="36"/>
  <c r="J40" i="36" s="1"/>
  <c r="I41" i="36"/>
  <c r="J41" i="36" s="1"/>
  <c r="L69" i="39"/>
  <c r="K71" i="39"/>
  <c r="O80" i="9"/>
  <c r="S5" i="59" l="1"/>
  <c r="M20"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B3" i="12"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l="1"/>
  <c r="Q66" i="15"/>
  <c r="Q76" i="15" s="1"/>
  <c r="J42" i="15"/>
  <c r="J43" i="15" s="1"/>
  <c r="B2" i="15"/>
  <c r="B3" i="15" s="1"/>
  <c r="C43" i="15"/>
  <c r="Q48" i="15"/>
  <c r="Q54" i="15" s="1"/>
  <c r="Q58" i="15"/>
  <c r="Q63" i="15" s="1"/>
  <c r="L52" i="44"/>
  <c r="L58" i="44" s="1"/>
  <c r="L61" i="44" s="1"/>
  <c r="B3" i="44"/>
  <c r="B5" i="44"/>
  <c r="B4" i="44"/>
  <c r="Q69" i="44" l="1"/>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<sst xmlns="http://schemas.openxmlformats.org/spreadsheetml/2006/main" count="6922" uniqueCount="3119">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</sst>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6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526" customWidth="1"/>
    <col min="2" max="2" width="78.21875" style="2527" customWidth="1"/>
    <col min="3" max="18" width="9" style="2521"/>
    <col min="19" max="19" width="17.88671875" style="2521" customWidth="1"/>
    <col min="20" max="51" width="9" style="2521"/>
    <col min="52" max="52" width="13.21875" style="2521" customWidth="1"/>
    <col min="53" max="53" width="13.44140625" style="2521" bestFit="1" customWidth="1"/>
    <col min="54" max="54" width="11.6640625" style="2521" bestFit="1" customWidth="1"/>
    <col min="55" max="55" width="13.44140625" style="2521" bestFit="1" customWidth="1"/>
    <col min="56" max="16384" width="9" style="2521"/>
  </cols>
  <sheetData>
    <row r="1" spans="1:55" s="2532" customFormat="1" ht="16.2" thickBot="1">
      <c r="A1" s="2530" t="s">
        <v>2373</v>
      </c>
      <c r="B1" s="2531" t="s">
        <v>2470</v>
      </c>
    </row>
    <row r="2" spans="1:55" s="2535" customFormat="1" ht="16.2" thickTop="1">
      <c r="A2" s="2533" t="s">
        <v>2377</v>
      </c>
      <c r="B2" s="2534" t="str">
        <f>'预评函-封皮'!B37</f>
        <v>国有建设用地使用权预评估</v>
      </c>
      <c r="AX2" s="2536"/>
      <c r="AZ2" s="2536"/>
      <c r="BA2" s="2537"/>
      <c r="BC2" s="2537"/>
    </row>
    <row r="3" spans="1:55" s="2538" customFormat="1">
      <c r="A3" s="2517" t="s">
        <v>2378</v>
      </c>
      <c r="B3" s="2520">
        <f>'预评函-封皮'!B40</f>
        <v>0</v>
      </c>
    </row>
    <row r="4" spans="1:55" s="2519" customFormat="1">
      <c r="A4" s="2517" t="s">
        <v>2379</v>
      </c>
      <c r="B4" s="2518" t="str">
        <f>'预评函-封皮'!B46</f>
        <v>土地估价师、土地估价师</v>
      </c>
      <c r="N4" s="2519" t="str">
        <f>'预评函-1'!A28</f>
        <v>本次估价的“抵押净值”是指估价对象“抵押价格”减去估价对象在估价期日以“土地销售收入”为基数计算的预计抵押权实现进行处置时需缴纳的各项费用、税金等相关费用后的价格。</v>
      </c>
    </row>
    <row r="5" spans="1:55" s="2532" customFormat="1" ht="16.2" thickBot="1">
      <c r="A5" s="2539" t="s">
        <v>2380</v>
      </c>
      <c r="B5" s="2540" t="str">
        <f>'预评函-封皮'!B49</f>
        <v>康正预评字号</v>
      </c>
    </row>
    <row r="6" spans="1:55" s="2541" customFormat="1" ht="16.2" thickTop="1">
      <c r="A6" s="2533" t="s">
        <v>2422</v>
      </c>
      <c r="B6" s="2534" t="str">
        <f>'预评函-1'!A4</f>
        <v>受贵公司委托，我公司对国有建设用地使用权进行了预评估。</v>
      </c>
      <c r="AM6" s="2542"/>
    </row>
    <row r="7" spans="1:55" s="2516" customFormat="1">
      <c r="A7" s="2517" t="s">
        <v>2374</v>
      </c>
      <c r="B7" s="2518" t="e">
        <f>'预评函-1'!A6</f>
        <v>#DIV/0!</v>
      </c>
    </row>
    <row r="8" spans="1:55" s="2516" customFormat="1">
      <c r="A8" s="2517" t="s">
        <v>2375</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2425</v>
      </c>
      <c r="B9" s="2518" t="str">
        <f>'预评函-1'!A9</f>
        <v>拟使用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55" s="2516" customFormat="1">
      <c r="A10" s="2517" t="s">
        <v>2376</v>
      </c>
      <c r="B10" s="2518" t="str">
        <f>'预评函-1'!A11</f>
        <v>（评估专业人员勘察现场之日）</v>
      </c>
    </row>
    <row r="11" spans="1:55" s="2516" customFormat="1">
      <c r="A11" s="2517" t="s">
        <v>2382</v>
      </c>
      <c r="B11" s="2518" t="str">
        <f>'预评函-1'!A14</f>
        <v>根据《国有土地使用证》[]，本次评估估价对象证载（地类）用途为。</v>
      </c>
    </row>
    <row r="12" spans="1:55" s="2516" customFormat="1">
      <c r="A12" s="2517" t="s">
        <v>2383</v>
      </c>
      <c r="B12" s="2518" t="str">
        <f>'预评函-1'!A15</f>
        <v>本次评估设定用途即为证载用途。</v>
      </c>
    </row>
    <row r="13" spans="1:55" s="2516" customFormat="1">
      <c r="A13" s="2517" t="s">
        <v>2384</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2385</v>
      </c>
      <c r="B14" s="2518" t="str">
        <f>'预评函-1'!A18</f>
        <v>。本次评估设定土地开发程度为红线外市政基础设施达“七通”、宗地红线内场地平整。</v>
      </c>
    </row>
    <row r="15" spans="1:55" s="2516" customFormat="1">
      <c r="A15" s="2517" t="s">
        <v>2381</v>
      </c>
      <c r="B15" s="2518" t="e">
        <f>'预评函-1'!A20</f>
        <v>#DIV/0!</v>
      </c>
    </row>
    <row r="16" spans="1:55" s="2516" customFormat="1">
      <c r="A16" s="2517" t="s">
        <v>2386</v>
      </c>
      <c r="B16" s="2518" t="str">
        <f>'预评函-1'!A22</f>
        <v>本次估价对象国有建设用地使用权类型为划拨，无土地使用年限限制。</v>
      </c>
    </row>
    <row r="17" spans="1:48" s="2516" customFormat="1">
      <c r="A17" s="2517" t="s">
        <v>2387</v>
      </c>
      <c r="B17" s="2518" t="str">
        <f>'预评函-1'!A23</f>
        <v/>
      </c>
    </row>
    <row r="18" spans="1:48" s="2516" customFormat="1">
      <c r="A18" s="2517" t="s">
        <v>2388</v>
      </c>
      <c r="B18" s="2518"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16" customFormat="1">
      <c r="A19" s="2517" t="s">
        <v>2389</v>
      </c>
      <c r="B19" s="2518"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16" customFormat="1">
      <c r="A20" s="2517" t="s">
        <v>2390</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6.2" thickBot="1">
      <c r="A21" s="2539" t="s">
        <v>2391</v>
      </c>
      <c r="B21" s="254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528" t="s">
        <v>2392</v>
      </c>
      <c r="B22" s="252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23" spans="1:48">
      <c r="A23" s="2517" t="s">
        <v>2393</v>
      </c>
      <c r="B23" s="2518" t="str">
        <f>'预评函-2'!K2</f>
        <v>估价期日：</v>
      </c>
    </row>
    <row r="24" spans="1:48">
      <c r="A24" s="2517" t="s">
        <v>2394</v>
      </c>
      <c r="B24" s="2518" t="str">
        <f>'预评函-2'!R2</f>
        <v>估价期日的国有建设用地使用权性质：</v>
      </c>
    </row>
    <row r="25" spans="1:48">
      <c r="A25" s="2517" t="s">
        <v>2450</v>
      </c>
      <c r="B25" s="2518" t="str">
        <f>'预评函-2'!A3</f>
        <v>估价期日土地使用者</v>
      </c>
    </row>
    <row r="26" spans="1:48">
      <c r="A26" s="2517" t="s">
        <v>2426</v>
      </c>
      <c r="B26" s="2518" t="str">
        <f>'预评函-2'!A5</f>
        <v>中信开发</v>
      </c>
    </row>
    <row r="27" spans="1:48">
      <c r="A27" s="2517" t="s">
        <v>2451</v>
      </c>
      <c r="B27" s="2518" t="str">
        <f>'预评函-2'!B3</f>
        <v>宗地编号/不动产单元号</v>
      </c>
    </row>
    <row r="28" spans="1:48">
      <c r="A28" s="2517" t="s">
        <v>2427</v>
      </c>
      <c r="B28" s="2518" t="str">
        <f>'预评函-2'!B5</f>
        <v>11111111111</v>
      </c>
    </row>
    <row r="29" spans="1:48">
      <c r="A29" s="2517" t="s">
        <v>2453</v>
      </c>
      <c r="B29" s="2518">
        <f>'预评函-2'!C5</f>
        <v>22</v>
      </c>
    </row>
    <row r="30" spans="1:48">
      <c r="A30" s="2517" t="s">
        <v>2454</v>
      </c>
      <c r="B30" s="2518" t="str">
        <f>'预评函-2'!D3</f>
        <v>土地使用证编号/不动产权证书编号</v>
      </c>
    </row>
    <row r="31" spans="1:48">
      <c r="A31" s="2517" t="s">
        <v>2428</v>
      </c>
      <c r="B31" s="2518" t="str">
        <f>'预评函-2'!D5</f>
        <v>京国土字第111号</v>
      </c>
    </row>
    <row r="32" spans="1:48">
      <c r="A32" s="2517" t="s">
        <v>2429</v>
      </c>
      <c r="B32" s="2518">
        <f>'预评函-2'!E5</f>
        <v>0</v>
      </c>
      <c r="AV32" s="2522"/>
    </row>
    <row r="33" spans="1:2">
      <c r="A33" s="2517" t="s">
        <v>2430</v>
      </c>
      <c r="B33" s="2518">
        <f>'预评函-2'!F5</f>
        <v>258</v>
      </c>
    </row>
    <row r="34" spans="1:2">
      <c r="A34" s="2517" t="s">
        <v>2431</v>
      </c>
      <c r="B34" s="2518">
        <f>'预评函-2'!G5</f>
        <v>0</v>
      </c>
    </row>
    <row r="35" spans="1:2">
      <c r="A35" s="2517" t="s">
        <v>2432</v>
      </c>
      <c r="B35" s="2518">
        <f>'预评函-2'!H5</f>
        <v>1.5</v>
      </c>
    </row>
    <row r="36" spans="1:2">
      <c r="A36" s="2517" t="s">
        <v>2433</v>
      </c>
      <c r="B36" s="2518">
        <f>'预评函-2'!I5</f>
        <v>1.5</v>
      </c>
    </row>
    <row r="37" spans="1:2">
      <c r="A37" s="2517" t="s">
        <v>2434</v>
      </c>
      <c r="B37" s="2518">
        <f>'预评函-2'!J5</f>
        <v>1.5</v>
      </c>
    </row>
    <row r="38" spans="1:2">
      <c r="A38" s="2517" t="s">
        <v>2435</v>
      </c>
      <c r="B38" s="2518" t="str">
        <f>'预评函-2'!K5</f>
        <v>红线外七通、宗地红线内</v>
      </c>
    </row>
    <row r="39" spans="1:2">
      <c r="A39" s="2517" t="s">
        <v>2436</v>
      </c>
      <c r="B39" s="2518" t="str">
        <f>'预评函-2'!L5</f>
        <v>红线外七通、宗地红线内场地</v>
      </c>
    </row>
    <row r="40" spans="1:2">
      <c r="A40" s="2517" t="s">
        <v>2455</v>
      </c>
      <c r="B40" s="2518" t="str">
        <f>'预评函-2'!M3</f>
        <v>（剩余）土地使用年限/年</v>
      </c>
    </row>
    <row r="41" spans="1:2">
      <c r="A41" s="2517" t="s">
        <v>2437</v>
      </c>
      <c r="B41" s="2518" t="str">
        <f>'预评函-2'!M5</f>
        <v>——</v>
      </c>
    </row>
    <row r="42" spans="1:2">
      <c r="A42" s="2517" t="s">
        <v>2456</v>
      </c>
      <c r="B42" s="2518" t="str">
        <f>'预评函-2'!N3</f>
        <v>（分摊）国有建设用地使用权面积/㎡</v>
      </c>
    </row>
    <row r="43" spans="1:2">
      <c r="A43" s="2517" t="s">
        <v>2438</v>
      </c>
      <c r="B43" s="2518" t="e">
        <f>'预评函-2'!N5</f>
        <v>#DIV/0!</v>
      </c>
    </row>
    <row r="44" spans="1:2">
      <c r="A44" s="2517" t="s">
        <v>2457</v>
      </c>
      <c r="B44" s="2518" t="str">
        <f>'预评函-2'!O3</f>
        <v>规划建筑面积/㎡</v>
      </c>
    </row>
    <row r="45" spans="1:2">
      <c r="A45" s="2517" t="s">
        <v>2439</v>
      </c>
      <c r="B45" s="2518">
        <f>'预评函-2'!O5</f>
        <v>0</v>
      </c>
    </row>
    <row r="46" spans="1:2">
      <c r="A46" s="2517" t="s">
        <v>2440</v>
      </c>
      <c r="B46" s="2518" t="e">
        <f ca="1">'预评函-2'!P5</f>
        <v>#REF!</v>
      </c>
    </row>
    <row r="47" spans="1:2">
      <c r="A47" s="2517" t="s">
        <v>2441</v>
      </c>
      <c r="B47" s="2518" t="e">
        <f ca="1">'预评函-2'!Q5</f>
        <v>#REF!</v>
      </c>
    </row>
    <row r="48" spans="1:2">
      <c r="A48" s="2517" t="s">
        <v>2442</v>
      </c>
      <c r="B48" s="2518" t="e">
        <f ca="1">'预评函-2'!R5</f>
        <v>#REF!</v>
      </c>
    </row>
    <row r="49" spans="1:2">
      <c r="A49" s="2517" t="s">
        <v>2458</v>
      </c>
      <c r="B49" s="2518" t="str">
        <f>'预评函-2'!A6</f>
        <v>抵押价格</v>
      </c>
    </row>
    <row r="50" spans="1:2">
      <c r="A50" s="2517" t="s">
        <v>2443</v>
      </c>
      <c r="B50" s="2518" t="str">
        <f>'预评函-2'!R6</f>
        <v>——</v>
      </c>
    </row>
    <row r="51" spans="1:2">
      <c r="A51" s="2517" t="s">
        <v>2459</v>
      </c>
      <c r="B51" s="2518" t="str">
        <f>'预评函-2'!A7</f>
        <v>——</v>
      </c>
    </row>
    <row r="52" spans="1:2">
      <c r="A52" s="2517" t="s">
        <v>2444</v>
      </c>
      <c r="B52" s="2518" t="str">
        <f>'预评函-2'!R7</f>
        <v>——</v>
      </c>
    </row>
    <row r="53" spans="1:2">
      <c r="A53" s="2517" t="s">
        <v>2460</v>
      </c>
      <c r="B53" s="2518">
        <f>'预评函-2'!A8</f>
        <v>0</v>
      </c>
    </row>
    <row r="54" spans="1:2" s="2532" customFormat="1" ht="16.2" thickBot="1">
      <c r="A54" s="2539" t="s">
        <v>2445</v>
      </c>
      <c r="B54" s="2540" t="str">
        <f>'预评函-2'!R8</f>
        <v>——</v>
      </c>
    </row>
    <row r="55" spans="1:2" ht="16.2" thickTop="1">
      <c r="A55" s="2528" t="s">
        <v>2395</v>
      </c>
      <c r="B55" s="2529" t="str">
        <f>'预评函-3'!A2</f>
        <v>1.权利限制：根据估价对象《不动产权证书》原件、《国有土地使用权》复印件，截至估价期日，估价对象抵押权未见登记。未设定租赁等其他他项权利。</v>
      </c>
    </row>
    <row r="56" spans="1:2">
      <c r="A56" s="2517" t="s">
        <v>2396</v>
      </c>
      <c r="B56" s="2518" t="str">
        <f>'预评函-3'!A3</f>
        <v>2.基础设施条件：估价对象实际开发程度为红线外七通、宗地红线内；本次评估设定开发程度为红线外七通、宗地红线内场地。</v>
      </c>
    </row>
    <row r="57" spans="1:2">
      <c r="A57" s="2517" t="s">
        <v>2397</v>
      </c>
      <c r="B57" s="2518" t="str">
        <f>'预评函-3'!A4</f>
        <v>3.估价规划限制条件：详见《建设工程规划许可证》[]、《出让合同》[]。</v>
      </c>
    </row>
    <row r="58" spans="1:2" s="2532" customFormat="1" ht="16.2" thickBot="1">
      <c r="A58" s="2539" t="s">
        <v>2446</v>
      </c>
      <c r="B58" s="2540" t="str">
        <f>'预评函-3'!A5</f>
        <v>4.影响价格的其他限定条件：无。</v>
      </c>
    </row>
    <row r="59" spans="1:2" ht="16.2" thickTop="1">
      <c r="A59" s="2528" t="s">
        <v>2398</v>
      </c>
      <c r="B59" s="2529" t="str">
        <f>'预评函-3'!A8</f>
        <v>2.本《评估意见函》仅供金融机构进行内部审核使用，不做其他目的之用。</v>
      </c>
    </row>
    <row r="60" spans="1:2">
      <c r="A60" s="2517" t="s">
        <v>2399</v>
      </c>
      <c r="B60" s="2518" t="str">
        <f>'预评函-3'!A9</f>
        <v>3.抵押双方在办理抵押登记手续时，应使用本公司出具的正式《土地估价报告》，特提请报告使用者注意。</v>
      </c>
    </row>
    <row r="61" spans="1:2">
      <c r="A61" s="2517" t="s">
        <v>2401</v>
      </c>
      <c r="B61" s="2518" t="str">
        <f>'预评函-3'!A10</f>
        <v>4.估价师所知悉的法定优先受偿款情况为：</v>
      </c>
    </row>
    <row r="62" spans="1:2">
      <c r="A62" s="2517" t="s">
        <v>2400</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2402</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2403</v>
      </c>
      <c r="B64" s="2523" t="str">
        <f>'预评函-3'!A13</f>
        <v>（3）。</v>
      </c>
    </row>
    <row r="65" spans="1:2">
      <c r="A65" s="2517" t="s">
        <v>2404</v>
      </c>
      <c r="B65" s="2524" t="str">
        <f>'预评函-3'!A14</f>
        <v>综上，本次评估不存在估价师知悉的法定优先受偿款</v>
      </c>
    </row>
    <row r="66" spans="1:2">
      <c r="A66" s="2517" t="s">
        <v>2405</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2406</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6.2" thickBot="1">
      <c r="A68" s="2539" t="s">
        <v>2409</v>
      </c>
      <c r="B68" s="2543">
        <f>'预评函-3'!D30</f>
        <v>42558</v>
      </c>
    </row>
    <row r="69" spans="1:2" ht="16.2" thickTop="1">
      <c r="A69" s="2528" t="s">
        <v>2407</v>
      </c>
      <c r="B69" s="2529" t="str">
        <f>'预评函-3'!A20</f>
        <v>土地估价师</v>
      </c>
    </row>
    <row r="70" spans="1:2">
      <c r="A70" s="2517" t="s">
        <v>2407</v>
      </c>
      <c r="B70" s="2524">
        <f>'预评函-3'!B20</f>
        <v>0</v>
      </c>
    </row>
    <row r="71" spans="1:2">
      <c r="A71" s="2517" t="s">
        <v>2408</v>
      </c>
      <c r="B71" s="2518" t="str">
        <f>'预评函-3'!A21</f>
        <v>土地估价师</v>
      </c>
    </row>
    <row r="72" spans="1:2" s="2532" customFormat="1" ht="16.2" thickBot="1">
      <c r="A72" s="2539" t="s">
        <v>2408</v>
      </c>
      <c r="B72" s="2545">
        <f>'预评函-3'!B21</f>
        <v>0</v>
      </c>
    </row>
    <row r="73" spans="1:2" ht="16.2" thickTop="1">
      <c r="A73" s="2528" t="s">
        <v>2467</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2468</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6.2" thickBot="1">
      <c r="A75" s="2539" t="s">
        <v>2469</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526" t="s">
        <v>2503</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70" zoomScaleNormal="100" zoomScaleSheetLayoutView="70" workbookViewId="0">
      <selection activeCell="B16" sqref="B16"/>
    </sheetView>
  </sheetViews>
  <sheetFormatPr defaultColWidth="10" defaultRowHeight="15.6"/>
  <cols>
    <col min="1" max="1" width="15.33203125" style="1568" customWidth="1"/>
    <col min="2" max="2" width="11.33203125" style="1568" customWidth="1"/>
    <col min="3" max="3" width="12.6640625" style="1568" customWidth="1"/>
    <col min="4" max="4" width="10" style="1568" customWidth="1"/>
    <col min="5" max="5" width="12.44140625" style="1568" customWidth="1"/>
    <col min="6" max="6" width="11.33203125" style="1568" customWidth="1"/>
    <col min="7" max="7" width="12.33203125" style="1568" customWidth="1"/>
    <col min="8" max="8" width="10" style="1568" customWidth="1"/>
    <col min="9" max="9" width="12.44140625" style="1569" customWidth="1"/>
    <col min="10" max="10" width="10" style="1568" customWidth="1"/>
    <col min="11" max="11" width="10" style="2978" customWidth="1"/>
    <col min="12" max="13" width="10" style="2979" customWidth="1"/>
    <col min="14" max="14" width="10" style="2964" customWidth="1"/>
    <col min="15" max="15" width="10" style="2980" customWidth="1"/>
    <col min="16" max="17" width="10" style="2964"/>
    <col min="18" max="18" width="10" style="2964" customWidth="1"/>
    <col min="19" max="28" width="10" style="2964"/>
    <col min="29" max="16384" width="10" style="1568"/>
  </cols>
  <sheetData>
    <row r="1" spans="1:21" ht="16.2" thickBot="1">
      <c r="A1" s="1541" t="s">
        <v>1729</v>
      </c>
      <c r="B1" s="3494" t="str">
        <f>IF(B10="北京市","北京市",C10)&amp;F10&amp;B16&amp;"国有建设用地使用权"&amp;B9&amp;"预评估"</f>
        <v>国有建设用地使用权预评估</v>
      </c>
      <c r="C1" s="3495"/>
      <c r="D1" s="3495"/>
      <c r="E1" s="3495"/>
      <c r="F1" s="3495"/>
      <c r="G1" s="3495"/>
      <c r="H1" s="3495"/>
      <c r="I1" s="3496"/>
      <c r="J1" s="2982"/>
      <c r="K1" s="2264" t="str">
        <f>IF(B10="北京市","北京市",C10)&amp;F10&amp;B16&amp;"国有建设用地使用权"&amp;B9</f>
        <v>国有建设用地使用权</v>
      </c>
      <c r="L1" s="2961"/>
      <c r="M1" s="2961"/>
      <c r="N1" s="2962"/>
      <c r="O1" s="2963"/>
      <c r="P1" s="2962"/>
      <c r="Q1" s="2962"/>
      <c r="R1" s="2962"/>
      <c r="S1" s="2962"/>
      <c r="T1" s="2962"/>
      <c r="U1" s="2962"/>
    </row>
    <row r="2" spans="1:21">
      <c r="A2" s="1542" t="s">
        <v>1730</v>
      </c>
      <c r="B2" s="1710"/>
      <c r="D2" s="2982"/>
      <c r="E2" s="2982"/>
      <c r="F2" s="2982"/>
      <c r="G2" s="2982"/>
      <c r="H2" s="2983"/>
      <c r="I2" s="2984"/>
      <c r="J2" s="2982"/>
      <c r="K2" s="2264" t="str">
        <f>IF(B10="北京市","北京市",C10)&amp;F10&amp;B16&amp;"国有建设用地使用权"</f>
        <v>国有建设用地使用权</v>
      </c>
      <c r="L2" s="2961"/>
      <c r="M2" s="2961"/>
      <c r="N2" s="2962"/>
      <c r="O2" s="2963"/>
      <c r="P2" s="2962"/>
      <c r="Q2" s="2962"/>
      <c r="R2" s="2962"/>
      <c r="S2" s="2962"/>
      <c r="T2" s="2962"/>
      <c r="U2" s="2962"/>
    </row>
    <row r="3" spans="1:21">
      <c r="A3" s="1543" t="s">
        <v>1731</v>
      </c>
      <c r="B3" s="1544"/>
      <c r="C3" s="2905" t="s">
        <v>1787</v>
      </c>
      <c r="D3" s="1544"/>
      <c r="E3" s="2982"/>
      <c r="F3" s="2982"/>
      <c r="G3" s="2982"/>
      <c r="H3" s="2983"/>
      <c r="I3" s="2984"/>
      <c r="J3" s="2982"/>
      <c r="K3" s="2965"/>
      <c r="L3" s="2961"/>
      <c r="M3" s="2961"/>
      <c r="N3" s="2962"/>
      <c r="O3" s="2963"/>
      <c r="P3" s="2962"/>
      <c r="Q3" s="2962"/>
      <c r="R3" s="2962"/>
      <c r="S3" s="2962"/>
      <c r="T3" s="2962"/>
      <c r="U3" s="2962"/>
    </row>
    <row r="4" spans="1:21" ht="31.8" thickBot="1">
      <c r="A4" s="1546" t="s">
        <v>1732</v>
      </c>
      <c r="B4" s="1711" t="s">
        <v>2601</v>
      </c>
      <c r="C4" s="1714">
        <f>SUMIF(土地估价师,B4,估价师及机构信息!E3:E17)</f>
        <v>0</v>
      </c>
      <c r="D4" s="1711" t="s">
        <v>2601</v>
      </c>
      <c r="E4" s="1714">
        <f>SUMIF(土地估价师,D4,估价师及机构信息!E3:E17)</f>
        <v>0</v>
      </c>
      <c r="F4" s="1711" t="s">
        <v>931</v>
      </c>
      <c r="G4" s="1714">
        <f>SUMIF(土地估价师,F4,估价师及机构信息!E3:E17)</f>
        <v>0</v>
      </c>
      <c r="H4" s="1711" t="s">
        <v>931</v>
      </c>
      <c r="I4" s="1714">
        <f>SUMIF(土地估价师,H4,估价师及机构信息!E3:E17)</f>
        <v>0</v>
      </c>
      <c r="J4" s="2982"/>
      <c r="K4" s="2264" t="str">
        <f>IF(AND(F4="——",H4="——"),B4&amp;"、"&amp;D4,IF(AND(F4&lt;&gt;"——",H4="——"),B4&amp;"、"&amp;D4&amp;"、"&amp;F4,B4&amp;"、"&amp;D4&amp;"、"&amp;F4&amp;"、"&amp;H4))</f>
        <v>土地估价师、土地估价师</v>
      </c>
      <c r="L4" s="2961"/>
      <c r="M4" s="2961"/>
      <c r="N4" s="2962"/>
      <c r="O4" s="2963"/>
      <c r="P4" s="2962"/>
      <c r="Q4" s="2962"/>
      <c r="R4" s="2962"/>
      <c r="S4" s="2962"/>
      <c r="T4" s="2962"/>
      <c r="U4" s="2962"/>
    </row>
    <row r="5" spans="1:21" ht="16.2" thickTop="1">
      <c r="A5" s="1547" t="s">
        <v>1733</v>
      </c>
      <c r="B5" s="1658"/>
      <c r="C5" s="1548"/>
      <c r="D5" s="1549"/>
      <c r="E5" s="2982"/>
      <c r="F5" s="2982"/>
      <c r="G5" s="2982"/>
      <c r="H5" s="2983"/>
      <c r="I5" s="2984"/>
      <c r="J5" s="2982"/>
      <c r="K5" s="2965"/>
      <c r="L5" s="2961"/>
      <c r="M5" s="2961"/>
      <c r="N5" s="2962"/>
      <c r="O5" s="2963"/>
      <c r="P5" s="2962"/>
      <c r="Q5" s="2962"/>
      <c r="R5" s="2962"/>
      <c r="S5" s="2962"/>
      <c r="T5" s="2962"/>
      <c r="U5" s="2962"/>
    </row>
    <row r="6" spans="1:21" ht="27.6">
      <c r="A6" s="1545" t="s">
        <v>2423</v>
      </c>
      <c r="B6" s="1658"/>
      <c r="C6" s="1633"/>
      <c r="D6" s="1550"/>
      <c r="E6" s="2982"/>
      <c r="F6" s="2982"/>
      <c r="G6" s="2982"/>
      <c r="H6" s="2983"/>
      <c r="I6" s="2984"/>
      <c r="J6" s="2982"/>
      <c r="K6" s="2966" t="str">
        <f>IF(COUNTIF(B6,"*上海银行*"),"上海银行","")</f>
        <v/>
      </c>
      <c r="L6" s="2961"/>
      <c r="M6" s="2961"/>
      <c r="N6" s="2962"/>
      <c r="O6" s="2963"/>
      <c r="P6" s="2962"/>
      <c r="Q6" s="2962"/>
      <c r="R6" s="2962"/>
      <c r="S6" s="2962"/>
      <c r="T6" s="2962"/>
      <c r="U6" s="2962"/>
    </row>
    <row r="7" spans="1:21">
      <c r="A7" s="1551" t="s">
        <v>2424</v>
      </c>
      <c r="B7" s="1658"/>
      <c r="C7" s="1633"/>
      <c r="D7" s="1550"/>
      <c r="E7" s="2982"/>
      <c r="F7" s="2982"/>
      <c r="G7" s="2982"/>
      <c r="H7" s="2983"/>
      <c r="I7" s="2984"/>
      <c r="J7" s="2982"/>
      <c r="K7" s="2965"/>
      <c r="L7" s="2961"/>
      <c r="M7" s="2961"/>
      <c r="N7" s="2962"/>
      <c r="O7" s="2963"/>
      <c r="P7" s="2962"/>
      <c r="Q7" s="2962"/>
      <c r="R7" s="2962"/>
      <c r="S7" s="2962"/>
      <c r="T7" s="2962"/>
      <c r="U7" s="2962"/>
    </row>
    <row r="8" spans="1:21">
      <c r="A8" s="2906" t="s">
        <v>1734</v>
      </c>
      <c r="B8" s="1552" t="s">
        <v>2688</v>
      </c>
      <c r="C8" s="1553"/>
      <c r="D8" s="3500" t="s">
        <v>1736</v>
      </c>
      <c r="E8" s="1712"/>
      <c r="F8" s="1554"/>
      <c r="G8" s="2983"/>
      <c r="H8" s="2983"/>
      <c r="I8" s="2986"/>
      <c r="J8" s="2982"/>
      <c r="K8" s="2965"/>
      <c r="L8" s="2961"/>
      <c r="M8" s="2961"/>
      <c r="N8" s="2962"/>
      <c r="O8" s="2963"/>
      <c r="P8" s="2962"/>
      <c r="Q8" s="2962"/>
      <c r="R8" s="2962"/>
      <c r="S8" s="2962"/>
      <c r="T8" s="2962"/>
      <c r="U8" s="2962"/>
    </row>
    <row r="9" spans="1:21" ht="16.2" thickBot="1">
      <c r="A9" s="2907" t="s">
        <v>1735</v>
      </c>
      <c r="B9" s="1555"/>
      <c r="C9" s="1556"/>
      <c r="D9" s="3501"/>
      <c r="E9" s="1555"/>
      <c r="F9" s="1619"/>
      <c r="G9" s="2987"/>
      <c r="H9" s="2987"/>
      <c r="I9" s="2988"/>
      <c r="J9" s="2982"/>
      <c r="K9" s="2965"/>
      <c r="L9" s="2961"/>
      <c r="M9" s="2961"/>
      <c r="N9" s="2962"/>
      <c r="O9" s="2963"/>
      <c r="P9" s="2962"/>
      <c r="Q9" s="2962"/>
      <c r="R9" s="2962"/>
      <c r="S9" s="2962"/>
      <c r="T9" s="2962"/>
      <c r="U9" s="2962"/>
    </row>
    <row r="10" spans="1:21" ht="16.2" thickTop="1">
      <c r="A10" s="2908" t="s">
        <v>1791</v>
      </c>
      <c r="B10" s="1595"/>
      <c r="C10" s="1557"/>
      <c r="D10" s="1549"/>
      <c r="E10" s="1558" t="s">
        <v>1738</v>
      </c>
      <c r="F10" s="1559"/>
      <c r="G10" s="1617"/>
      <c r="H10" s="1618"/>
      <c r="I10" s="1549"/>
      <c r="J10" s="2982"/>
      <c r="K10" s="2965"/>
      <c r="L10" s="2961"/>
      <c r="M10" s="2961"/>
      <c r="N10" s="2962"/>
      <c r="O10" s="2963"/>
      <c r="P10" s="2962"/>
      <c r="Q10" s="2962"/>
      <c r="R10" s="2962"/>
      <c r="S10" s="2962"/>
      <c r="T10" s="2962"/>
      <c r="U10" s="2962"/>
    </row>
    <row r="11" spans="1:21">
      <c r="A11" s="2909" t="s">
        <v>1792</v>
      </c>
      <c r="B11" s="1574"/>
      <c r="C11" s="1560"/>
      <c r="D11" s="1634"/>
      <c r="E11" s="2981"/>
      <c r="F11" s="2981"/>
      <c r="G11" s="2981"/>
      <c r="H11" s="2981"/>
      <c r="I11" s="2981"/>
      <c r="J11" s="2982"/>
      <c r="K11" s="2965"/>
      <c r="L11" s="2961"/>
      <c r="M11" s="2961"/>
      <c r="N11" s="2962"/>
      <c r="O11" s="2963"/>
      <c r="P11" s="2962"/>
      <c r="Q11" s="2962"/>
      <c r="R11" s="2962"/>
      <c r="S11" s="2962"/>
      <c r="T11" s="2962"/>
      <c r="U11" s="2962"/>
    </row>
    <row r="12" spans="1:21">
      <c r="A12" s="1654" t="s">
        <v>1850</v>
      </c>
      <c r="B12" s="3497"/>
      <c r="C12" s="3498"/>
      <c r="D12" s="3499"/>
      <c r="E12" s="1575" t="s">
        <v>1853</v>
      </c>
      <c r="F12" s="3515" t="s">
        <v>2602</v>
      </c>
      <c r="G12" s="3516"/>
      <c r="H12" s="3516"/>
      <c r="I12" s="3517"/>
      <c r="J12" s="2982"/>
      <c r="K12" s="2965"/>
      <c r="L12" s="2961"/>
      <c r="M12" s="2961"/>
      <c r="N12" s="2962"/>
      <c r="O12" s="2963"/>
      <c r="P12" s="2962"/>
      <c r="Q12" s="2962"/>
      <c r="R12" s="2962"/>
      <c r="S12" s="2962"/>
      <c r="T12" s="2962"/>
      <c r="U12" s="2962"/>
    </row>
    <row r="13" spans="1:21">
      <c r="A13" s="1566" t="s">
        <v>1851</v>
      </c>
      <c r="B13" s="3497"/>
      <c r="C13" s="3498"/>
      <c r="D13" s="3499"/>
      <c r="E13" s="1575" t="s">
        <v>1853</v>
      </c>
      <c r="F13" s="3515" t="s">
        <v>2603</v>
      </c>
      <c r="G13" s="3516"/>
      <c r="H13" s="3516"/>
      <c r="I13" s="3517"/>
      <c r="J13" s="2982"/>
      <c r="K13" s="2965"/>
      <c r="L13" s="2961"/>
      <c r="M13" s="2961"/>
      <c r="N13" s="2962"/>
      <c r="O13" s="2963"/>
      <c r="P13" s="2962"/>
      <c r="Q13" s="2962"/>
      <c r="R13" s="2962"/>
      <c r="S13" s="2962"/>
      <c r="T13" s="2962"/>
      <c r="U13" s="2962"/>
    </row>
    <row r="14" spans="1:21">
      <c r="A14" s="1543" t="s">
        <v>1854</v>
      </c>
      <c r="B14" s="1575"/>
      <c r="C14" s="1713"/>
      <c r="D14" s="1609" t="str">
        <f>IF(C14="不一致","是否符合证载地类范围","")</f>
        <v/>
      </c>
      <c r="E14" s="1575"/>
      <c r="F14" s="1659"/>
      <c r="G14" s="1604"/>
      <c r="H14" s="1604"/>
      <c r="I14" s="1706"/>
      <c r="J14" s="2982"/>
      <c r="K14" s="2965"/>
      <c r="L14" s="2961"/>
      <c r="M14" s="2961"/>
      <c r="N14" s="2962"/>
      <c r="O14" s="2963"/>
      <c r="P14" s="2962"/>
      <c r="Q14" s="2962"/>
      <c r="R14" s="2962"/>
      <c r="S14" s="2962"/>
      <c r="T14" s="2962"/>
      <c r="U14" s="2962"/>
    </row>
    <row r="15" spans="1:21" hidden="1">
      <c r="A15" s="2409"/>
      <c r="B15" s="1545"/>
      <c r="C15" s="1545"/>
      <c r="D15" s="1638" t="s">
        <v>1741</v>
      </c>
      <c r="E15" s="1638" t="s">
        <v>1742</v>
      </c>
      <c r="F15" s="1638" t="s">
        <v>1743</v>
      </c>
      <c r="G15" s="1565" t="s">
        <v>1744</v>
      </c>
      <c r="H15" s="1565" t="s">
        <v>1745</v>
      </c>
      <c r="I15" s="1565" t="s">
        <v>1746</v>
      </c>
      <c r="J15" s="2982"/>
      <c r="K15" s="2965"/>
      <c r="L15" s="2961"/>
      <c r="M15" s="2961"/>
      <c r="N15" s="2962"/>
      <c r="O15" s="2963"/>
      <c r="P15" s="2962"/>
      <c r="Q15" s="2962"/>
      <c r="R15" s="2962"/>
      <c r="S15" s="2962"/>
      <c r="T15" s="2962"/>
      <c r="U15" s="2962"/>
    </row>
    <row r="16" spans="1:21">
      <c r="A16" s="2910" t="s">
        <v>1739</v>
      </c>
      <c r="B16" s="1561"/>
      <c r="C16" s="1575" t="s">
        <v>1740</v>
      </c>
      <c r="D16" s="2410" t="s">
        <v>1741</v>
      </c>
      <c r="E16" s="1598"/>
      <c r="F16" s="1598"/>
      <c r="G16" s="1598"/>
      <c r="H16" s="1598"/>
      <c r="I16" s="1565" t="s">
        <v>1746</v>
      </c>
      <c r="J16" s="2982"/>
      <c r="K16" s="2265" t="str">
        <f>IF(D17="","",D16&amp;TEXT(D17,"yyyy年m月d日;;"))</f>
        <v/>
      </c>
      <c r="L16" s="1575" t="str">
        <f>IF(OR(K16="",M16=""),"","、")</f>
        <v/>
      </c>
      <c r="M16" s="2265" t="str">
        <f>IF(E17="","",E16&amp;TEXT(E17,"yyyy年m月d日;;"))</f>
        <v/>
      </c>
      <c r="N16" s="1575" t="str">
        <f>IF(OR(M16="",O16=""),"","、")</f>
        <v/>
      </c>
      <c r="O16" s="2265" t="str">
        <f>IF(F17="","",F16&amp;TEXT(F17,"yyyy年m月d日;;"))</f>
        <v/>
      </c>
      <c r="P16" s="1575" t="str">
        <f>IF(OR(O16="",Q16=""),"","、")</f>
        <v/>
      </c>
      <c r="Q16" s="2265" t="str">
        <f>IF(G17="","",G16&amp;TEXT(G17,"yyyy年m月d日;;"))</f>
        <v/>
      </c>
      <c r="R16" s="1575" t="str">
        <f>IF(OR(Q16="",S16=""),"","、")</f>
        <v/>
      </c>
      <c r="S16" s="2265" t="str">
        <f>IF(H17="","",H16&amp;TEXT(H17,"yyyy年m月d日;;"))</f>
        <v/>
      </c>
      <c r="T16" s="1575" t="str">
        <f>IF(OR(S16="",U16=""),"","、")</f>
        <v/>
      </c>
      <c r="U16" s="2265" t="str">
        <f>IF(I17="","",I16&amp;TEXT(I17,"yyyy年m月d日;;"))</f>
        <v/>
      </c>
    </row>
    <row r="17" spans="1:21">
      <c r="A17" s="1635"/>
      <c r="B17" s="1562"/>
      <c r="C17" s="2911" t="s">
        <v>1747</v>
      </c>
      <c r="D17" s="1576"/>
      <c r="E17" s="1576"/>
      <c r="F17" s="1576"/>
      <c r="G17" s="1576"/>
      <c r="H17" s="1576"/>
      <c r="I17" s="1576"/>
      <c r="J17" s="2982"/>
      <c r="K17" s="2960" t="str">
        <f>CONCATENATE(K16,L16,M16,N16,O16,P16,Q16,R16,S16,T16,,U16)</f>
        <v/>
      </c>
      <c r="L17" s="2961"/>
      <c r="M17" s="2961"/>
      <c r="N17" s="2962"/>
      <c r="O17" s="2963"/>
      <c r="P17" s="2962"/>
      <c r="Q17" s="2962"/>
      <c r="R17" s="2962"/>
      <c r="S17" s="2962"/>
      <c r="T17" s="2962"/>
      <c r="U17" s="2962"/>
    </row>
    <row r="18" spans="1:21">
      <c r="A18" s="1635"/>
      <c r="B18" s="1562"/>
      <c r="C18" s="2911" t="s">
        <v>1748</v>
      </c>
      <c r="D18" s="1563"/>
      <c r="E18" s="1563"/>
      <c r="F18" s="1563"/>
      <c r="G18" s="1563"/>
      <c r="H18" s="1563"/>
      <c r="I18" s="1563"/>
      <c r="J18" s="2982"/>
      <c r="K18" s="2965"/>
      <c r="L18" s="2961"/>
      <c r="M18" s="2961"/>
      <c r="N18" s="2962"/>
      <c r="O18" s="2963"/>
      <c r="P18" s="2962"/>
      <c r="Q18" s="2962"/>
      <c r="R18" s="2962"/>
      <c r="S18" s="2962"/>
      <c r="T18" s="2962"/>
      <c r="U18" s="2962"/>
    </row>
    <row r="19" spans="1:21">
      <c r="A19" s="1635"/>
      <c r="B19" s="1562"/>
      <c r="C19" s="1542" t="s">
        <v>1749</v>
      </c>
      <c r="D19" s="1630">
        <f>IF(B16="出让",IF(D17="","",ROUNDDOWN(MIN((D17-$D$3)/365,D18),2)),D18)</f>
        <v>0</v>
      </c>
      <c r="E19" s="1564">
        <f>IF(B16="出让",IF(E17="","",ROUNDDOWN(MIN((E17-$D$3)/365,E18),2)),E18)</f>
        <v>0</v>
      </c>
      <c r="F19" s="1564">
        <f>IF(B16="出让",IF(F17="","",ROUNDDOWN(MIN((F17-$D$3)/365,F18),2)),F18)</f>
        <v>0</v>
      </c>
      <c r="G19" s="1564">
        <f>IF(B16="出让",IF(G17="","",ROUNDDOWN(MIN((G17-$D$3)/365,G18),2)),G18)</f>
        <v>0</v>
      </c>
      <c r="H19" s="1564">
        <f>IF(B16="出让",IF(H17="","",ROUNDDOWN(MIN((H17-$D$3)/365,H18),2)),H18)</f>
        <v>0</v>
      </c>
      <c r="I19" s="1564">
        <f>IF(B16="出让",IF(I17="","",ROUNDDOWN(MIN((I17-$D$3)/365,I18),2)),I18)</f>
        <v>0</v>
      </c>
      <c r="J19" s="2982"/>
      <c r="K19" s="2965"/>
      <c r="L19" s="2961"/>
      <c r="M19" s="2961"/>
      <c r="N19" s="2962"/>
      <c r="O19" s="2963"/>
      <c r="P19" s="2962"/>
      <c r="Q19" s="2962"/>
      <c r="R19" s="2962"/>
      <c r="S19" s="2962"/>
      <c r="T19" s="2962"/>
      <c r="U19" s="2962"/>
    </row>
    <row r="20" spans="1:21">
      <c r="A20" s="1655"/>
      <c r="B20" s="1656"/>
      <c r="C20" s="1657" t="s">
        <v>1852</v>
      </c>
      <c r="D20" s="3512"/>
      <c r="E20" s="3513"/>
      <c r="F20" s="3513"/>
      <c r="G20" s="3513"/>
      <c r="H20" s="3513"/>
      <c r="I20" s="3514"/>
      <c r="J20" s="2982"/>
      <c r="K20" s="2965"/>
      <c r="L20" s="2961"/>
      <c r="M20" s="2961"/>
      <c r="N20" s="2962"/>
      <c r="O20" s="2963"/>
      <c r="P20" s="2962"/>
      <c r="Q20" s="2962"/>
      <c r="R20" s="2962"/>
      <c r="S20" s="2962"/>
      <c r="T20" s="2962"/>
      <c r="U20" s="2962"/>
    </row>
    <row r="21" spans="1:21">
      <c r="A21" s="1635" t="s">
        <v>1750</v>
      </c>
      <c r="B21" s="1636" t="s">
        <v>1751</v>
      </c>
      <c r="C21" s="1631">
        <f>'数据-汇总表'!E3</f>
        <v>0</v>
      </c>
      <c r="D21" s="1632" t="s">
        <v>1752</v>
      </c>
      <c r="E21" s="3502" t="s">
        <v>1790</v>
      </c>
      <c r="F21" s="3503"/>
      <c r="G21" s="3503"/>
      <c r="H21" s="3503"/>
      <c r="I21" s="3504"/>
      <c r="J21" s="2982"/>
      <c r="K21" s="2965"/>
      <c r="L21" s="2961"/>
      <c r="M21" s="2961"/>
      <c r="N21" s="2962"/>
      <c r="O21" s="2963"/>
      <c r="P21" s="2962"/>
      <c r="Q21" s="2962"/>
      <c r="R21" s="2962"/>
      <c r="S21" s="2962"/>
      <c r="T21" s="2962"/>
      <c r="U21" s="2962"/>
    </row>
    <row r="22" spans="1:21">
      <c r="A22" s="2720" t="s">
        <v>931</v>
      </c>
      <c r="B22" s="1543" t="s">
        <v>1753</v>
      </c>
      <c r="C22" s="1565" t="e">
        <f>'数据-汇总表'!D3</f>
        <v>#DIV/0!</v>
      </c>
      <c r="D22" s="1566" t="s">
        <v>1752</v>
      </c>
      <c r="E22" s="3502" t="s">
        <v>2604</v>
      </c>
      <c r="F22" s="3503"/>
      <c r="G22" s="3503"/>
      <c r="H22" s="3503"/>
      <c r="I22" s="3504"/>
      <c r="J22" s="2982"/>
      <c r="K22" s="2965"/>
      <c r="L22" s="2961"/>
      <c r="M22" s="2961"/>
      <c r="N22" s="2962"/>
      <c r="O22" s="2963"/>
      <c r="P22" s="2962"/>
      <c r="Q22" s="2962"/>
      <c r="R22" s="2962"/>
      <c r="S22" s="2962"/>
      <c r="T22" s="2962"/>
      <c r="U22" s="2962"/>
    </row>
    <row r="23" spans="1:21" ht="47.4" thickBot="1">
      <c r="A23" s="1637" t="s">
        <v>1754</v>
      </c>
      <c r="B23" s="1577" t="s">
        <v>1755</v>
      </c>
      <c r="C23" s="1578"/>
      <c r="D23" s="1579" t="s">
        <v>1756</v>
      </c>
      <c r="E23" s="1580"/>
      <c r="F23" s="1581" t="str">
        <f>IF(AND(C23="是",E23="否"),"是否提供他项权证或相关说明","")</f>
        <v/>
      </c>
      <c r="G23" s="1582"/>
      <c r="H23" s="2982"/>
      <c r="I23" s="2986"/>
      <c r="J23" s="2982"/>
      <c r="K23" s="2965"/>
      <c r="L23" s="2961"/>
      <c r="M23" s="2961"/>
      <c r="N23" s="2962"/>
      <c r="O23" s="2963"/>
      <c r="P23" s="2962"/>
      <c r="Q23" s="2962"/>
      <c r="R23" s="2962"/>
      <c r="S23" s="2962"/>
      <c r="T23" s="2962"/>
      <c r="U23" s="2962"/>
    </row>
    <row r="24" spans="1:21">
      <c r="A24" s="1622" t="s">
        <v>1757</v>
      </c>
      <c r="B24" s="3505" t="s">
        <v>1758</v>
      </c>
      <c r="C24" s="3506"/>
      <c r="D24" s="3507" t="s">
        <v>1759</v>
      </c>
      <c r="E24" s="3508"/>
      <c r="F24" s="1584" t="s">
        <v>1760</v>
      </c>
      <c r="G24" s="2982"/>
      <c r="H24" s="2982"/>
      <c r="I24" s="2986"/>
      <c r="J24" s="2982"/>
      <c r="K24" s="3493" t="s">
        <v>1761</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62"/>
      <c r="O24" s="2963"/>
      <c r="P24" s="2962"/>
      <c r="Q24" s="2962"/>
      <c r="R24" s="2962"/>
      <c r="S24" s="2962"/>
      <c r="T24" s="2962"/>
      <c r="U24" s="2962"/>
    </row>
    <row r="25" spans="1:21" ht="31.2">
      <c r="A25" s="1623"/>
      <c r="B25" s="1620" t="s">
        <v>2115</v>
      </c>
      <c r="C25" s="1585" t="s">
        <v>1762</v>
      </c>
      <c r="D25" s="1586"/>
      <c r="E25" s="1587" t="s">
        <v>931</v>
      </c>
      <c r="F25" s="1588"/>
      <c r="G25" s="2982"/>
      <c r="H25" s="2982"/>
      <c r="I25" s="2986"/>
      <c r="J25" s="2982"/>
      <c r="K25" s="3493"/>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62"/>
      <c r="O25" s="2963"/>
      <c r="P25" s="2962"/>
      <c r="Q25" s="2962"/>
      <c r="R25" s="2962"/>
      <c r="S25" s="2962"/>
      <c r="T25" s="2962"/>
      <c r="U25" s="2962"/>
    </row>
    <row r="26" spans="1:21" ht="47.4" thickBot="1">
      <c r="A26" s="1624"/>
      <c r="B26" s="1621" t="s">
        <v>1763</v>
      </c>
      <c r="C26" s="1585" t="s">
        <v>2116</v>
      </c>
      <c r="D26" s="2983"/>
      <c r="E26" s="2983"/>
      <c r="F26" s="2989"/>
      <c r="G26" s="2982"/>
      <c r="H26" s="2982"/>
      <c r="I26" s="2986"/>
      <c r="J26" s="2982"/>
      <c r="K26" s="3493"/>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62"/>
      <c r="O26" s="2963"/>
      <c r="P26" s="2962"/>
      <c r="Q26" s="2962"/>
      <c r="R26" s="2962"/>
      <c r="S26" s="2962"/>
      <c r="T26" s="2962"/>
      <c r="U26" s="2962"/>
    </row>
    <row r="27" spans="1:21">
      <c r="A27" s="1627" t="s">
        <v>1764</v>
      </c>
      <c r="B27" s="1625" t="s">
        <v>1765</v>
      </c>
      <c r="C27" s="1589"/>
      <c r="D27" s="2415" t="s">
        <v>1765</v>
      </c>
      <c r="E27" s="1590"/>
      <c r="F27" s="2989"/>
      <c r="G27" s="2982"/>
      <c r="H27" s="2982"/>
      <c r="I27" s="2986"/>
      <c r="J27" s="2982"/>
      <c r="K27" s="2965"/>
      <c r="L27" s="2961"/>
      <c r="M27" s="2961"/>
      <c r="N27" s="2962"/>
      <c r="O27" s="2963"/>
      <c r="P27" s="2962"/>
      <c r="Q27" s="2962"/>
      <c r="R27" s="2962"/>
      <c r="S27" s="2962"/>
      <c r="T27" s="2962"/>
      <c r="U27" s="2962"/>
    </row>
    <row r="28" spans="1:21">
      <c r="A28" s="1628"/>
      <c r="B28" s="1625" t="s">
        <v>1766</v>
      </c>
      <c r="C28" s="1591"/>
      <c r="D28" s="2416" t="s">
        <v>1766</v>
      </c>
      <c r="E28" s="1592"/>
      <c r="F28" s="2989"/>
      <c r="G28" s="2982"/>
      <c r="H28" s="2982"/>
      <c r="I28" s="2986"/>
      <c r="J28" s="2982"/>
      <c r="K28" s="2965"/>
      <c r="L28" s="2961"/>
      <c r="M28" s="2961"/>
      <c r="N28" s="2962"/>
      <c r="O28" s="2963"/>
      <c r="P28" s="2962"/>
      <c r="Q28" s="2962"/>
      <c r="R28" s="2962"/>
      <c r="S28" s="2962"/>
      <c r="T28" s="2962"/>
      <c r="U28" s="2962"/>
    </row>
    <row r="29" spans="1:21">
      <c r="A29" s="1628"/>
      <c r="B29" s="1625" t="s">
        <v>1767</v>
      </c>
      <c r="C29" s="1591"/>
      <c r="D29" s="2416" t="s">
        <v>1767</v>
      </c>
      <c r="E29" s="1592"/>
      <c r="F29" s="2989"/>
      <c r="G29" s="2982"/>
      <c r="H29" s="2982"/>
      <c r="I29" s="2986"/>
      <c r="J29" s="2982"/>
      <c r="K29" s="2965"/>
      <c r="L29" s="2961"/>
      <c r="M29" s="2961"/>
      <c r="N29" s="2962"/>
      <c r="O29" s="2963"/>
      <c r="P29" s="2962"/>
      <c r="Q29" s="2962"/>
      <c r="R29" s="2962"/>
      <c r="S29" s="2962"/>
      <c r="T29" s="2962"/>
      <c r="U29" s="2962"/>
    </row>
    <row r="30" spans="1:21" ht="16.2" thickBot="1">
      <c r="A30" s="1629"/>
      <c r="B30" s="1626" t="s">
        <v>1768</v>
      </c>
      <c r="C30" s="1593"/>
      <c r="D30" s="2417" t="s">
        <v>1768</v>
      </c>
      <c r="E30" s="1594"/>
      <c r="F30" s="2990"/>
      <c r="G30" s="2987"/>
      <c r="H30" s="2987"/>
      <c r="I30" s="2988"/>
      <c r="J30" s="2982"/>
      <c r="K30" s="2965"/>
      <c r="L30" s="2961"/>
      <c r="M30" s="2961"/>
      <c r="N30" s="2962"/>
      <c r="O30" s="2963"/>
      <c r="P30" s="2962"/>
      <c r="Q30" s="2962"/>
      <c r="R30" s="2962"/>
      <c r="S30" s="2962"/>
      <c r="T30" s="2962"/>
      <c r="U30" s="2962"/>
    </row>
    <row r="31" spans="1:21" ht="16.2" thickTop="1">
      <c r="A31" s="3479" t="s">
        <v>1793</v>
      </c>
      <c r="B31" s="1636" t="s">
        <v>1794</v>
      </c>
      <c r="C31" s="3518"/>
      <c r="D31" s="3519"/>
      <c r="E31" s="2982"/>
      <c r="F31" s="2982"/>
      <c r="G31" s="2982"/>
      <c r="H31" s="2982"/>
      <c r="I31" s="2986"/>
      <c r="J31" s="2982"/>
      <c r="K31" s="2968"/>
      <c r="L31" s="2962"/>
      <c r="M31" s="2962"/>
      <c r="N31" s="2962"/>
      <c r="O31" s="2962"/>
      <c r="P31" s="2962"/>
      <c r="Q31" s="2962"/>
      <c r="R31" s="2962"/>
      <c r="S31" s="2962"/>
      <c r="T31" s="2962"/>
      <c r="U31" s="2962"/>
    </row>
    <row r="32" spans="1:21">
      <c r="A32" s="3479"/>
      <c r="B32" s="1543" t="s">
        <v>1795</v>
      </c>
      <c r="C32" s="1595"/>
      <c r="D32" s="1596"/>
      <c r="E32" s="2982"/>
      <c r="F32" s="2982"/>
      <c r="G32" s="2982"/>
      <c r="H32" s="2982"/>
      <c r="I32" s="2986"/>
      <c r="J32" s="2982"/>
      <c r="K32" s="2968"/>
      <c r="L32" s="2962"/>
      <c r="M32" s="2962"/>
      <c r="N32" s="2962"/>
      <c r="O32" s="2962"/>
      <c r="P32" s="2962"/>
      <c r="Q32" s="2962"/>
      <c r="R32" s="2962"/>
      <c r="S32" s="2962"/>
      <c r="T32" s="2962"/>
      <c r="U32" s="2962"/>
    </row>
    <row r="33" spans="1:28">
      <c r="A33" s="3479"/>
      <c r="B33" s="1543" t="s">
        <v>1796</v>
      </c>
      <c r="C33" s="1597"/>
      <c r="D33" s="1707"/>
      <c r="E33" s="2982"/>
      <c r="F33" s="2982"/>
      <c r="G33" s="2982"/>
      <c r="H33" s="2982"/>
      <c r="I33" s="2986"/>
      <c r="J33" s="2982"/>
      <c r="K33" s="2968"/>
      <c r="L33" s="2962"/>
      <c r="M33" s="2962"/>
      <c r="N33" s="2962"/>
      <c r="O33" s="2962"/>
      <c r="P33" s="2962"/>
      <c r="Q33" s="2962"/>
      <c r="R33" s="2962"/>
      <c r="S33" s="2962"/>
      <c r="T33" s="2962"/>
      <c r="U33" s="2962"/>
    </row>
    <row r="34" spans="1:28">
      <c r="A34" s="3480"/>
      <c r="B34" s="1543" t="s">
        <v>1797</v>
      </c>
      <c r="C34" s="3481"/>
      <c r="D34" s="3482"/>
      <c r="E34" s="2982"/>
      <c r="F34" s="2982"/>
      <c r="G34" s="2982"/>
      <c r="H34" s="2982"/>
      <c r="I34" s="2986"/>
      <c r="J34" s="2982"/>
      <c r="K34" s="2968"/>
      <c r="L34" s="2962"/>
      <c r="M34" s="2962"/>
      <c r="N34" s="2962"/>
      <c r="O34" s="2962"/>
      <c r="P34" s="2962"/>
      <c r="Q34" s="2962"/>
      <c r="R34" s="2962"/>
      <c r="S34" s="2962"/>
      <c r="T34" s="2962"/>
      <c r="U34" s="2962"/>
    </row>
    <row r="35" spans="1:28">
      <c r="A35" s="3483" t="s">
        <v>827</v>
      </c>
      <c r="B35" s="1598"/>
      <c r="C35" s="1645" t="str">
        <f>IF(B35="场地平整","——","具体情况：")</f>
        <v>具体情况：</v>
      </c>
      <c r="D35" s="3485"/>
      <c r="E35" s="3486"/>
      <c r="F35" s="3486"/>
      <c r="G35" s="3486"/>
      <c r="H35" s="3486"/>
      <c r="I35" s="3487"/>
      <c r="J35" s="2982"/>
      <c r="K35" s="2969"/>
      <c r="L35" s="2961"/>
      <c r="M35" s="2961"/>
      <c r="N35" s="2962"/>
      <c r="O35" s="2963"/>
      <c r="P35" s="2962"/>
      <c r="Q35" s="2962"/>
      <c r="R35" s="2962"/>
      <c r="S35" s="2962"/>
      <c r="T35" s="2962"/>
      <c r="U35" s="2962"/>
    </row>
    <row r="36" spans="1:28">
      <c r="A36" s="3479"/>
      <c r="B36" s="3488" t="s">
        <v>1846</v>
      </c>
      <c r="C36" s="3489"/>
      <c r="D36" s="1661"/>
      <c r="E36" s="3490"/>
      <c r="F36" s="3490"/>
      <c r="G36" s="1566" t="str">
        <f>IF(B35="场地未平整","估价结果处理","")</f>
        <v/>
      </c>
      <c r="H36" s="3491"/>
      <c r="I36" s="3491"/>
      <c r="J36" s="2982"/>
      <c r="K36" s="2969"/>
      <c r="L36" s="2961"/>
      <c r="M36" s="2961"/>
      <c r="N36" s="2962"/>
      <c r="O36" s="2963"/>
      <c r="P36" s="2962"/>
      <c r="Q36" s="2962"/>
      <c r="R36" s="2962"/>
      <c r="S36" s="2962"/>
      <c r="T36" s="2962"/>
      <c r="U36" s="2962"/>
    </row>
    <row r="37" spans="1:28" ht="31.2">
      <c r="A37" s="3479"/>
      <c r="B37" s="3509" t="s">
        <v>828</v>
      </c>
      <c r="C37" s="1600" t="s">
        <v>829</v>
      </c>
      <c r="D37" s="1601"/>
      <c r="E37" s="1602"/>
      <c r="F37" s="2982"/>
      <c r="G37" s="2982"/>
      <c r="H37" s="2982"/>
      <c r="I37" s="2986"/>
      <c r="J37" s="2982"/>
      <c r="K37" s="2969"/>
      <c r="L37" s="2962"/>
      <c r="M37" s="2962"/>
      <c r="N37" s="2962"/>
      <c r="O37" s="2962"/>
      <c r="P37" s="2962"/>
      <c r="Q37" s="2962"/>
      <c r="R37" s="2962"/>
      <c r="S37" s="2962"/>
      <c r="T37" s="2962"/>
      <c r="U37" s="2962"/>
    </row>
    <row r="38" spans="1:28">
      <c r="A38" s="3479"/>
      <c r="B38" s="3510"/>
      <c r="C38" s="1551" t="s">
        <v>830</v>
      </c>
      <c r="D38" s="1660">
        <f>ROUNDDOWN(MIN(('数据-取费表'!$B$2-D37)/365,D34),1)</f>
        <v>0</v>
      </c>
      <c r="E38" s="1603" t="s">
        <v>831</v>
      </c>
      <c r="F38" s="2982"/>
      <c r="G38" s="2982"/>
      <c r="H38" s="2982"/>
      <c r="I38" s="2986"/>
      <c r="J38" s="2982"/>
      <c r="K38" s="2969"/>
      <c r="L38" s="2962"/>
      <c r="M38" s="2962"/>
      <c r="N38" s="2962"/>
      <c r="O38" s="2962"/>
      <c r="P38" s="2962"/>
      <c r="Q38" s="2962"/>
      <c r="R38" s="2962"/>
      <c r="S38" s="2962"/>
      <c r="T38" s="2962"/>
      <c r="U38" s="2962"/>
    </row>
    <row r="39" spans="1:28">
      <c r="A39" s="3480"/>
      <c r="B39" s="3511"/>
      <c r="C39" s="1573" t="str">
        <f>IF(D38&lt;1,"不存在土地闲置",IF(B35="宗地内已开工建设","已开工，不存在土地闲置","估价对象已涉嫌土地闲置"))</f>
        <v>不存在土地闲置</v>
      </c>
      <c r="D39" s="1604"/>
      <c r="E39" s="1605"/>
      <c r="F39" s="2982"/>
      <c r="G39" s="2982"/>
      <c r="H39" s="2982"/>
      <c r="I39" s="2986"/>
      <c r="J39" s="2982"/>
      <c r="K39" s="2965"/>
      <c r="L39" s="2961"/>
      <c r="M39" s="2961"/>
      <c r="N39" s="2962"/>
      <c r="O39" s="2963"/>
      <c r="P39" s="2962"/>
      <c r="Q39" s="2962"/>
      <c r="R39" s="2962"/>
      <c r="S39" s="2962"/>
      <c r="T39" s="2962"/>
      <c r="U39" s="2962"/>
    </row>
    <row r="40" spans="1:28">
      <c r="A40" s="1566" t="s">
        <v>1769</v>
      </c>
      <c r="B40" s="1567"/>
      <c r="C40" s="1567"/>
      <c r="D40" s="1567"/>
      <c r="E40" s="1567"/>
      <c r="F40" s="1567"/>
      <c r="G40" s="1567"/>
      <c r="H40" s="1567"/>
      <c r="I40" s="2986"/>
      <c r="J40" s="2982"/>
      <c r="K40" s="2930">
        <f>COUNTIF(B40:H40,"——")</f>
        <v>0</v>
      </c>
      <c r="L40" s="1575" t="s">
        <v>1770</v>
      </c>
      <c r="M40" s="1572" t="s">
        <v>1771</v>
      </c>
      <c r="N40" s="1572" t="s">
        <v>1772</v>
      </c>
      <c r="O40" s="1572" t="s">
        <v>1773</v>
      </c>
      <c r="P40" s="1572" t="s">
        <v>1774</v>
      </c>
      <c r="Q40" s="1572" t="s">
        <v>1775</v>
      </c>
      <c r="R40" s="1572" t="s">
        <v>1776</v>
      </c>
      <c r="S40" s="3492" t="s">
        <v>1777</v>
      </c>
      <c r="T40" s="1607" t="str">
        <f>NUMBERSTRING(7-K40,1)&amp;"通"</f>
        <v>七通</v>
      </c>
      <c r="U40" s="2962"/>
    </row>
    <row r="41" spans="1:28">
      <c r="A41" s="1545"/>
      <c r="B41" s="3484" t="s">
        <v>1521</v>
      </c>
      <c r="C41" s="3484"/>
      <c r="D41" s="3484"/>
      <c r="E41" s="3484"/>
      <c r="F41" s="1608">
        <f>C10</f>
        <v>0</v>
      </c>
      <c r="G41" s="2982"/>
      <c r="H41" s="2982"/>
      <c r="I41" s="2986"/>
      <c r="J41" s="2982"/>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492"/>
      <c r="T41" s="1609" t="str">
        <f>IF(T40="一通",L41,IF(T40="二通",M41,IF(T40="三通",N41,IF(T40="四通",O41,IF(T40="五通",P41,IF(T40="六通",Q41,R41))))))</f>
        <v>、、、、、、</v>
      </c>
      <c r="U41" s="2962"/>
    </row>
    <row r="42" spans="1:28">
      <c r="A42" s="1611"/>
      <c r="B42" s="1638" t="s">
        <v>1693</v>
      </c>
      <c r="C42" s="1638" t="s">
        <v>1694</v>
      </c>
      <c r="D42" s="1638" t="s">
        <v>1695</v>
      </c>
      <c r="E42" s="1575" t="s">
        <v>1696</v>
      </c>
      <c r="F42" s="1612"/>
      <c r="G42" s="2982"/>
      <c r="H42" s="2982"/>
      <c r="I42" s="2986"/>
      <c r="J42" s="2982"/>
      <c r="K42" s="2965"/>
      <c r="L42" s="2961"/>
      <c r="M42" s="2961"/>
      <c r="N42" s="2962"/>
      <c r="O42" s="2963"/>
      <c r="P42" s="2962"/>
      <c r="Q42" s="2962"/>
      <c r="R42" s="2962"/>
      <c r="S42" s="2962"/>
      <c r="T42" s="2962"/>
      <c r="U42" s="2962"/>
    </row>
    <row r="43" spans="1:28">
      <c r="A43" s="2933" t="s">
        <v>1506</v>
      </c>
      <c r="B43" s="1613"/>
      <c r="C43" s="1613"/>
      <c r="D43" s="1613"/>
      <c r="E43" s="1613"/>
      <c r="F43" s="1614"/>
      <c r="G43" s="2982"/>
      <c r="H43" s="2982"/>
      <c r="I43" s="2986"/>
      <c r="J43" s="2982"/>
      <c r="K43" s="2965"/>
      <c r="L43" s="2961"/>
      <c r="M43" s="2961"/>
      <c r="N43" s="2962"/>
      <c r="O43" s="2963"/>
      <c r="P43" s="2962"/>
      <c r="Q43" s="2962"/>
      <c r="R43" s="2962"/>
      <c r="S43" s="2962"/>
      <c r="T43" s="2962"/>
      <c r="U43" s="2962"/>
    </row>
    <row r="44" spans="1:28">
      <c r="A44" s="2933" t="s">
        <v>1507</v>
      </c>
      <c r="B44" s="1613"/>
      <c r="C44" s="1613"/>
      <c r="D44" s="1613"/>
      <c r="E44" s="1661"/>
      <c r="F44" s="1614"/>
      <c r="G44" s="2982"/>
      <c r="H44" s="2982"/>
      <c r="I44" s="2986"/>
      <c r="J44" s="2982"/>
      <c r="K44" s="2965"/>
      <c r="L44" s="2961"/>
      <c r="M44" s="2961"/>
      <c r="N44" s="2962"/>
      <c r="O44" s="2963"/>
      <c r="P44" s="2962"/>
      <c r="Q44" s="2962"/>
      <c r="R44" s="2962"/>
      <c r="S44" s="2962"/>
      <c r="T44" s="2962"/>
      <c r="U44" s="2962"/>
    </row>
    <row r="45" spans="1:28" s="2691" customFormat="1" ht="21" thickBot="1">
      <c r="A45" s="2692" t="s">
        <v>2605</v>
      </c>
      <c r="B45" s="2690"/>
      <c r="C45" s="2690"/>
      <c r="D45" s="2690"/>
      <c r="E45" s="2690"/>
      <c r="F45" s="2690"/>
      <c r="G45" s="2972"/>
      <c r="H45" s="2972"/>
      <c r="I45" s="2973"/>
      <c r="J45" s="2985"/>
      <c r="K45" s="2970"/>
      <c r="L45" s="2971"/>
      <c r="M45" s="2971"/>
      <c r="N45" s="2972"/>
      <c r="O45" s="2973"/>
      <c r="P45" s="2972"/>
      <c r="Q45" s="2972"/>
      <c r="R45" s="2972"/>
      <c r="S45" s="2972"/>
      <c r="T45" s="2972"/>
      <c r="U45" s="2972"/>
      <c r="V45" s="2974"/>
      <c r="W45" s="2974"/>
      <c r="X45" s="2974"/>
      <c r="Y45" s="2974"/>
      <c r="Z45" s="2974"/>
      <c r="AA45" s="2974"/>
      <c r="AB45" s="2974"/>
    </row>
    <row r="46" spans="1:28">
      <c r="A46" s="1570"/>
      <c r="B46" s="1570"/>
      <c r="C46" s="1570"/>
      <c r="D46" s="1570"/>
      <c r="E46" s="1570"/>
      <c r="F46" s="1570"/>
      <c r="G46" s="1570"/>
      <c r="H46" s="1570"/>
      <c r="I46" s="1583"/>
      <c r="J46" s="1570"/>
      <c r="K46" s="2965"/>
      <c r="L46" s="2961"/>
      <c r="M46" s="2961"/>
      <c r="N46" s="2962"/>
      <c r="O46" s="2963"/>
      <c r="P46" s="2962"/>
      <c r="Q46" s="2962"/>
      <c r="R46" s="2962"/>
      <c r="S46" s="2962"/>
      <c r="T46" s="2962"/>
      <c r="U46" s="2962"/>
    </row>
    <row r="47" spans="1:28">
      <c r="A47" s="1615" t="s">
        <v>1798</v>
      </c>
      <c r="B47" s="1616"/>
      <c r="C47" s="1605"/>
      <c r="D47" s="1570"/>
      <c r="E47" s="1570"/>
      <c r="F47" s="1570"/>
      <c r="G47" s="1570"/>
      <c r="H47" s="1570"/>
      <c r="I47" s="1571"/>
      <c r="J47" s="1570"/>
      <c r="K47" s="2965"/>
      <c r="L47" s="2961"/>
      <c r="M47" s="2961"/>
      <c r="N47" s="2962"/>
      <c r="O47" s="2963"/>
      <c r="P47" s="2962"/>
      <c r="Q47" s="2962"/>
      <c r="R47" s="2962"/>
      <c r="S47" s="2962"/>
      <c r="T47" s="2962"/>
      <c r="U47" s="2962"/>
    </row>
    <row r="48" spans="1:28" ht="46.8">
      <c r="A48" s="1575" t="s">
        <v>1799</v>
      </c>
      <c r="B48" s="1565" t="s">
        <v>1800</v>
      </c>
      <c r="C48" s="1565" t="s">
        <v>1801</v>
      </c>
      <c r="D48" s="1565" t="s">
        <v>1802</v>
      </c>
      <c r="E48" s="1565" t="s">
        <v>1803</v>
      </c>
      <c r="F48" s="1565" t="s">
        <v>1804</v>
      </c>
      <c r="G48" s="1565" t="s">
        <v>1805</v>
      </c>
      <c r="H48" s="1565" t="s">
        <v>1806</v>
      </c>
      <c r="I48" s="1565" t="s">
        <v>1807</v>
      </c>
      <c r="J48" s="1644" t="s">
        <v>1808</v>
      </c>
      <c r="K48" s="2975" t="s">
        <v>1809</v>
      </c>
      <c r="L48" s="2975" t="s">
        <v>1810</v>
      </c>
      <c r="M48" s="2975" t="s">
        <v>1811</v>
      </c>
      <c r="N48" s="2976" t="s">
        <v>1812</v>
      </c>
      <c r="O48" s="2976" t="s">
        <v>1813</v>
      </c>
      <c r="P48" s="2976" t="s">
        <v>1814</v>
      </c>
      <c r="Q48" s="2967" t="s">
        <v>1815</v>
      </c>
      <c r="R48" s="2967" t="s">
        <v>1816</v>
      </c>
      <c r="S48" s="2962"/>
      <c r="T48" s="2962"/>
      <c r="U48" s="2962"/>
    </row>
    <row r="49" spans="1:21">
      <c r="A49" s="1572"/>
      <c r="B49" s="1606"/>
      <c r="C49" s="1606"/>
      <c r="D49" s="1606"/>
      <c r="E49" s="1606"/>
      <c r="F49" s="1606"/>
      <c r="G49" s="1606"/>
      <c r="H49" s="1606"/>
      <c r="I49" s="1606"/>
      <c r="J49" s="1708"/>
      <c r="K49" s="2977"/>
      <c r="L49" s="2977"/>
      <c r="M49" s="1612"/>
      <c r="N49" s="1612"/>
      <c r="O49" s="1612"/>
      <c r="P49" s="1612"/>
      <c r="Q49" s="1612"/>
      <c r="R49" s="1612"/>
      <c r="S49" s="2962"/>
      <c r="T49" s="2962"/>
      <c r="U49" s="2962"/>
    </row>
    <row r="50" spans="1:21">
      <c r="A50" s="1572"/>
      <c r="B50" s="1572"/>
      <c r="C50" s="1606"/>
      <c r="D50" s="1606"/>
      <c r="E50" s="1606"/>
      <c r="F50" s="1606"/>
      <c r="G50" s="1606"/>
      <c r="H50" s="1606"/>
      <c r="I50" s="1606"/>
      <c r="J50" s="1708"/>
      <c r="K50" s="2977"/>
      <c r="L50" s="2977"/>
      <c r="M50" s="1612"/>
      <c r="N50" s="1612"/>
      <c r="O50" s="1612"/>
      <c r="P50" s="1612"/>
      <c r="Q50" s="1612"/>
      <c r="R50" s="1612"/>
      <c r="S50" s="2962"/>
      <c r="T50" s="2962"/>
      <c r="U50" s="2962"/>
    </row>
    <row r="51" spans="1:21">
      <c r="A51" s="1572"/>
      <c r="B51" s="1572"/>
      <c r="C51" s="1606"/>
      <c r="D51" s="1606"/>
      <c r="E51" s="1606"/>
      <c r="F51" s="1606"/>
      <c r="G51" s="1606"/>
      <c r="H51" s="1606"/>
      <c r="I51" s="1606"/>
      <c r="J51" s="1708"/>
      <c r="K51" s="2977"/>
      <c r="L51" s="2977"/>
      <c r="M51" s="1612"/>
      <c r="N51" s="1612"/>
      <c r="O51" s="1612"/>
      <c r="P51" s="1612"/>
      <c r="Q51" s="1612"/>
      <c r="R51" s="1612"/>
      <c r="S51" s="2962"/>
      <c r="T51" s="2962"/>
      <c r="U51" s="2962"/>
    </row>
    <row r="52" spans="1:21">
      <c r="A52" s="1572"/>
      <c r="B52" s="1572"/>
      <c r="C52" s="1606"/>
      <c r="D52" s="1606"/>
      <c r="E52" s="1606"/>
      <c r="F52" s="1606"/>
      <c r="G52" s="1606"/>
      <c r="H52" s="1606"/>
      <c r="I52" s="1606"/>
      <c r="J52" s="1708"/>
      <c r="K52" s="2977"/>
      <c r="L52" s="2977"/>
      <c r="M52" s="1612"/>
      <c r="N52" s="1612"/>
      <c r="O52" s="1612"/>
      <c r="P52" s="1612"/>
      <c r="Q52" s="1612"/>
      <c r="R52" s="1612"/>
      <c r="S52" s="2962"/>
      <c r="T52" s="2962"/>
      <c r="U52" s="2962"/>
    </row>
    <row r="53" spans="1:21">
      <c r="A53" s="1572"/>
      <c r="B53" s="1572"/>
      <c r="C53" s="1606"/>
      <c r="D53" s="1606"/>
      <c r="E53" s="1606"/>
      <c r="F53" s="1606"/>
      <c r="G53" s="1606"/>
      <c r="H53" s="1606"/>
      <c r="I53" s="1606"/>
      <c r="J53" s="1708"/>
      <c r="K53" s="2977"/>
      <c r="L53" s="2977"/>
      <c r="M53" s="1612"/>
      <c r="N53" s="1612"/>
      <c r="O53" s="1612"/>
      <c r="P53" s="1612"/>
      <c r="Q53" s="1612"/>
      <c r="R53" s="1612"/>
      <c r="S53" s="2962"/>
      <c r="T53" s="2962"/>
      <c r="U53" s="2962"/>
    </row>
    <row r="54" spans="1:21">
      <c r="A54" s="1572"/>
      <c r="B54" s="1572"/>
      <c r="C54" s="1572"/>
      <c r="D54" s="1572"/>
      <c r="E54" s="1572"/>
      <c r="F54" s="1606"/>
      <c r="G54" s="1572"/>
      <c r="H54" s="1572"/>
      <c r="I54" s="1572"/>
      <c r="J54" s="1709"/>
      <c r="K54" s="2977"/>
      <c r="L54" s="2977"/>
      <c r="M54" s="2977"/>
      <c r="N54" s="2929"/>
      <c r="O54" s="2929"/>
      <c r="P54" s="2929"/>
      <c r="Q54" s="2929"/>
      <c r="R54" s="2929"/>
      <c r="S54" s="2962"/>
      <c r="T54" s="2962"/>
      <c r="U54" s="2962"/>
    </row>
    <row r="55" spans="1:21">
      <c r="A55" s="1572"/>
      <c r="B55" s="1572"/>
      <c r="C55" s="1572"/>
      <c r="D55" s="1572"/>
      <c r="E55" s="1572"/>
      <c r="F55" s="1606"/>
      <c r="G55" s="1572"/>
      <c r="H55" s="1572"/>
      <c r="I55" s="1572"/>
      <c r="J55" s="1709"/>
      <c r="K55" s="2977"/>
      <c r="L55" s="2977"/>
      <c r="M55" s="2977"/>
      <c r="N55" s="2929"/>
      <c r="O55" s="2929"/>
      <c r="P55" s="2929"/>
      <c r="Q55" s="2929"/>
      <c r="R55" s="2929"/>
      <c r="S55" s="2962"/>
      <c r="T55" s="2962"/>
      <c r="U55" s="2962"/>
    </row>
    <row r="56" spans="1:21">
      <c r="A56" s="1572"/>
      <c r="B56" s="1572"/>
      <c r="C56" s="1572"/>
      <c r="D56" s="1572"/>
      <c r="E56" s="1572"/>
      <c r="F56" s="1606"/>
      <c r="G56" s="1572"/>
      <c r="H56" s="1572"/>
      <c r="I56" s="1572"/>
      <c r="J56" s="1709"/>
      <c r="K56" s="2977"/>
      <c r="L56" s="2977"/>
      <c r="M56" s="2977"/>
      <c r="N56" s="2929"/>
      <c r="O56" s="2929"/>
      <c r="P56" s="2929"/>
      <c r="Q56" s="2929"/>
      <c r="R56" s="2929"/>
      <c r="S56" s="2962"/>
      <c r="T56" s="2962"/>
      <c r="U56" s="2962"/>
    </row>
    <row r="57" spans="1:21">
      <c r="A57" s="1572"/>
      <c r="B57" s="1572"/>
      <c r="C57" s="1572"/>
      <c r="D57" s="1572"/>
      <c r="E57" s="1572"/>
      <c r="F57" s="1606"/>
      <c r="G57" s="1572"/>
      <c r="H57" s="1572"/>
      <c r="I57" s="1572"/>
      <c r="J57" s="1709"/>
      <c r="K57" s="2977"/>
      <c r="L57" s="2977"/>
      <c r="M57" s="2977"/>
      <c r="N57" s="2929"/>
      <c r="O57" s="2929"/>
      <c r="P57" s="2929"/>
      <c r="Q57" s="2929"/>
      <c r="R57" s="2929"/>
      <c r="S57" s="2962"/>
      <c r="T57" s="2962"/>
      <c r="U57" s="2962"/>
    </row>
    <row r="58" spans="1:21">
      <c r="A58" s="1572"/>
      <c r="B58" s="1572"/>
      <c r="C58" s="1572"/>
      <c r="D58" s="1572"/>
      <c r="E58" s="1572"/>
      <c r="F58" s="1606"/>
      <c r="G58" s="1572"/>
      <c r="H58" s="1572"/>
      <c r="I58" s="1572"/>
      <c r="J58" s="1709"/>
      <c r="K58" s="2977"/>
      <c r="L58" s="2977"/>
      <c r="M58" s="2977"/>
      <c r="N58" s="2929"/>
      <c r="O58" s="2929"/>
      <c r="P58" s="2929"/>
      <c r="Q58" s="2929"/>
      <c r="R58" s="2929"/>
      <c r="S58" s="2962"/>
      <c r="T58" s="2962"/>
      <c r="U58" s="296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2123</v>
      </c>
      <c r="BA2" s="2174"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3.2">
      <c r="A3" s="21"/>
      <c r="B3" s="22">
        <f>IF(C3="否",G5-AT5,G5)</f>
        <v>0</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3.2">
      <c r="A5" s="26" t="s">
        <v>168</v>
      </c>
      <c r="B5" s="960"/>
      <c r="C5" s="960"/>
      <c r="D5" s="967"/>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3.2">
      <c r="A9" s="45"/>
      <c r="B9" s="45"/>
      <c r="C9" s="45"/>
      <c r="D9" s="45"/>
      <c r="E9" s="45"/>
      <c r="F9" s="45"/>
      <c r="G9" s="55"/>
      <c r="H9" s="58" t="s">
        <v>188</v>
      </c>
      <c r="I9" s="2653"/>
      <c r="J9" s="51"/>
      <c r="K9" s="2653"/>
      <c r="L9" s="51"/>
      <c r="M9" s="26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3.2">
      <c r="A10" s="45"/>
      <c r="B10" s="45"/>
      <c r="C10" s="45"/>
      <c r="D10" s="45"/>
      <c r="E10" s="45"/>
      <c r="F10" s="45"/>
      <c r="G10" s="55"/>
      <c r="H10" s="62"/>
      <c r="I10" s="2653"/>
      <c r="J10" s="51"/>
      <c r="K10" s="2655"/>
      <c r="L10" s="51"/>
      <c r="M10" s="2655"/>
      <c r="N10" s="51"/>
      <c r="O10" s="66"/>
      <c r="P10" s="51"/>
      <c r="Q10" s="66"/>
      <c r="R10" s="51"/>
      <c r="S10" s="66"/>
      <c r="T10" s="51"/>
      <c r="U10" s="66"/>
      <c r="V10" s="51"/>
      <c r="W10" s="66"/>
      <c r="X10" s="51"/>
      <c r="Y10" s="66"/>
      <c r="Z10" s="51"/>
      <c r="AA10" s="66"/>
      <c r="AB10" s="51"/>
      <c r="AC10" s="55"/>
      <c r="AD10" s="2148" t="s">
        <v>2107</v>
      </c>
      <c r="AE10" s="2170"/>
      <c r="AF10" s="2148" t="s">
        <v>2107</v>
      </c>
      <c r="AG10" s="2170"/>
      <c r="AH10" s="2148" t="s">
        <v>2108</v>
      </c>
      <c r="AI10" s="2170"/>
      <c r="AJ10" s="26" t="s">
        <v>2121</v>
      </c>
      <c r="AK10" s="2167"/>
      <c r="AL10" s="2148" t="s">
        <v>2109</v>
      </c>
      <c r="AM10" s="2149"/>
      <c r="AN10" s="26" t="s">
        <v>198</v>
      </c>
      <c r="AO10" s="61"/>
      <c r="AP10" s="1134" t="s">
        <v>199</v>
      </c>
      <c r="AQ10" s="1136"/>
      <c r="AR10" s="1134" t="s">
        <v>199</v>
      </c>
      <c r="AS10" s="1136"/>
      <c r="AT10" s="45"/>
      <c r="AU10" s="45"/>
      <c r="AV10" s="55"/>
      <c r="AW10" s="974"/>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3.2">
      <c r="A11" s="45"/>
      <c r="B11" s="45"/>
      <c r="C11" s="45"/>
      <c r="D11" s="45"/>
      <c r="E11" s="45"/>
      <c r="F11" s="45"/>
      <c r="G11" s="55"/>
      <c r="H11" s="67"/>
      <c r="I11" s="2654"/>
      <c r="J11" s="71"/>
      <c r="K11" s="2654"/>
      <c r="L11" s="71"/>
      <c r="M11" s="70"/>
      <c r="N11" s="71"/>
      <c r="O11" s="70"/>
      <c r="P11" s="71"/>
      <c r="Q11" s="70"/>
      <c r="R11" s="71"/>
      <c r="S11" s="70"/>
      <c r="T11" s="71"/>
      <c r="U11" s="70"/>
      <c r="V11" s="71"/>
      <c r="W11" s="70"/>
      <c r="X11" s="71"/>
      <c r="Y11" s="70"/>
      <c r="Z11" s="71"/>
      <c r="AA11" s="70"/>
      <c r="AB11" s="71"/>
      <c r="AC11" s="55"/>
      <c r="AD11" s="2168" t="s">
        <v>2120</v>
      </c>
      <c r="AE11" s="973"/>
      <c r="AF11" s="2168" t="s">
        <v>2120</v>
      </c>
      <c r="AG11" s="973"/>
      <c r="AH11" s="2168" t="s">
        <v>2119</v>
      </c>
      <c r="AI11" s="2169"/>
      <c r="AJ11" s="2168" t="s">
        <v>2119</v>
      </c>
      <c r="AK11" s="2167"/>
      <c r="AL11" s="971"/>
      <c r="AM11" s="973"/>
      <c r="AN11" s="971"/>
      <c r="AO11" s="973"/>
      <c r="AP11" s="1135"/>
      <c r="AQ11" s="1137"/>
      <c r="AR11" s="1135"/>
      <c r="AS11" s="1137"/>
      <c r="AT11" s="974"/>
      <c r="AU11" s="45"/>
      <c r="AV11" s="55"/>
      <c r="AW11" s="974"/>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3.2">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3.2">
      <c r="A13" s="2648"/>
      <c r="B13" s="2648"/>
      <c r="C13" s="2648"/>
      <c r="D13" s="2649"/>
      <c r="E13" s="27" t="e">
        <f t="shared" ref="E13:E20" si="6">IF($C$3="是",ROUND($A$3*G13/$B$3,2),ROUND($A$3*(G13-AT13)/$B$3,2))</f>
        <v>#DIV/0!</v>
      </c>
      <c r="F13" s="81"/>
      <c r="G13" s="82">
        <f t="shared" ref="G13:G20" si="7">H13+AC13+AT13</f>
        <v>0</v>
      </c>
      <c r="H13" s="33">
        <f t="shared" ref="H13:H20" si="8">SUMIF(I$12:AB$12,"总值",I13:AB13)</f>
        <v>0</v>
      </c>
      <c r="I13" s="2652"/>
      <c r="J13" s="2652"/>
      <c r="K13" s="2652"/>
      <c r="L13" s="2652"/>
      <c r="M13" s="2652"/>
      <c r="N13" s="83"/>
      <c r="O13" s="83"/>
      <c r="P13" s="83"/>
      <c r="Q13" s="83"/>
      <c r="R13" s="83"/>
      <c r="S13" s="83"/>
      <c r="T13" s="83"/>
      <c r="U13" s="83"/>
      <c r="V13" s="83"/>
      <c r="W13" s="83"/>
      <c r="X13" s="83"/>
      <c r="Y13" s="83"/>
      <c r="Z13" s="83"/>
      <c r="AA13" s="83"/>
      <c r="AB13" s="83"/>
      <c r="AC13" s="27">
        <f t="shared" ref="AC13:AC20" si="9">SUMIF(AD$12:AS$12,"总值",AD13:AS13)</f>
        <v>0</v>
      </c>
      <c r="AD13" s="2656"/>
      <c r="AE13" s="2656"/>
      <c r="AF13" s="2656"/>
      <c r="AG13" s="2656"/>
      <c r="AH13" s="2656"/>
      <c r="AI13" s="2656"/>
      <c r="AJ13" s="2656"/>
      <c r="AK13" s="2656"/>
      <c r="AL13" s="2656"/>
      <c r="AM13" s="2656"/>
      <c r="AN13" s="2656"/>
      <c r="AO13" s="2656"/>
      <c r="AP13" s="2656"/>
      <c r="AQ13" s="2656"/>
      <c r="AR13" s="2656"/>
      <c r="AS13" s="2656"/>
      <c r="AT13" s="2657"/>
      <c r="AU13" s="2658"/>
      <c r="AV13" s="17">
        <f t="shared" ref="AV13:AX20" si="10">A13</f>
        <v>0</v>
      </c>
      <c r="AW13" s="17">
        <f t="shared" si="10"/>
        <v>0</v>
      </c>
      <c r="AX13" s="17">
        <f t="shared" si="10"/>
        <v>0</v>
      </c>
      <c r="AY13" s="967"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648"/>
      <c r="B14" s="2648"/>
      <c r="C14" s="2650"/>
      <c r="D14" s="2649"/>
      <c r="E14" s="27" t="e">
        <f t="shared" si="6"/>
        <v>#DIV/0!</v>
      </c>
      <c r="F14" s="81"/>
      <c r="G14" s="82">
        <f t="shared" si="7"/>
        <v>0</v>
      </c>
      <c r="H14" s="33">
        <f t="shared" si="8"/>
        <v>0</v>
      </c>
      <c r="I14" s="2652"/>
      <c r="J14" s="2652"/>
      <c r="K14" s="2652"/>
      <c r="L14" s="2652"/>
      <c r="M14" s="2652"/>
      <c r="N14" s="83"/>
      <c r="O14" s="83"/>
      <c r="P14" s="83"/>
      <c r="Q14" s="83"/>
      <c r="R14" s="83"/>
      <c r="S14" s="83"/>
      <c r="T14" s="83"/>
      <c r="U14" s="83"/>
      <c r="V14" s="83"/>
      <c r="W14" s="83"/>
      <c r="X14" s="83"/>
      <c r="Y14" s="83"/>
      <c r="Z14" s="83"/>
      <c r="AA14" s="83"/>
      <c r="AB14" s="83"/>
      <c r="AC14" s="27">
        <f t="shared" si="9"/>
        <v>0</v>
      </c>
      <c r="AD14" s="2656"/>
      <c r="AE14" s="2656"/>
      <c r="AF14" s="2656"/>
      <c r="AG14" s="2656"/>
      <c r="AH14" s="2656"/>
      <c r="AI14" s="2656"/>
      <c r="AJ14" s="2656"/>
      <c r="AK14" s="2656"/>
      <c r="AL14" s="2656"/>
      <c r="AM14" s="2656"/>
      <c r="AN14" s="2656"/>
      <c r="AO14" s="2656"/>
      <c r="AP14" s="2656"/>
      <c r="AQ14" s="2656"/>
      <c r="AR14" s="2656"/>
      <c r="AS14" s="2656"/>
      <c r="AT14" s="2657"/>
      <c r="AU14" s="2658"/>
      <c r="AV14" s="17">
        <f t="shared" si="10"/>
        <v>0</v>
      </c>
      <c r="AW14" s="17">
        <f t="shared" si="10"/>
        <v>0</v>
      </c>
      <c r="AX14" s="17">
        <f t="shared" si="10"/>
        <v>0</v>
      </c>
      <c r="AY14" s="967"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648"/>
      <c r="B15" s="2648"/>
      <c r="C15" s="2650"/>
      <c r="D15" s="2649"/>
      <c r="E15" s="27" t="e">
        <f t="shared" si="6"/>
        <v>#DIV/0!</v>
      </c>
      <c r="F15" s="81"/>
      <c r="G15" s="82">
        <f t="shared" si="7"/>
        <v>0</v>
      </c>
      <c r="H15" s="33">
        <f t="shared" si="8"/>
        <v>0</v>
      </c>
      <c r="I15" s="2652"/>
      <c r="J15" s="2652"/>
      <c r="K15" s="2652"/>
      <c r="L15" s="2652"/>
      <c r="M15" s="2652"/>
      <c r="N15" s="83"/>
      <c r="O15" s="83"/>
      <c r="P15" s="83"/>
      <c r="Q15" s="83"/>
      <c r="R15" s="83"/>
      <c r="S15" s="83"/>
      <c r="T15" s="83"/>
      <c r="U15" s="83"/>
      <c r="V15" s="83"/>
      <c r="W15" s="83"/>
      <c r="X15" s="83"/>
      <c r="Y15" s="83"/>
      <c r="Z15" s="83"/>
      <c r="AA15" s="83"/>
      <c r="AB15" s="83"/>
      <c r="AC15" s="27">
        <f t="shared" si="9"/>
        <v>0</v>
      </c>
      <c r="AD15" s="2656"/>
      <c r="AE15" s="2656"/>
      <c r="AF15" s="2656"/>
      <c r="AG15" s="2656"/>
      <c r="AH15" s="2656"/>
      <c r="AI15" s="2656"/>
      <c r="AJ15" s="2656"/>
      <c r="AK15" s="2656"/>
      <c r="AL15" s="2656"/>
      <c r="AM15" s="2656"/>
      <c r="AN15" s="2656"/>
      <c r="AO15" s="2656"/>
      <c r="AP15" s="2656"/>
      <c r="AQ15" s="2656"/>
      <c r="AR15" s="2656"/>
      <c r="AS15" s="2656"/>
      <c r="AT15" s="2657"/>
      <c r="AU15" s="2658"/>
      <c r="AV15" s="17">
        <f t="shared" si="10"/>
        <v>0</v>
      </c>
      <c r="AW15" s="17">
        <f t="shared" si="10"/>
        <v>0</v>
      </c>
      <c r="AX15" s="17">
        <f t="shared" si="10"/>
        <v>0</v>
      </c>
      <c r="AY15" s="967"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648"/>
      <c r="B16" s="2648"/>
      <c r="C16" s="2650"/>
      <c r="D16" s="2649"/>
      <c r="E16" s="27" t="e">
        <f t="shared" si="6"/>
        <v>#DIV/0!</v>
      </c>
      <c r="F16" s="81"/>
      <c r="G16" s="82">
        <f t="shared" si="7"/>
        <v>0</v>
      </c>
      <c r="H16" s="33">
        <f t="shared" si="8"/>
        <v>0</v>
      </c>
      <c r="I16" s="2652"/>
      <c r="J16" s="2652"/>
      <c r="K16" s="2652"/>
      <c r="L16" s="2652"/>
      <c r="M16" s="2652"/>
      <c r="N16" s="83"/>
      <c r="O16" s="83"/>
      <c r="P16" s="83"/>
      <c r="Q16" s="83"/>
      <c r="R16" s="83"/>
      <c r="S16" s="83"/>
      <c r="T16" s="83"/>
      <c r="U16" s="83"/>
      <c r="V16" s="83"/>
      <c r="W16" s="83"/>
      <c r="X16" s="83"/>
      <c r="Y16" s="83"/>
      <c r="Z16" s="83"/>
      <c r="AA16" s="83"/>
      <c r="AB16" s="83"/>
      <c r="AC16" s="27">
        <f t="shared" si="9"/>
        <v>0</v>
      </c>
      <c r="AD16" s="2656"/>
      <c r="AE16" s="2656"/>
      <c r="AF16" s="2656"/>
      <c r="AG16" s="2656"/>
      <c r="AH16" s="2656"/>
      <c r="AI16" s="2656"/>
      <c r="AJ16" s="2656"/>
      <c r="AK16" s="2656"/>
      <c r="AL16" s="2656"/>
      <c r="AM16" s="2656"/>
      <c r="AN16" s="2656"/>
      <c r="AO16" s="2656"/>
      <c r="AP16" s="2656"/>
      <c r="AQ16" s="2656"/>
      <c r="AR16" s="2656"/>
      <c r="AS16" s="2656"/>
      <c r="AT16" s="2657"/>
      <c r="AU16" s="2658"/>
      <c r="AV16" s="17">
        <f t="shared" si="10"/>
        <v>0</v>
      </c>
      <c r="AW16" s="17">
        <f t="shared" si="10"/>
        <v>0</v>
      </c>
      <c r="AX16" s="17">
        <f t="shared" si="10"/>
        <v>0</v>
      </c>
      <c r="AY16" s="967"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648"/>
      <c r="B17" s="2648"/>
      <c r="C17" s="2650"/>
      <c r="D17" s="2649"/>
      <c r="E17" s="27" t="e">
        <f t="shared" si="6"/>
        <v>#DIV/0!</v>
      </c>
      <c r="F17" s="81"/>
      <c r="G17" s="82">
        <f t="shared" si="7"/>
        <v>0</v>
      </c>
      <c r="H17" s="33">
        <f t="shared" si="8"/>
        <v>0</v>
      </c>
      <c r="I17" s="2652"/>
      <c r="J17" s="2652"/>
      <c r="K17" s="2652"/>
      <c r="L17" s="2652"/>
      <c r="M17" s="2652"/>
      <c r="N17" s="83"/>
      <c r="O17" s="83"/>
      <c r="P17" s="83"/>
      <c r="Q17" s="83"/>
      <c r="R17" s="83"/>
      <c r="S17" s="83"/>
      <c r="T17" s="83"/>
      <c r="U17" s="83"/>
      <c r="V17" s="83"/>
      <c r="W17" s="83"/>
      <c r="X17" s="83"/>
      <c r="Y17" s="83"/>
      <c r="Z17" s="83"/>
      <c r="AA17" s="83"/>
      <c r="AB17" s="83"/>
      <c r="AC17" s="27">
        <f t="shared" si="9"/>
        <v>0</v>
      </c>
      <c r="AD17" s="2656"/>
      <c r="AE17" s="2656"/>
      <c r="AF17" s="2656"/>
      <c r="AG17" s="2656"/>
      <c r="AH17" s="2656"/>
      <c r="AI17" s="2656"/>
      <c r="AJ17" s="2656"/>
      <c r="AK17" s="2656"/>
      <c r="AL17" s="2656"/>
      <c r="AM17" s="2656"/>
      <c r="AN17" s="2656"/>
      <c r="AO17" s="2656"/>
      <c r="AP17" s="2656"/>
      <c r="AQ17" s="2656"/>
      <c r="AR17" s="2656"/>
      <c r="AS17" s="2656"/>
      <c r="AT17" s="2657"/>
      <c r="AU17" s="2658"/>
      <c r="AV17" s="17">
        <f t="shared" si="10"/>
        <v>0</v>
      </c>
      <c r="AW17" s="17">
        <f t="shared" si="10"/>
        <v>0</v>
      </c>
      <c r="AX17" s="17">
        <f t="shared" si="10"/>
        <v>0</v>
      </c>
      <c r="AY17" s="967"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651"/>
      <c r="E18" s="87" t="e">
        <f t="shared" si="6"/>
        <v>#DIV/0!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03"/>
      <c r="C19" s="1299"/>
      <c r="D19" s="80"/>
      <c r="E19" s="87" t="e">
        <f t="shared" si="6"/>
        <v>#DIV/0!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03"/>
      <c r="C20" s="1299"/>
      <c r="D20" s="80"/>
      <c r="E20" s="87" t="e">
        <f t="shared" si="6"/>
        <v>#DIV/0!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298"/>
      <c r="C21" s="1299"/>
      <c r="D21" s="80"/>
      <c r="E21" s="87" t="e">
        <f t="shared" ref="E21:E112" si="33">IF($C$3="是",ROUND($A$3*G21/$B$3,2),ROUND($A$3*(G21-AT21)/$B$3,2))</f>
        <v>#DIV/0!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7">
        <f t="shared" ref="AV21:AV112" si="37">A21</f>
        <v>0</v>
      </c>
      <c r="AW21" s="1847">
        <f t="shared" ref="AW21:AW112" si="38">B21</f>
        <v>0</v>
      </c>
      <c r="AX21" s="1847">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298"/>
      <c r="C22" s="1299"/>
      <c r="D22" s="80"/>
      <c r="E22" s="87" t="e">
        <f t="shared" si="33"/>
        <v>#DIV/0!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7">
        <f t="shared" si="37"/>
        <v>0</v>
      </c>
      <c r="AW22" s="1847">
        <f t="shared" si="38"/>
        <v>0</v>
      </c>
      <c r="AX22" s="1847">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298"/>
      <c r="C23" s="1299"/>
      <c r="D23" s="80"/>
      <c r="E23" s="87" t="e">
        <f t="shared" si="33"/>
        <v>#DIV/0!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7">
        <f t="shared" si="37"/>
        <v>0</v>
      </c>
      <c r="AW23" s="1847">
        <f t="shared" si="38"/>
        <v>0</v>
      </c>
      <c r="AX23" s="1847">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298"/>
      <c r="C24" s="1299"/>
      <c r="D24" s="80"/>
      <c r="E24" s="87" t="e">
        <f t="shared" si="33"/>
        <v>#DIV/0!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7">
        <f t="shared" si="37"/>
        <v>0</v>
      </c>
      <c r="AW24" s="1847">
        <f t="shared" si="38"/>
        <v>0</v>
      </c>
      <c r="AX24" s="1847">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298"/>
      <c r="C25" s="1299"/>
      <c r="D25" s="80"/>
      <c r="E25" s="87" t="e">
        <f t="shared" si="33"/>
        <v>#DIV/0!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7">
        <f t="shared" si="37"/>
        <v>0</v>
      </c>
      <c r="AW25" s="1847">
        <f t="shared" si="38"/>
        <v>0</v>
      </c>
      <c r="AX25" s="1847">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298"/>
      <c r="C26" s="1299"/>
      <c r="D26" s="80"/>
      <c r="E26" s="87" t="e">
        <f t="shared" si="33"/>
        <v>#DIV/0!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298"/>
      <c r="C27" s="1299"/>
      <c r="D27" s="80"/>
      <c r="E27" s="87" t="e">
        <f t="shared" si="33"/>
        <v>#DIV/0!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298"/>
      <c r="C28" s="1299"/>
      <c r="D28" s="80"/>
      <c r="E28" s="87" t="e">
        <f t="shared" si="33"/>
        <v>#DIV/0!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00"/>
      <c r="C29" s="1301"/>
      <c r="D29" s="80"/>
      <c r="E29" s="87" t="e">
        <f t="shared" si="33"/>
        <v>#DIV/0!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298"/>
      <c r="C30" s="1299"/>
      <c r="D30" s="80"/>
      <c r="E30" s="87" t="e">
        <f t="shared" si="33"/>
        <v>#DIV/0!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298"/>
      <c r="C31" s="1299"/>
      <c r="D31" s="80"/>
      <c r="E31" s="87" t="e">
        <f t="shared" si="33"/>
        <v>#DIV/0!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298"/>
      <c r="C32" s="1299"/>
      <c r="D32" s="80"/>
      <c r="E32" s="87" t="e">
        <f t="shared" si="33"/>
        <v>#DIV/0!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298"/>
      <c r="C33" s="1299"/>
      <c r="D33" s="80"/>
      <c r="E33" s="87" t="e">
        <f t="shared" si="33"/>
        <v>#DIV/0!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298"/>
      <c r="C34" s="1299"/>
      <c r="D34" s="80"/>
      <c r="E34" s="87" t="e">
        <f t="shared" si="33"/>
        <v>#DIV/0!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298"/>
      <c r="C35" s="1299"/>
      <c r="D35" s="80"/>
      <c r="E35" s="87" t="e">
        <f t="shared" si="33"/>
        <v>#DIV/0!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298"/>
      <c r="C36" s="1299"/>
      <c r="D36" s="80"/>
      <c r="E36" s="87" t="e">
        <f t="shared" si="33"/>
        <v>#DIV/0!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298"/>
      <c r="C37" s="1299"/>
      <c r="D37" s="80"/>
      <c r="E37" s="87" t="e">
        <f t="shared" si="33"/>
        <v>#DIV/0!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298"/>
      <c r="C38" s="1299"/>
      <c r="D38" s="80"/>
      <c r="E38" s="87" t="e">
        <f t="shared" si="33"/>
        <v>#DIV/0!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298"/>
      <c r="C39" s="1299"/>
      <c r="D39" s="80"/>
      <c r="E39" s="87" t="e">
        <f t="shared" si="33"/>
        <v>#DIV/0!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298"/>
      <c r="C40" s="1299"/>
      <c r="D40" s="80"/>
      <c r="E40" s="87" t="e">
        <f t="shared" si="33"/>
        <v>#DIV/0!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298"/>
      <c r="C41" s="1299"/>
      <c r="D41" s="80"/>
      <c r="E41" s="87" t="e">
        <f t="shared" si="33"/>
        <v>#DIV/0!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298"/>
      <c r="C42" s="1299"/>
      <c r="D42" s="80"/>
      <c r="E42" s="87" t="e">
        <f t="shared" si="33"/>
        <v>#DIV/0!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298"/>
      <c r="C43" s="1299"/>
      <c r="D43" s="80"/>
      <c r="E43" s="87" t="e">
        <f t="shared" si="33"/>
        <v>#DIV/0!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298"/>
      <c r="C44" s="1299"/>
      <c r="D44" s="80"/>
      <c r="E44" s="87" t="e">
        <f t="shared" si="33"/>
        <v>#DIV/0!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298"/>
      <c r="C45" s="1299"/>
      <c r="D45" s="80"/>
      <c r="E45" s="87" t="e">
        <f t="shared" si="33"/>
        <v>#DIV/0!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298"/>
      <c r="C46" s="1299"/>
      <c r="D46" s="80"/>
      <c r="E46" s="87" t="e">
        <f t="shared" si="33"/>
        <v>#DIV/0!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298"/>
      <c r="C47" s="1299"/>
      <c r="D47" s="80"/>
      <c r="E47" s="87" t="e">
        <f t="shared" si="33"/>
        <v>#DIV/0!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298"/>
      <c r="C48" s="1299"/>
      <c r="D48" s="80"/>
      <c r="E48" s="87" t="e">
        <f t="shared" si="33"/>
        <v>#DIV/0!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298"/>
      <c r="C49" s="1299"/>
      <c r="D49" s="80"/>
      <c r="E49" s="87" t="e">
        <f t="shared" si="33"/>
        <v>#DIV/0!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298"/>
      <c r="C50" s="1299"/>
      <c r="D50" s="80"/>
      <c r="E50" s="87" t="e">
        <f t="shared" si="33"/>
        <v>#DIV/0!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298"/>
      <c r="C51" s="1299"/>
      <c r="D51" s="80"/>
      <c r="E51" s="87" t="e">
        <f t="shared" si="33"/>
        <v>#DIV/0!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298"/>
      <c r="C52" s="1299"/>
      <c r="D52" s="80"/>
      <c r="E52" s="87" t="e">
        <f t="shared" si="33"/>
        <v>#DIV/0!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298"/>
      <c r="C53" s="1299"/>
      <c r="D53" s="80"/>
      <c r="E53" s="87" t="e">
        <f t="shared" si="33"/>
        <v>#DIV/0!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298"/>
      <c r="C54" s="1299"/>
      <c r="D54" s="80"/>
      <c r="E54" s="87" t="e">
        <f t="shared" si="33"/>
        <v>#DIV/0!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00"/>
      <c r="C55" s="1301"/>
      <c r="D55" s="80"/>
      <c r="E55" s="87" t="e">
        <f t="shared" si="33"/>
        <v>#DIV/0!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298"/>
      <c r="C113" s="1299"/>
      <c r="D113" s="80"/>
      <c r="E113" s="87" t="e">
        <f t="shared" ref="E113:E144" si="87">IF($C$3="是",ROUND($A$3*G113/$B$3,2),ROUND($A$3*(G113-AT113)/$B$3,2))</f>
        <v>#DIV/0!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298"/>
      <c r="C114" s="1299"/>
      <c r="D114" s="80"/>
      <c r="E114" s="87" t="e">
        <f t="shared" si="87"/>
        <v>#DIV/0!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298"/>
      <c r="C115" s="1299"/>
      <c r="D115" s="80"/>
      <c r="E115" s="87" t="e">
        <f t="shared" si="87"/>
        <v>#DIV/0!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298"/>
      <c r="C116" s="1299"/>
      <c r="D116" s="80"/>
      <c r="E116" s="87" t="e">
        <f t="shared" si="87"/>
        <v>#DIV/0!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298"/>
      <c r="C117" s="1299"/>
      <c r="D117" s="80"/>
      <c r="E117" s="87" t="e">
        <f t="shared" si="87"/>
        <v>#DIV/0!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298"/>
      <c r="C118" s="1299"/>
      <c r="D118" s="80"/>
      <c r="E118" s="87" t="e">
        <f t="shared" si="87"/>
        <v>#DIV/0!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298"/>
      <c r="C119" s="1299"/>
      <c r="D119" s="80"/>
      <c r="E119" s="87" t="e">
        <f t="shared" si="87"/>
        <v>#DIV/0!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298"/>
      <c r="C120" s="1299"/>
      <c r="D120" s="80"/>
      <c r="E120" s="87" t="e">
        <f t="shared" si="87"/>
        <v>#DIV/0!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00"/>
      <c r="C121" s="1301"/>
      <c r="D121" s="80"/>
      <c r="E121" s="87" t="e">
        <f t="shared" si="87"/>
        <v>#DIV/0!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298"/>
      <c r="C122" s="1299"/>
      <c r="D122" s="80"/>
      <c r="E122" s="87" t="e">
        <f t="shared" si="87"/>
        <v>#DIV/0!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298"/>
      <c r="C123" s="1299"/>
      <c r="D123" s="80"/>
      <c r="E123" s="87" t="e">
        <f t="shared" si="87"/>
        <v>#DIV/0!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298"/>
      <c r="C124" s="1299"/>
      <c r="D124" s="80"/>
      <c r="E124" s="87" t="e">
        <f t="shared" si="87"/>
        <v>#DIV/0!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298"/>
      <c r="C125" s="1299"/>
      <c r="D125" s="80"/>
      <c r="E125" s="87" t="e">
        <f t="shared" si="87"/>
        <v>#DIV/0!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298"/>
      <c r="C126" s="1299"/>
      <c r="D126" s="80"/>
      <c r="E126" s="87" t="e">
        <f t="shared" si="87"/>
        <v>#DIV/0!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298"/>
      <c r="C127" s="1299"/>
      <c r="D127" s="80"/>
      <c r="E127" s="87" t="e">
        <f t="shared" si="87"/>
        <v>#DIV/0!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298"/>
      <c r="C128" s="1299"/>
      <c r="D128" s="80"/>
      <c r="E128" s="87" t="e">
        <f t="shared" si="87"/>
        <v>#DIV/0!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298"/>
      <c r="C129" s="1299"/>
      <c r="D129" s="80"/>
      <c r="E129" s="87" t="e">
        <f t="shared" si="87"/>
        <v>#DIV/0!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298"/>
      <c r="C130" s="1299"/>
      <c r="D130" s="80"/>
      <c r="E130" s="87" t="e">
        <f t="shared" si="87"/>
        <v>#DIV/0!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298"/>
      <c r="C131" s="1299"/>
      <c r="D131" s="80"/>
      <c r="E131" s="87" t="e">
        <f t="shared" si="87"/>
        <v>#DIV/0!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298"/>
      <c r="C132" s="1299"/>
      <c r="D132" s="80"/>
      <c r="E132" s="87" t="e">
        <f t="shared" si="87"/>
        <v>#DIV/0!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298"/>
      <c r="C133" s="1299"/>
      <c r="D133" s="80"/>
      <c r="E133" s="87" t="e">
        <f t="shared" si="87"/>
        <v>#DIV/0!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298"/>
      <c r="C134" s="1299"/>
      <c r="D134" s="80"/>
      <c r="E134" s="87" t="e">
        <f t="shared" si="87"/>
        <v>#DIV/0!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298"/>
      <c r="C135" s="1299"/>
      <c r="D135" s="80"/>
      <c r="E135" s="87" t="e">
        <f t="shared" si="87"/>
        <v>#DIV/0!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298"/>
      <c r="C136" s="1299"/>
      <c r="D136" s="80"/>
      <c r="E136" s="87" t="e">
        <f t="shared" si="87"/>
        <v>#DIV/0!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298"/>
      <c r="C137" s="1299"/>
      <c r="D137" s="80"/>
      <c r="E137" s="87" t="e">
        <f t="shared" si="87"/>
        <v>#DIV/0!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298"/>
      <c r="C138" s="1299"/>
      <c r="D138" s="80"/>
      <c r="E138" s="87" t="e">
        <f t="shared" si="87"/>
        <v>#DIV/0!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298"/>
      <c r="C139" s="1299"/>
      <c r="D139" s="80"/>
      <c r="E139" s="87" t="e">
        <f t="shared" si="87"/>
        <v>#DIV/0!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298"/>
      <c r="C140" s="1299"/>
      <c r="D140" s="80"/>
      <c r="E140" s="87" t="e">
        <f t="shared" si="87"/>
        <v>#DIV/0!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298"/>
      <c r="C141" s="1299"/>
      <c r="D141" s="80"/>
      <c r="E141" s="87" t="e">
        <f t="shared" si="87"/>
        <v>#DIV/0!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298"/>
      <c r="C142" s="1299"/>
      <c r="D142" s="80"/>
      <c r="E142" s="87" t="e">
        <f t="shared" si="87"/>
        <v>#DIV/0!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298"/>
      <c r="C143" s="1299"/>
      <c r="D143" s="80"/>
      <c r="E143" s="87" t="e">
        <f t="shared" si="87"/>
        <v>#DIV/0!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298"/>
      <c r="C144" s="1299"/>
      <c r="D144" s="80"/>
      <c r="E144" s="87" t="e">
        <f t="shared" si="87"/>
        <v>#DIV/0!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298"/>
      <c r="C145" s="1299"/>
      <c r="D145" s="80"/>
      <c r="E145" s="87" t="e">
        <f t="shared" ref="E145:E176" si="116">IF($C$3="是",ROUND($A$3*G145/$B$3,2),ROUND($A$3*(G145-AT145)/$B$3,2))</f>
        <v>#DIV/0!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298"/>
      <c r="C146" s="1299"/>
      <c r="D146" s="80"/>
      <c r="E146" s="87" t="e">
        <f t="shared" si="116"/>
        <v>#DIV/0!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00"/>
      <c r="C147" s="1301"/>
      <c r="D147" s="80"/>
      <c r="E147" s="87" t="e">
        <f t="shared" si="116"/>
        <v>#DIV/0!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298"/>
      <c r="C205" s="1299"/>
      <c r="D205" s="80"/>
      <c r="E205" s="87" t="e">
        <f t="shared" ref="E205:E296" si="149">IF($C$3="是",ROUND($A$3*G205/$B$3,2),ROUND($A$3*(G205-AT205)/$B$3,2))</f>
        <v>#DIV/0!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298"/>
      <c r="C206" s="1299"/>
      <c r="D206" s="80"/>
      <c r="E206" s="87" t="e">
        <f t="shared" si="149"/>
        <v>#DIV/0!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298"/>
      <c r="C207" s="1299"/>
      <c r="D207" s="80"/>
      <c r="E207" s="87" t="e">
        <f t="shared" si="149"/>
        <v>#DIV/0!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298"/>
      <c r="C208" s="1299"/>
      <c r="D208" s="80"/>
      <c r="E208" s="87" t="e">
        <f t="shared" si="149"/>
        <v>#DIV/0!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298"/>
      <c r="C209" s="1299"/>
      <c r="D209" s="80"/>
      <c r="E209" s="87" t="e">
        <f t="shared" si="149"/>
        <v>#DIV/0!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298"/>
      <c r="C210" s="1299"/>
      <c r="D210" s="80"/>
      <c r="E210" s="87" t="e">
        <f t="shared" si="149"/>
        <v>#DIV/0!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298"/>
      <c r="C211" s="1299"/>
      <c r="D211" s="80"/>
      <c r="E211" s="87" t="e">
        <f t="shared" si="149"/>
        <v>#DIV/0!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298"/>
      <c r="C212" s="1299"/>
      <c r="D212" s="80"/>
      <c r="E212" s="87" t="e">
        <f t="shared" si="149"/>
        <v>#DIV/0!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00"/>
      <c r="C213" s="1301"/>
      <c r="D213" s="80"/>
      <c r="E213" s="87" t="e">
        <f t="shared" si="149"/>
        <v>#DIV/0!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298"/>
      <c r="C214" s="1299"/>
      <c r="D214" s="80"/>
      <c r="E214" s="87" t="e">
        <f t="shared" si="149"/>
        <v>#DIV/0!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298"/>
      <c r="C215" s="1299"/>
      <c r="D215" s="80"/>
      <c r="E215" s="87" t="e">
        <f t="shared" si="149"/>
        <v>#DIV/0!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298"/>
      <c r="C216" s="1299"/>
      <c r="D216" s="80"/>
      <c r="E216" s="87" t="e">
        <f t="shared" si="149"/>
        <v>#DIV/0!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298"/>
      <c r="C217" s="1299"/>
      <c r="D217" s="80"/>
      <c r="E217" s="87" t="e">
        <f t="shared" si="149"/>
        <v>#DIV/0!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298"/>
      <c r="C218" s="1299"/>
      <c r="D218" s="80"/>
      <c r="E218" s="87" t="e">
        <f t="shared" si="149"/>
        <v>#DIV/0!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298"/>
      <c r="C219" s="1299"/>
      <c r="D219" s="80"/>
      <c r="E219" s="87" t="e">
        <f t="shared" si="149"/>
        <v>#DIV/0!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298"/>
      <c r="C220" s="1299"/>
      <c r="D220" s="80"/>
      <c r="E220" s="87" t="e">
        <f t="shared" si="149"/>
        <v>#DIV/0!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298"/>
      <c r="C221" s="1299"/>
      <c r="D221" s="80"/>
      <c r="E221" s="87" t="e">
        <f t="shared" si="149"/>
        <v>#DIV/0!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298"/>
      <c r="C222" s="1299"/>
      <c r="D222" s="80"/>
      <c r="E222" s="87" t="e">
        <f t="shared" si="149"/>
        <v>#DIV/0!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298"/>
      <c r="C223" s="1299"/>
      <c r="D223" s="80"/>
      <c r="E223" s="87" t="e">
        <f t="shared" si="149"/>
        <v>#DIV/0!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298"/>
      <c r="C224" s="1299"/>
      <c r="D224" s="80"/>
      <c r="E224" s="87" t="e">
        <f t="shared" si="149"/>
        <v>#DIV/0!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298"/>
      <c r="C225" s="1299"/>
      <c r="D225" s="80"/>
      <c r="E225" s="87" t="e">
        <f t="shared" si="149"/>
        <v>#DIV/0!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298"/>
      <c r="C226" s="1299"/>
      <c r="D226" s="80"/>
      <c r="E226" s="87" t="e">
        <f t="shared" si="149"/>
        <v>#DIV/0!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298"/>
      <c r="C227" s="1299"/>
      <c r="D227" s="80"/>
      <c r="E227" s="87" t="e">
        <f t="shared" si="149"/>
        <v>#DIV/0!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298"/>
      <c r="C228" s="1299"/>
      <c r="D228" s="80"/>
      <c r="E228" s="87" t="e">
        <f t="shared" si="149"/>
        <v>#DIV/0!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298"/>
      <c r="C229" s="1299"/>
      <c r="D229" s="80"/>
      <c r="E229" s="87" t="e">
        <f t="shared" si="149"/>
        <v>#DIV/0!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298"/>
      <c r="C230" s="1299"/>
      <c r="D230" s="80"/>
      <c r="E230" s="87" t="e">
        <f t="shared" si="149"/>
        <v>#DIV/0!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298"/>
      <c r="C231" s="1299"/>
      <c r="D231" s="80"/>
      <c r="E231" s="87" t="e">
        <f t="shared" si="149"/>
        <v>#DIV/0!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298"/>
      <c r="C232" s="1299"/>
      <c r="D232" s="80"/>
      <c r="E232" s="87" t="e">
        <f t="shared" si="149"/>
        <v>#DIV/0!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298"/>
      <c r="C233" s="1299"/>
      <c r="D233" s="80"/>
      <c r="E233" s="87" t="e">
        <f t="shared" si="149"/>
        <v>#DIV/0!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298"/>
      <c r="C234" s="1299"/>
      <c r="D234" s="80"/>
      <c r="E234" s="87" t="e">
        <f t="shared" si="149"/>
        <v>#DIV/0!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298"/>
      <c r="C235" s="1299"/>
      <c r="D235" s="80"/>
      <c r="E235" s="87" t="e">
        <f t="shared" si="149"/>
        <v>#DIV/0!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298"/>
      <c r="C236" s="1299"/>
      <c r="D236" s="80"/>
      <c r="E236" s="87" t="e">
        <f t="shared" si="149"/>
        <v>#DIV/0!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298"/>
      <c r="C237" s="1299"/>
      <c r="D237" s="80"/>
      <c r="E237" s="87" t="e">
        <f t="shared" si="149"/>
        <v>#DIV/0!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298"/>
      <c r="C238" s="1299"/>
      <c r="D238" s="80"/>
      <c r="E238" s="87" t="e">
        <f t="shared" si="149"/>
        <v>#DIV/0!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00"/>
      <c r="C239" s="1301"/>
      <c r="D239" s="80"/>
      <c r="E239" s="87" t="e">
        <f t="shared" si="149"/>
        <v>#DIV/0!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298"/>
      <c r="C297" s="1299"/>
      <c r="D297" s="80"/>
      <c r="E297" s="87" t="e">
        <f t="shared" ref="E297:E328" si="203">IF($C$3="是",ROUND($A$3*G297/$B$3,2),ROUND($A$3*(G297-AT297)/$B$3,2))</f>
        <v>#DIV/0!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298"/>
      <c r="C298" s="1299"/>
      <c r="D298" s="80"/>
      <c r="E298" s="87" t="e">
        <f t="shared" si="203"/>
        <v>#DIV/0!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298"/>
      <c r="C299" s="1299"/>
      <c r="D299" s="80"/>
      <c r="E299" s="87" t="e">
        <f t="shared" si="203"/>
        <v>#DIV/0!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298"/>
      <c r="C300" s="1299"/>
      <c r="D300" s="80"/>
      <c r="E300" s="87" t="e">
        <f t="shared" si="203"/>
        <v>#DIV/0!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298"/>
      <c r="C301" s="1299"/>
      <c r="D301" s="80"/>
      <c r="E301" s="87" t="e">
        <f t="shared" si="203"/>
        <v>#DIV/0!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298"/>
      <c r="C302" s="1299"/>
      <c r="D302" s="80"/>
      <c r="E302" s="87" t="e">
        <f t="shared" si="203"/>
        <v>#DIV/0!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298"/>
      <c r="C303" s="1299"/>
      <c r="D303" s="80"/>
      <c r="E303" s="87" t="e">
        <f t="shared" si="203"/>
        <v>#DIV/0!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298"/>
      <c r="C304" s="1299"/>
      <c r="D304" s="80"/>
      <c r="E304" s="87" t="e">
        <f t="shared" si="203"/>
        <v>#DIV/0!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00"/>
      <c r="C305" s="1301"/>
      <c r="D305" s="80"/>
      <c r="E305" s="87" t="e">
        <f t="shared" si="203"/>
        <v>#DIV/0!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298"/>
      <c r="C306" s="1299"/>
      <c r="D306" s="80"/>
      <c r="E306" s="87" t="e">
        <f t="shared" si="203"/>
        <v>#DIV/0!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298"/>
      <c r="C307" s="1299"/>
      <c r="D307" s="80"/>
      <c r="E307" s="87" t="e">
        <f t="shared" si="203"/>
        <v>#DIV/0!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298"/>
      <c r="C308" s="1299"/>
      <c r="D308" s="80"/>
      <c r="E308" s="87" t="e">
        <f t="shared" si="203"/>
        <v>#DIV/0!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298"/>
      <c r="C309" s="1299"/>
      <c r="D309" s="80"/>
      <c r="E309" s="87" t="e">
        <f t="shared" si="203"/>
        <v>#DIV/0!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298"/>
      <c r="C310" s="1299"/>
      <c r="D310" s="80"/>
      <c r="E310" s="87" t="e">
        <f t="shared" si="203"/>
        <v>#DIV/0!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298"/>
      <c r="C311" s="1299"/>
      <c r="D311" s="80"/>
      <c r="E311" s="87" t="e">
        <f t="shared" si="203"/>
        <v>#DIV/0!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298"/>
      <c r="C312" s="1299"/>
      <c r="D312" s="80"/>
      <c r="E312" s="87" t="e">
        <f t="shared" si="203"/>
        <v>#DIV/0!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298"/>
      <c r="C313" s="1299"/>
      <c r="D313" s="80"/>
      <c r="E313" s="87" t="e">
        <f t="shared" si="203"/>
        <v>#DIV/0!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298"/>
      <c r="C314" s="1299"/>
      <c r="D314" s="80"/>
      <c r="E314" s="87" t="e">
        <f t="shared" si="203"/>
        <v>#DIV/0!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298"/>
      <c r="C315" s="1299"/>
      <c r="D315" s="80"/>
      <c r="E315" s="87" t="e">
        <f t="shared" si="203"/>
        <v>#DIV/0!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298"/>
      <c r="C316" s="1299"/>
      <c r="D316" s="80"/>
      <c r="E316" s="87" t="e">
        <f t="shared" si="203"/>
        <v>#DIV/0!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298"/>
      <c r="C317" s="1299"/>
      <c r="D317" s="80"/>
      <c r="E317" s="87" t="e">
        <f t="shared" si="203"/>
        <v>#DIV/0!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298"/>
      <c r="C318" s="1299"/>
      <c r="D318" s="80"/>
      <c r="E318" s="87" t="e">
        <f t="shared" si="203"/>
        <v>#DIV/0!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298"/>
      <c r="C319" s="1299"/>
      <c r="D319" s="80"/>
      <c r="E319" s="87" t="e">
        <f t="shared" si="203"/>
        <v>#DIV/0!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298"/>
      <c r="C320" s="1299"/>
      <c r="D320" s="80"/>
      <c r="E320" s="87" t="e">
        <f t="shared" si="203"/>
        <v>#DIV/0!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298"/>
      <c r="C321" s="1299"/>
      <c r="D321" s="80"/>
      <c r="E321" s="87" t="e">
        <f t="shared" si="203"/>
        <v>#DIV/0!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298"/>
      <c r="C322" s="1299"/>
      <c r="D322" s="80"/>
      <c r="E322" s="87" t="e">
        <f t="shared" si="203"/>
        <v>#DIV/0!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298"/>
      <c r="C323" s="1299"/>
      <c r="D323" s="80"/>
      <c r="E323" s="87" t="e">
        <f t="shared" si="203"/>
        <v>#DIV/0!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298"/>
      <c r="C324" s="1299"/>
      <c r="D324" s="80"/>
      <c r="E324" s="87" t="e">
        <f t="shared" si="203"/>
        <v>#DIV/0!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298"/>
      <c r="C325" s="1299"/>
      <c r="D325" s="80"/>
      <c r="E325" s="87" t="e">
        <f t="shared" si="203"/>
        <v>#DIV/0!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298"/>
      <c r="C326" s="1299"/>
      <c r="D326" s="80"/>
      <c r="E326" s="87" t="e">
        <f t="shared" si="203"/>
        <v>#DIV/0!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298"/>
      <c r="C327" s="1299"/>
      <c r="D327" s="80"/>
      <c r="E327" s="87" t="e">
        <f t="shared" si="203"/>
        <v>#DIV/0!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298"/>
      <c r="C328" s="1299"/>
      <c r="D328" s="80"/>
      <c r="E328" s="87" t="e">
        <f t="shared" si="203"/>
        <v>#DIV/0!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298"/>
      <c r="C329" s="1299"/>
      <c r="D329" s="80"/>
      <c r="E329" s="87" t="e">
        <f t="shared" ref="E329:E360" si="232">IF($C$3="是",ROUND($A$3*G329/$B$3,2),ROUND($A$3*(G329-AT329)/$B$3,2))</f>
        <v>#DIV/0!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298"/>
      <c r="C330" s="1299"/>
      <c r="D330" s="80"/>
      <c r="E330" s="87" t="e">
        <f t="shared" si="232"/>
        <v>#DIV/0!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00"/>
      <c r="C331" s="1301"/>
      <c r="D331" s="80"/>
      <c r="E331" s="87" t="e">
        <f t="shared" si="232"/>
        <v>#DIV/0!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298"/>
      <c r="C389" s="1299"/>
      <c r="D389" s="80"/>
      <c r="E389" s="87" t="e">
        <f t="shared" ref="E389:E480" si="265">IF($C$3="是",ROUND($A$3*G389/$B$3,2),ROUND($A$3*(G389-AT389)/$B$3,2))</f>
        <v>#DIV/0!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298"/>
      <c r="C390" s="1299"/>
      <c r="D390" s="80"/>
      <c r="E390" s="87" t="e">
        <f t="shared" si="265"/>
        <v>#DIV/0!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298"/>
      <c r="C391" s="1299"/>
      <c r="D391" s="80"/>
      <c r="E391" s="87" t="e">
        <f t="shared" si="265"/>
        <v>#DIV/0!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298"/>
      <c r="C392" s="1299"/>
      <c r="D392" s="80"/>
      <c r="E392" s="87" t="e">
        <f t="shared" si="265"/>
        <v>#DIV/0!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298"/>
      <c r="C393" s="1299"/>
      <c r="D393" s="80"/>
      <c r="E393" s="87" t="e">
        <f t="shared" si="265"/>
        <v>#DIV/0!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298"/>
      <c r="C394" s="1299"/>
      <c r="D394" s="80"/>
      <c r="E394" s="87" t="e">
        <f t="shared" si="265"/>
        <v>#DIV/0!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298"/>
      <c r="C395" s="1299"/>
      <c r="D395" s="80"/>
      <c r="E395" s="87" t="e">
        <f t="shared" si="265"/>
        <v>#DIV/0!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298"/>
      <c r="C396" s="1299"/>
      <c r="D396" s="80"/>
      <c r="E396" s="87" t="e">
        <f t="shared" si="265"/>
        <v>#DIV/0!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00"/>
      <c r="C397" s="1301"/>
      <c r="D397" s="80"/>
      <c r="E397" s="87" t="e">
        <f t="shared" si="265"/>
        <v>#DIV/0!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298"/>
      <c r="C398" s="1299"/>
      <c r="D398" s="80"/>
      <c r="E398" s="87" t="e">
        <f t="shared" si="265"/>
        <v>#DIV/0!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298"/>
      <c r="C399" s="1299"/>
      <c r="D399" s="80"/>
      <c r="E399" s="87" t="e">
        <f t="shared" si="265"/>
        <v>#DIV/0!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298"/>
      <c r="C400" s="1299"/>
      <c r="D400" s="80"/>
      <c r="E400" s="87" t="e">
        <f t="shared" si="265"/>
        <v>#DIV/0!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298"/>
      <c r="C401" s="1299"/>
      <c r="D401" s="80"/>
      <c r="E401" s="87" t="e">
        <f t="shared" si="265"/>
        <v>#DIV/0!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298"/>
      <c r="C402" s="1299"/>
      <c r="D402" s="80"/>
      <c r="E402" s="87" t="e">
        <f t="shared" si="265"/>
        <v>#DIV/0!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298"/>
      <c r="C403" s="1299"/>
      <c r="D403" s="80"/>
      <c r="E403" s="87" t="e">
        <f t="shared" si="265"/>
        <v>#DIV/0!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298"/>
      <c r="C404" s="1299"/>
      <c r="D404" s="80"/>
      <c r="E404" s="87" t="e">
        <f t="shared" si="265"/>
        <v>#DIV/0!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298"/>
      <c r="C405" s="1299"/>
      <c r="D405" s="80"/>
      <c r="E405" s="87" t="e">
        <f t="shared" si="265"/>
        <v>#DIV/0!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298"/>
      <c r="C406" s="1299"/>
      <c r="D406" s="80"/>
      <c r="E406" s="87" t="e">
        <f t="shared" si="265"/>
        <v>#DIV/0!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298"/>
      <c r="C407" s="1299"/>
      <c r="D407" s="80"/>
      <c r="E407" s="87" t="e">
        <f t="shared" si="265"/>
        <v>#DIV/0!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298"/>
      <c r="C408" s="1299"/>
      <c r="D408" s="80"/>
      <c r="E408" s="87" t="e">
        <f t="shared" si="265"/>
        <v>#DIV/0!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298"/>
      <c r="C409" s="1299"/>
      <c r="D409" s="80"/>
      <c r="E409" s="87" t="e">
        <f t="shared" si="265"/>
        <v>#DIV/0!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298"/>
      <c r="C410" s="1299"/>
      <c r="D410" s="80"/>
      <c r="E410" s="87" t="e">
        <f t="shared" si="265"/>
        <v>#DIV/0!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298"/>
      <c r="C411" s="1299"/>
      <c r="D411" s="80"/>
      <c r="E411" s="87" t="e">
        <f t="shared" si="265"/>
        <v>#DIV/0!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298"/>
      <c r="C412" s="1299"/>
      <c r="D412" s="80"/>
      <c r="E412" s="87" t="e">
        <f t="shared" si="265"/>
        <v>#DIV/0!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298"/>
      <c r="C413" s="1299"/>
      <c r="D413" s="80"/>
      <c r="E413" s="87" t="e">
        <f t="shared" si="265"/>
        <v>#DIV/0!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298"/>
      <c r="C414" s="1299"/>
      <c r="D414" s="80"/>
      <c r="E414" s="87" t="e">
        <f t="shared" si="265"/>
        <v>#DIV/0!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298"/>
      <c r="C415" s="1299"/>
      <c r="D415" s="80"/>
      <c r="E415" s="87" t="e">
        <f t="shared" si="265"/>
        <v>#DIV/0!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298"/>
      <c r="C416" s="1299"/>
      <c r="D416" s="80"/>
      <c r="E416" s="87" t="e">
        <f t="shared" si="265"/>
        <v>#DIV/0!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298"/>
      <c r="C417" s="1299"/>
      <c r="D417" s="80"/>
      <c r="E417" s="87" t="e">
        <f t="shared" si="265"/>
        <v>#DIV/0!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298"/>
      <c r="C418" s="1299"/>
      <c r="D418" s="80"/>
      <c r="E418" s="87" t="e">
        <f t="shared" si="265"/>
        <v>#DIV/0!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298"/>
      <c r="C419" s="1299"/>
      <c r="D419" s="80"/>
      <c r="E419" s="87" t="e">
        <f t="shared" si="265"/>
        <v>#DIV/0!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298"/>
      <c r="C420" s="1299"/>
      <c r="D420" s="80"/>
      <c r="E420" s="87" t="e">
        <f t="shared" si="265"/>
        <v>#DIV/0!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298"/>
      <c r="C421" s="1299"/>
      <c r="D421" s="80"/>
      <c r="E421" s="87" t="e">
        <f t="shared" si="265"/>
        <v>#DIV/0!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298"/>
      <c r="C422" s="1299"/>
      <c r="D422" s="80"/>
      <c r="E422" s="87" t="e">
        <f t="shared" si="265"/>
        <v>#DIV/0!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00"/>
      <c r="C423" s="1301"/>
      <c r="D423" s="80"/>
      <c r="E423" s="87" t="e">
        <f t="shared" si="265"/>
        <v>#DIV/0!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298"/>
      <c r="C481" s="1299"/>
      <c r="D481" s="80"/>
      <c r="E481" s="87" t="e">
        <f t="shared" ref="E481:E504" si="319">IF($C$3="是",ROUND($A$3*G481/$B$3,2),ROUND($A$3*(G481-AT481)/$B$3,2))</f>
        <v>#DIV/0!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298"/>
      <c r="C482" s="1299"/>
      <c r="D482" s="80"/>
      <c r="E482" s="87" t="e">
        <f t="shared" si="319"/>
        <v>#DIV/0!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298"/>
      <c r="C483" s="1299"/>
      <c r="D483" s="80"/>
      <c r="E483" s="87" t="e">
        <f t="shared" si="319"/>
        <v>#DIV/0!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298"/>
      <c r="C484" s="1299"/>
      <c r="D484" s="80"/>
      <c r="E484" s="87" t="e">
        <f t="shared" si="319"/>
        <v>#DIV/0!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298"/>
      <c r="C485" s="1299"/>
      <c r="D485" s="80"/>
      <c r="E485" s="87" t="e">
        <f t="shared" si="319"/>
        <v>#DIV/0!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298"/>
      <c r="C486" s="1299"/>
      <c r="D486" s="80"/>
      <c r="E486" s="87" t="e">
        <f t="shared" si="319"/>
        <v>#DIV/0!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298"/>
      <c r="C487" s="1299"/>
      <c r="D487" s="80"/>
      <c r="E487" s="87" t="e">
        <f t="shared" si="319"/>
        <v>#DIV/0!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298"/>
      <c r="C488" s="1299"/>
      <c r="D488" s="80"/>
      <c r="E488" s="87" t="e">
        <f t="shared" si="319"/>
        <v>#DIV/0!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00"/>
      <c r="C489" s="1301"/>
      <c r="D489" s="80"/>
      <c r="E489" s="87" t="e">
        <f t="shared" si="319"/>
        <v>#DIV/0!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298"/>
      <c r="C490" s="1299"/>
      <c r="D490" s="80"/>
      <c r="E490" s="87" t="e">
        <f t="shared" si="319"/>
        <v>#DIV/0!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298"/>
      <c r="C491" s="1299"/>
      <c r="D491" s="80"/>
      <c r="E491" s="87" t="e">
        <f t="shared" si="319"/>
        <v>#DIV/0!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298"/>
      <c r="C492" s="1299"/>
      <c r="D492" s="80"/>
      <c r="E492" s="87" t="e">
        <f t="shared" si="319"/>
        <v>#DIV/0!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298"/>
      <c r="C493" s="1299"/>
      <c r="D493" s="80"/>
      <c r="E493" s="87" t="e">
        <f t="shared" si="319"/>
        <v>#DIV/0!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298"/>
      <c r="C494" s="1299"/>
      <c r="D494" s="80"/>
      <c r="E494" s="87" t="e">
        <f t="shared" si="319"/>
        <v>#DIV/0!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298"/>
      <c r="C495" s="1299"/>
      <c r="D495" s="80"/>
      <c r="E495" s="87" t="e">
        <f t="shared" si="319"/>
        <v>#DIV/0!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298"/>
      <c r="C496" s="1299"/>
      <c r="D496" s="80"/>
      <c r="E496" s="87" t="e">
        <f t="shared" si="319"/>
        <v>#DIV/0!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298"/>
      <c r="C497" s="1299"/>
      <c r="D497" s="80"/>
      <c r="E497" s="87" t="e">
        <f t="shared" si="319"/>
        <v>#DIV/0!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298"/>
      <c r="C498" s="1299"/>
      <c r="D498" s="80"/>
      <c r="E498" s="87" t="e">
        <f t="shared" si="319"/>
        <v>#DIV/0!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298"/>
      <c r="C499" s="1299"/>
      <c r="D499" s="80"/>
      <c r="E499" s="87" t="e">
        <f t="shared" si="319"/>
        <v>#DIV/0!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298"/>
      <c r="C500" s="1299"/>
      <c r="D500" s="80"/>
      <c r="E500" s="87" t="e">
        <f t="shared" si="319"/>
        <v>#DIV/0!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298"/>
      <c r="C501" s="1299"/>
      <c r="D501" s="80"/>
      <c r="E501" s="87" t="e">
        <f t="shared" si="319"/>
        <v>#DIV/0!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298"/>
      <c r="C502" s="1299"/>
      <c r="D502" s="80"/>
      <c r="E502" s="87" t="e">
        <f t="shared" si="319"/>
        <v>#DIV/0!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298"/>
      <c r="C503" s="1299"/>
      <c r="D503" s="80"/>
      <c r="E503" s="87" t="e">
        <f t="shared" si="319"/>
        <v>#DIV/0!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298"/>
      <c r="C504" s="1299"/>
      <c r="D504" s="80"/>
      <c r="E504" s="87" t="e">
        <f t="shared" si="319"/>
        <v>#DIV/0!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298"/>
      <c r="C505" s="1299"/>
      <c r="D505" s="80"/>
      <c r="E505" s="87" t="e">
        <f t="shared" ref="E505:E536" si="323">IF($C$3="是",ROUND($A$3*G505/$B$3,2),ROUND($A$3*(G505-AT505)/$B$3,2))</f>
        <v>#DIV/0!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298"/>
      <c r="C506" s="1299"/>
      <c r="D506" s="80"/>
      <c r="E506" s="87" t="e">
        <f t="shared" si="323"/>
        <v>#DIV/0!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298"/>
      <c r="C507" s="1299"/>
      <c r="D507" s="80"/>
      <c r="E507" s="87" t="e">
        <f t="shared" si="323"/>
        <v>#DIV/0!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298"/>
      <c r="C508" s="1299"/>
      <c r="D508" s="80"/>
      <c r="E508" s="87" t="e">
        <f t="shared" si="323"/>
        <v>#DIV/0!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298"/>
      <c r="C509" s="1299"/>
      <c r="D509" s="80"/>
      <c r="E509" s="87" t="e">
        <f t="shared" si="323"/>
        <v>#DIV/0!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298"/>
      <c r="C510" s="1299"/>
      <c r="D510" s="80"/>
      <c r="E510" s="87" t="e">
        <f t="shared" si="323"/>
        <v>#DIV/0!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298"/>
      <c r="C511" s="1299"/>
      <c r="D511" s="80"/>
      <c r="E511" s="87" t="e">
        <f t="shared" si="323"/>
        <v>#DIV/0!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298"/>
      <c r="C512" s="1299"/>
      <c r="D512" s="80"/>
      <c r="E512" s="87" t="e">
        <f t="shared" si="323"/>
        <v>#DIV/0!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298"/>
      <c r="C513" s="1299"/>
      <c r="D513" s="80"/>
      <c r="E513" s="87" t="e">
        <f t="shared" si="323"/>
        <v>#DIV/0!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298"/>
      <c r="C514" s="1299"/>
      <c r="D514" s="80"/>
      <c r="E514" s="87" t="e">
        <f t="shared" si="323"/>
        <v>#DIV/0!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00"/>
      <c r="C515" s="1301"/>
      <c r="D515" s="80"/>
      <c r="E515" s="87" t="e">
        <f t="shared" si="323"/>
        <v>#DIV/0!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520" t="s">
        <v>0</v>
      </c>
      <c r="B1" s="3520" t="s">
        <v>4</v>
      </c>
      <c r="C1" s="3520" t="s">
        <v>5</v>
      </c>
      <c r="D1" s="3521" t="s">
        <v>40</v>
      </c>
      <c r="E1" s="3521" t="s">
        <v>41</v>
      </c>
      <c r="F1" s="3521"/>
      <c r="G1" s="3521"/>
      <c r="H1" s="3521"/>
      <c r="I1" s="3521"/>
      <c r="J1" s="3521"/>
      <c r="K1" s="3521"/>
      <c r="L1" s="3521"/>
      <c r="M1" s="3521"/>
    </row>
    <row r="2" spans="1:13" ht="27" customHeight="1">
      <c r="A2" s="3520"/>
      <c r="B2" s="3520"/>
      <c r="C2" s="3520"/>
      <c r="D2" s="3521"/>
      <c r="E2" s="3521" t="s">
        <v>24</v>
      </c>
      <c r="F2" s="3521" t="s">
        <v>25</v>
      </c>
      <c r="G2" s="3521"/>
      <c r="H2" s="3521"/>
      <c r="I2" s="3521"/>
      <c r="J2" s="3521" t="s">
        <v>26</v>
      </c>
      <c r="K2" s="3521"/>
      <c r="L2" s="3521"/>
      <c r="M2" s="3521"/>
    </row>
    <row r="3" spans="1:13" ht="46.8">
      <c r="A3" s="3520"/>
      <c r="B3" s="3520"/>
      <c r="C3" s="3520"/>
      <c r="D3" s="3521"/>
      <c r="E3" s="352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1" t="s">
        <v>42</v>
      </c>
      <c r="B9" s="3521"/>
      <c r="C9" s="35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19" sqref="F19"/>
    </sheetView>
  </sheetViews>
  <sheetFormatPr defaultColWidth="9.21875" defaultRowHeight="13.8"/>
  <cols>
    <col min="1" max="1" width="8.21875" style="1853" customWidth="1"/>
    <col min="2" max="2" width="10.21875" style="1853" customWidth="1"/>
    <col min="3" max="3" width="18.44140625" style="1853" customWidth="1"/>
    <col min="4" max="4" width="11.109375" style="1853" customWidth="1"/>
    <col min="5" max="5" width="13.33203125" style="1853" customWidth="1"/>
    <col min="6" max="8" width="11.44140625" style="1853" customWidth="1"/>
    <col min="9" max="9" width="10.33203125" style="1853" customWidth="1"/>
    <col min="10" max="10" width="3.109375" style="1853" customWidth="1"/>
    <col min="11" max="16" width="11.6640625" style="1853" customWidth="1"/>
    <col min="17" max="17" width="3.33203125" style="1853" customWidth="1"/>
    <col min="18" max="16384" width="9.21875" style="1853"/>
  </cols>
  <sheetData>
    <row r="1" spans="1:16" ht="17.399999999999999">
      <c r="A1" s="104" t="s">
        <v>202</v>
      </c>
      <c r="B1" s="1852"/>
      <c r="C1" s="1852"/>
      <c r="D1" s="1852"/>
      <c r="E1" s="1852"/>
      <c r="F1" s="1852"/>
      <c r="G1" s="1852"/>
      <c r="H1" s="1852"/>
      <c r="I1" s="1852"/>
      <c r="J1" s="1852"/>
      <c r="K1" s="1852"/>
      <c r="L1" s="1852"/>
      <c r="M1" s="1852"/>
      <c r="N1" s="1852"/>
      <c r="O1" s="1852"/>
      <c r="P1" s="1852"/>
    </row>
    <row r="2" spans="1:16" ht="14.4">
      <c r="A2" s="3531" t="s">
        <v>203</v>
      </c>
      <c r="B2" s="3531"/>
      <c r="C2" s="3531"/>
      <c r="D2" s="1843" t="s">
        <v>204</v>
      </c>
      <c r="E2" s="106" t="s">
        <v>205</v>
      </c>
      <c r="F2" s="2991"/>
      <c r="G2" s="1145"/>
      <c r="H2" s="1146"/>
      <c r="I2" s="1147" t="s">
        <v>837</v>
      </c>
      <c r="J2" s="2991"/>
      <c r="K2" s="2991"/>
      <c r="L2" s="2991"/>
      <c r="M2" s="2991"/>
      <c r="N2" s="2991"/>
      <c r="O2" s="2991"/>
      <c r="P2" s="2991"/>
    </row>
    <row r="3" spans="1:16" ht="15" thickBot="1">
      <c r="A3" s="3532" t="s">
        <v>206</v>
      </c>
      <c r="B3" s="3532"/>
      <c r="C3" s="3532"/>
      <c r="D3" s="107" t="e">
        <f>'数据-基础表'!AY6</f>
        <v>#DIV/0!</v>
      </c>
      <c r="E3" s="107">
        <f>'数据-基础表'!AZ5</f>
        <v>0</v>
      </c>
      <c r="F3" s="2991"/>
      <c r="G3" s="278" t="s">
        <v>838</v>
      </c>
      <c r="H3" s="273" t="s">
        <v>839</v>
      </c>
      <c r="I3" s="1844" t="e">
        <f>ROUND('数据-基础表'!B3/'数据-基础表'!A3,2)</f>
        <v>#DIV/0!</v>
      </c>
      <c r="J3" s="2991"/>
      <c r="K3" s="2991"/>
      <c r="L3" s="2991"/>
      <c r="M3" s="2991"/>
      <c r="N3" s="2991"/>
      <c r="O3" s="2991"/>
      <c r="P3" s="2991"/>
    </row>
    <row r="4" spans="1:16" ht="14.4">
      <c r="A4" s="3533"/>
      <c r="B4" s="3534"/>
      <c r="C4" s="3535"/>
      <c r="D4" s="108" t="s">
        <v>204</v>
      </c>
      <c r="E4" s="109" t="s">
        <v>205</v>
      </c>
      <c r="F4" s="2991"/>
      <c r="G4" s="1148"/>
      <c r="H4" s="273" t="s">
        <v>840</v>
      </c>
      <c r="I4" s="1844" t="e">
        <f>ROUND(SUMIF('数据-基础表'!I9:AS9,"地上",'数据-基础表'!I5:AS5)/'数据-基础表'!A3,2)</f>
        <v>#DIV/0!</v>
      </c>
      <c r="J4" s="2991"/>
      <c r="K4" s="2991"/>
      <c r="L4" s="2991"/>
      <c r="M4" s="2991"/>
      <c r="N4" s="2991"/>
      <c r="O4" s="2991"/>
      <c r="P4" s="2991"/>
    </row>
    <row r="5" spans="1:16" ht="14.4">
      <c r="A5" s="110" t="s">
        <v>207</v>
      </c>
      <c r="B5" s="3536" t="s">
        <v>230</v>
      </c>
      <c r="C5" s="3536"/>
      <c r="D5" s="111" t="e">
        <f>ROUND($D$3*E5/$E$3,2)</f>
        <v>#DIV/0!</v>
      </c>
      <c r="E5" s="112">
        <f>SUMIF('数据-基础表'!$11:$11,"住宅",'数据-基础表'!$5:$5)</f>
        <v>0</v>
      </c>
      <c r="F5" s="2991"/>
      <c r="G5" s="278" t="s">
        <v>841</v>
      </c>
      <c r="H5" s="273" t="s">
        <v>839</v>
      </c>
      <c r="I5" s="1844" t="e">
        <f>ROUND(E31/D31,2)</f>
        <v>#DIV/0!</v>
      </c>
      <c r="J5" s="2991"/>
      <c r="K5" s="2991"/>
      <c r="L5" s="2991"/>
      <c r="M5" s="2991"/>
      <c r="N5" s="2991"/>
      <c r="O5" s="2991"/>
      <c r="P5" s="2991"/>
    </row>
    <row r="6" spans="1:16" ht="15" thickBot="1">
      <c r="A6" s="113"/>
      <c r="B6" s="3536" t="s">
        <v>208</v>
      </c>
      <c r="C6" s="3536"/>
      <c r="D6" s="111" t="e">
        <f>ROUND($D$3*E6/$E$3,2)</f>
        <v>#DIV/0!</v>
      </c>
      <c r="E6" s="112">
        <f>E3-E5</f>
        <v>0</v>
      </c>
      <c r="F6" s="2991"/>
      <c r="G6" s="1148"/>
      <c r="H6" s="273" t="s">
        <v>840</v>
      </c>
      <c r="I6" s="1844" t="e">
        <f>ROUND(F31/D31,2)</f>
        <v>#DIV/0!</v>
      </c>
      <c r="J6" s="2991"/>
      <c r="K6" s="2991"/>
      <c r="L6" s="2991"/>
      <c r="M6" s="2991"/>
      <c r="N6" s="2991"/>
      <c r="O6" s="2991"/>
      <c r="P6" s="2991"/>
    </row>
    <row r="7" spans="1:16" ht="14.4">
      <c r="A7" s="3528"/>
      <c r="B7" s="3529"/>
      <c r="C7" s="3530"/>
      <c r="D7" s="108" t="s">
        <v>204</v>
      </c>
      <c r="E7" s="114" t="s">
        <v>231</v>
      </c>
      <c r="F7" s="2991"/>
      <c r="G7" s="1103" t="s">
        <v>1445</v>
      </c>
      <c r="H7" s="1104"/>
      <c r="I7" s="1715">
        <v>4</v>
      </c>
      <c r="J7" s="2991"/>
      <c r="K7" s="2991"/>
      <c r="L7" s="2991"/>
      <c r="M7" s="2991"/>
      <c r="N7" s="2991"/>
      <c r="O7" s="2991"/>
      <c r="P7" s="2991"/>
    </row>
    <row r="8" spans="1:16" ht="14.4">
      <c r="A8" s="110" t="s">
        <v>209</v>
      </c>
      <c r="B8" s="115" t="s">
        <v>210</v>
      </c>
      <c r="C8" s="111" t="s">
        <v>211</v>
      </c>
      <c r="D8" s="111" t="e">
        <f t="shared" ref="D8:D15" si="0">ROUND($D$3*E8/$E$3,2)</f>
        <v>#DIV/0!</v>
      </c>
      <c r="E8" s="116">
        <f>SUMIF('数据-基础表'!BB10:BK10,"地上",'数据-基础表'!BB5:BK5)</f>
        <v>0</v>
      </c>
      <c r="F8" s="2991"/>
      <c r="G8" s="2992"/>
      <c r="H8" s="2992"/>
      <c r="I8" s="2991"/>
      <c r="J8" s="2991"/>
      <c r="K8" s="2991"/>
      <c r="L8" s="2991"/>
      <c r="M8" s="2991"/>
      <c r="N8" s="2991"/>
      <c r="O8" s="2991"/>
      <c r="P8" s="2991"/>
    </row>
    <row r="9" spans="1:16" ht="14.4">
      <c r="A9" s="117"/>
      <c r="B9" s="118"/>
      <c r="C9" s="111" t="s">
        <v>212</v>
      </c>
      <c r="D9" s="111" t="e">
        <f t="shared" si="0"/>
        <v>#DIV/0!</v>
      </c>
      <c r="E9" s="119">
        <v>0</v>
      </c>
      <c r="F9" s="2991"/>
      <c r="G9" s="2992"/>
      <c r="H9" s="2992"/>
      <c r="I9" s="2991"/>
      <c r="J9" s="2991"/>
      <c r="K9" s="2991"/>
      <c r="L9" s="2991"/>
      <c r="M9" s="2991"/>
      <c r="N9" s="2991"/>
      <c r="O9" s="2991"/>
      <c r="P9" s="2991"/>
    </row>
    <row r="10" spans="1:16" ht="14.4">
      <c r="A10" s="117"/>
      <c r="B10" s="118"/>
      <c r="C10" s="111" t="s">
        <v>213</v>
      </c>
      <c r="D10" s="111" t="e">
        <f t="shared" si="0"/>
        <v>#DIV/0!</v>
      </c>
      <c r="E10" s="116">
        <f>SUMPRODUCT(('数据-基础表'!BB10:BK10="地下")*('数据-基础表'!BB11:BK11="商业")*('数据-基础表'!BB5:BK5))</f>
        <v>0</v>
      </c>
      <c r="F10" s="2991"/>
      <c r="G10" s="2992"/>
      <c r="H10" s="2992"/>
      <c r="I10" s="2991"/>
      <c r="J10" s="2991"/>
      <c r="K10" s="2991"/>
      <c r="L10" s="2991"/>
      <c r="M10" s="2991"/>
      <c r="N10" s="2991"/>
      <c r="O10" s="2991"/>
      <c r="P10" s="2991"/>
    </row>
    <row r="11" spans="1:16" ht="14.4">
      <c r="A11" s="117"/>
      <c r="B11" s="118"/>
      <c r="C11" s="2165" t="s">
        <v>2117</v>
      </c>
      <c r="D11" s="111" t="e">
        <f t="shared" si="0"/>
        <v>#DIV/0!</v>
      </c>
      <c r="E11" s="116">
        <f>SUMPRODUCT(('数据-基础表'!BB10:BK10="地下")*('数据-基础表'!BB11:BK11="办公")*('数据-基础表'!BB5:BK5))+'数据-基础表'!AJ5</f>
        <v>0</v>
      </c>
      <c r="F11" s="2991"/>
      <c r="G11" s="2992"/>
      <c r="H11" s="2992"/>
      <c r="I11" s="2991"/>
      <c r="J11" s="2991"/>
      <c r="K11" s="2991"/>
      <c r="L11" s="2991"/>
      <c r="M11" s="2991"/>
      <c r="N11" s="2991"/>
      <c r="O11" s="2991"/>
      <c r="P11" s="2991"/>
    </row>
    <row r="12" spans="1:16" ht="14.4">
      <c r="A12" s="117"/>
      <c r="B12" s="118"/>
      <c r="C12" s="111" t="s">
        <v>214</v>
      </c>
      <c r="D12" s="111" t="e">
        <f t="shared" si="0"/>
        <v>#DIV/0!</v>
      </c>
      <c r="E12" s="116">
        <f>SUMPRODUCT(('数据-基础表'!BB10:BK10="地下")*('数据-基础表'!BB11:BK11="仓储")*('数据-基础表'!BB5:BK5))</f>
        <v>0</v>
      </c>
      <c r="F12" s="2991"/>
      <c r="G12" s="2992"/>
      <c r="H12" s="2992"/>
      <c r="I12" s="2991"/>
      <c r="J12" s="2991"/>
      <c r="K12" s="2991"/>
      <c r="L12" s="2991"/>
      <c r="M12" s="2991"/>
      <c r="N12" s="2991"/>
      <c r="O12" s="2991"/>
      <c r="P12" s="2991"/>
    </row>
    <row r="13" spans="1:16" ht="14.4">
      <c r="A13" s="117"/>
      <c r="B13" s="118"/>
      <c r="C13" s="2165" t="s">
        <v>2124</v>
      </c>
      <c r="D13" s="111" t="e">
        <f t="shared" si="0"/>
        <v>#DIV/0!</v>
      </c>
      <c r="E13" s="116">
        <f>SUMPRODUCT(('数据-基础表'!BB10:BK10="地下")*('数据-基础表'!BB11:BK11="车库")*('数据-基础表'!BB5:BK5))</f>
        <v>0</v>
      </c>
      <c r="F13" s="2991"/>
      <c r="G13" s="2992"/>
      <c r="H13" s="2992"/>
      <c r="I13" s="2991"/>
      <c r="J13" s="2991"/>
      <c r="K13" s="2991"/>
      <c r="L13" s="2991"/>
      <c r="M13" s="2991"/>
      <c r="N13" s="2991"/>
      <c r="O13" s="2991"/>
      <c r="P13" s="2991"/>
    </row>
    <row r="14" spans="1:16" ht="14.4">
      <c r="A14" s="117"/>
      <c r="B14" s="118"/>
      <c r="C14" s="111" t="s">
        <v>232</v>
      </c>
      <c r="D14" s="111" t="e">
        <f t="shared" si="0"/>
        <v>#DIV/0!</v>
      </c>
      <c r="E14" s="116">
        <f>SUMPRODUCT(('数据-基础表'!BB10:BK10="地下")*('数据-基础表'!BB11:BK11="车库—商业")*('数据-基础表'!BB5:BK5))</f>
        <v>0</v>
      </c>
      <c r="F14" s="2991"/>
      <c r="G14" s="2992"/>
      <c r="H14" s="2992"/>
      <c r="I14" s="2991"/>
      <c r="J14" s="2991"/>
      <c r="K14" s="2991"/>
      <c r="L14" s="2991"/>
      <c r="M14" s="2991"/>
      <c r="N14" s="2991"/>
      <c r="O14" s="2991"/>
      <c r="P14" s="2991"/>
    </row>
    <row r="15" spans="1:16" ht="15" thickBot="1">
      <c r="A15" s="117"/>
      <c r="B15" s="118"/>
      <c r="C15" s="111" t="s">
        <v>233</v>
      </c>
      <c r="D15" s="111" t="e">
        <f t="shared" si="0"/>
        <v>#DIV/0!</v>
      </c>
      <c r="E15" s="116">
        <f>SUMPRODUCT(('数据-基础表'!BB10:BK10="地下")*('数据-基础表'!BB11:BK11="车库—办公")*('数据-基础表'!BB5:BK5))</f>
        <v>0</v>
      </c>
      <c r="F15" s="2991"/>
      <c r="G15" s="2992"/>
      <c r="H15" s="2992"/>
      <c r="I15" s="2991"/>
      <c r="J15" s="2991"/>
      <c r="K15" s="2991"/>
      <c r="L15" s="2991"/>
      <c r="M15" s="2991"/>
      <c r="N15" s="2991"/>
      <c r="O15" s="2991"/>
      <c r="P15" s="2991"/>
    </row>
    <row r="16" spans="1:16" ht="15" thickBot="1">
      <c r="A16" s="113"/>
      <c r="B16" s="118"/>
      <c r="C16" s="115" t="s">
        <v>215</v>
      </c>
      <c r="D16" s="115" t="e">
        <f>SUM(D8:D15)</f>
        <v>#DIV/0!</v>
      </c>
      <c r="E16" s="120">
        <f>SUM(E8:E15)</f>
        <v>0</v>
      </c>
      <c r="F16" s="2991"/>
      <c r="G16" s="2992"/>
      <c r="H16" s="939" t="s">
        <v>219</v>
      </c>
      <c r="I16" s="940"/>
      <c r="J16" s="1852"/>
      <c r="K16" s="3522" t="s">
        <v>2284</v>
      </c>
      <c r="L16" s="3523"/>
      <c r="M16" s="3523"/>
      <c r="N16" s="3523"/>
      <c r="O16" s="3523"/>
      <c r="P16" s="3524"/>
    </row>
    <row r="17" spans="1:19" ht="14.4">
      <c r="A17" s="121" t="s">
        <v>216</v>
      </c>
      <c r="B17" s="122" t="s">
        <v>217</v>
      </c>
      <c r="C17" s="2132" t="s">
        <v>2103</v>
      </c>
      <c r="D17" s="108" t="s">
        <v>204</v>
      </c>
      <c r="E17" s="124" t="s">
        <v>205</v>
      </c>
      <c r="F17" s="125"/>
      <c r="G17" s="1275"/>
      <c r="H17" s="941" t="s">
        <v>218</v>
      </c>
      <c r="I17" s="942" t="s">
        <v>2102</v>
      </c>
      <c r="J17" s="1852"/>
      <c r="K17" s="3525" t="s">
        <v>2285</v>
      </c>
      <c r="L17" s="3526"/>
      <c r="M17" s="3527"/>
      <c r="N17" s="3525" t="s">
        <v>2286</v>
      </c>
      <c r="O17" s="3526"/>
      <c r="P17" s="3527"/>
      <c r="R17" s="2133" t="s">
        <v>2101</v>
      </c>
      <c r="S17" s="142"/>
    </row>
    <row r="18" spans="1:19" ht="14.4">
      <c r="A18" s="117"/>
      <c r="B18" s="128"/>
      <c r="C18" s="129"/>
      <c r="D18" s="2406"/>
      <c r="E18" s="130" t="s">
        <v>220</v>
      </c>
      <c r="F18" s="131" t="s">
        <v>221</v>
      </c>
      <c r="G18" s="1276" t="s">
        <v>222</v>
      </c>
      <c r="H18" s="943" t="s">
        <v>223</v>
      </c>
      <c r="I18" s="944" t="s">
        <v>224</v>
      </c>
      <c r="J18" s="1852"/>
      <c r="K18" s="2371" t="s">
        <v>2287</v>
      </c>
      <c r="L18" s="2372" t="s">
        <v>2288</v>
      </c>
      <c r="M18" s="2373" t="s">
        <v>2289</v>
      </c>
      <c r="N18" s="2371" t="s">
        <v>2287</v>
      </c>
      <c r="O18" s="2372" t="s">
        <v>2288</v>
      </c>
      <c r="P18" s="2373" t="s">
        <v>2289</v>
      </c>
      <c r="R18" s="2134" t="s">
        <v>2099</v>
      </c>
      <c r="S18" s="2134" t="s">
        <v>2100</v>
      </c>
    </row>
    <row r="19" spans="1:19" ht="14.4">
      <c r="A19" s="133"/>
      <c r="B19" s="115" t="s">
        <v>225</v>
      </c>
      <c r="C19" s="2659"/>
      <c r="D19" s="111" t="e">
        <f t="shared" ref="D19:D26" si="1">ROUND($D$3*E19/$E$3,2)</f>
        <v>#DIV/0!</v>
      </c>
      <c r="E19" s="134">
        <f t="shared" ref="E19:E26" si="2">SUM(F19:G19)</f>
        <v>0</v>
      </c>
      <c r="F19" s="2993"/>
      <c r="G19" s="2994"/>
      <c r="H19" s="945" t="e">
        <f>ROUND($D$3*I19/$E$3,2)</f>
        <v>#DIV/0!</v>
      </c>
      <c r="I19" s="116" t="e">
        <f>IF($I$17="自定义",P19,M19)</f>
        <v>#DIV/0!</v>
      </c>
      <c r="J19" s="1852"/>
      <c r="K19" s="2374" t="e">
        <f t="shared" ref="K19:K26" si="3">ROUND(E$28*E19/E$27,2)</f>
        <v>#DIV/0!</v>
      </c>
      <c r="L19" s="273">
        <f t="shared" ref="L19:L26" si="4">ROUND(IF(COUNTIF(C19,"*住宅*")&gt;0,E$29*E19/E$32,0),2)</f>
        <v>0</v>
      </c>
      <c r="M19" s="2375" t="e">
        <f>K19+L19</f>
        <v>#DIV/0!</v>
      </c>
      <c r="N19" s="2376"/>
      <c r="O19" s="2377"/>
      <c r="P19" s="2378">
        <f>N19+O19</f>
        <v>0</v>
      </c>
      <c r="R19" s="273" t="e">
        <f t="shared" ref="R19:S26" si="5">D19+H19</f>
        <v>#DIV/0!</v>
      </c>
      <c r="S19" s="2135" t="e">
        <f t="shared" si="5"/>
        <v>#DIV/0!</v>
      </c>
    </row>
    <row r="20" spans="1:19" ht="14.4">
      <c r="A20" s="137"/>
      <c r="B20" s="115" t="s">
        <v>226</v>
      </c>
      <c r="C20" s="2659"/>
      <c r="D20" s="111" t="e">
        <f t="shared" si="1"/>
        <v>#DIV/0!</v>
      </c>
      <c r="E20" s="134">
        <f t="shared" si="2"/>
        <v>0</v>
      </c>
      <c r="F20" s="2993"/>
      <c r="G20" s="2994"/>
      <c r="H20" s="945" t="e">
        <f t="shared" ref="H20:H26" si="6">ROUND($D$3*I20/$E$3,2)</f>
        <v>#DIV/0!</v>
      </c>
      <c r="I20" s="116" t="e">
        <f t="shared" ref="I20:I26" si="7">IF($I$17="自定义",P20,M20)</f>
        <v>#DIV/0!</v>
      </c>
      <c r="J20" s="1852"/>
      <c r="K20" s="2374" t="e">
        <f t="shared" si="3"/>
        <v>#DIV/0!</v>
      </c>
      <c r="L20" s="273">
        <f t="shared" si="4"/>
        <v>0</v>
      </c>
      <c r="M20" s="2375" t="e">
        <f t="shared" ref="M20:M26" si="8">K20+L20</f>
        <v>#DIV/0!</v>
      </c>
      <c r="N20" s="2376"/>
      <c r="O20" s="2377"/>
      <c r="P20" s="2378">
        <f t="shared" ref="P20:P26" si="9">N20+O20</f>
        <v>0</v>
      </c>
      <c r="R20" s="273" t="e">
        <f t="shared" si="5"/>
        <v>#DIV/0!</v>
      </c>
      <c r="S20" s="2135" t="e">
        <f t="shared" si="5"/>
        <v>#DIV/0!</v>
      </c>
    </row>
    <row r="21" spans="1:19" ht="14.4">
      <c r="A21" s="137"/>
      <c r="B21" s="115" t="s">
        <v>226</v>
      </c>
      <c r="C21" s="2659"/>
      <c r="D21" s="111" t="e">
        <f t="shared" si="1"/>
        <v>#DIV/0!</v>
      </c>
      <c r="E21" s="134">
        <f t="shared" si="2"/>
        <v>0</v>
      </c>
      <c r="F21" s="2993"/>
      <c r="G21" s="2994"/>
      <c r="H21" s="945" t="e">
        <f t="shared" si="6"/>
        <v>#DIV/0!</v>
      </c>
      <c r="I21" s="116" t="e">
        <f t="shared" si="7"/>
        <v>#DIV/0!</v>
      </c>
      <c r="J21" s="1852"/>
      <c r="K21" s="2374" t="e">
        <f t="shared" si="3"/>
        <v>#DIV/0!</v>
      </c>
      <c r="L21" s="273">
        <f t="shared" si="4"/>
        <v>0</v>
      </c>
      <c r="M21" s="2375" t="e">
        <f t="shared" si="8"/>
        <v>#DIV/0!</v>
      </c>
      <c r="N21" s="2376"/>
      <c r="O21" s="2377"/>
      <c r="P21" s="2378">
        <f t="shared" si="9"/>
        <v>0</v>
      </c>
      <c r="R21" s="273" t="e">
        <f t="shared" si="5"/>
        <v>#DIV/0!</v>
      </c>
      <c r="S21" s="2135" t="e">
        <f t="shared" si="5"/>
        <v>#DIV/0!</v>
      </c>
    </row>
    <row r="22" spans="1:19" ht="14.4">
      <c r="A22" s="137"/>
      <c r="B22" s="115" t="s">
        <v>226</v>
      </c>
      <c r="C22" s="1274"/>
      <c r="D22" s="111" t="e">
        <f t="shared" si="1"/>
        <v>#DIV/0!</v>
      </c>
      <c r="E22" s="134">
        <f t="shared" si="2"/>
        <v>0</v>
      </c>
      <c r="F22" s="2995"/>
      <c r="G22" s="2996"/>
      <c r="H22" s="945" t="e">
        <f t="shared" si="6"/>
        <v>#DIV/0!</v>
      </c>
      <c r="I22" s="116" t="e">
        <f t="shared" si="7"/>
        <v>#DIV/0!</v>
      </c>
      <c r="J22" s="1852"/>
      <c r="K22" s="2374" t="e">
        <f t="shared" si="3"/>
        <v>#DIV/0!</v>
      </c>
      <c r="L22" s="273">
        <f t="shared" si="4"/>
        <v>0</v>
      </c>
      <c r="M22" s="2375" t="e">
        <f t="shared" si="8"/>
        <v>#DIV/0!</v>
      </c>
      <c r="N22" s="2376"/>
      <c r="O22" s="2377"/>
      <c r="P22" s="2378">
        <f t="shared" si="9"/>
        <v>0</v>
      </c>
      <c r="R22" s="273" t="e">
        <f t="shared" si="5"/>
        <v>#DIV/0!</v>
      </c>
      <c r="S22" s="2135" t="e">
        <f t="shared" si="5"/>
        <v>#DIV/0!</v>
      </c>
    </row>
    <row r="23" spans="1:19" ht="14.4">
      <c r="A23" s="137"/>
      <c r="B23" s="115" t="s">
        <v>226</v>
      </c>
      <c r="C23" s="138"/>
      <c r="D23" s="111" t="e">
        <f>ROUND($D$3*E23/$E$3,2)</f>
        <v>#DIV/0!</v>
      </c>
      <c r="E23" s="134">
        <f>SUM(F23:G23)</f>
        <v>0</v>
      </c>
      <c r="F23" s="2995"/>
      <c r="G23" s="2996"/>
      <c r="H23" s="945" t="e">
        <f>ROUND($D$3*I23/$E$3,2)</f>
        <v>#DIV/0!</v>
      </c>
      <c r="I23" s="116" t="e">
        <f t="shared" si="7"/>
        <v>#DIV/0!</v>
      </c>
      <c r="J23" s="1852"/>
      <c r="K23" s="2374" t="e">
        <f t="shared" si="3"/>
        <v>#DIV/0!</v>
      </c>
      <c r="L23" s="273">
        <f t="shared" si="4"/>
        <v>0</v>
      </c>
      <c r="M23" s="2375" t="e">
        <f t="shared" si="8"/>
        <v>#DIV/0!</v>
      </c>
      <c r="N23" s="2376"/>
      <c r="O23" s="2377"/>
      <c r="P23" s="2378">
        <f t="shared" si="9"/>
        <v>0</v>
      </c>
      <c r="R23" s="273" t="e">
        <f t="shared" si="5"/>
        <v>#DIV/0!</v>
      </c>
      <c r="S23" s="2135" t="e">
        <f t="shared" si="5"/>
        <v>#DIV/0!</v>
      </c>
    </row>
    <row r="24" spans="1:19" ht="14.4">
      <c r="A24" s="137"/>
      <c r="B24" s="115" t="s">
        <v>226</v>
      </c>
      <c r="C24" s="138"/>
      <c r="D24" s="111" t="e">
        <f>ROUND($D$3*E24/$E$3,2)</f>
        <v>#DIV/0!</v>
      </c>
      <c r="E24" s="134">
        <f>SUM(F24:G24)</f>
        <v>0</v>
      </c>
      <c r="F24" s="2995"/>
      <c r="G24" s="2996"/>
      <c r="H24" s="945" t="e">
        <f>ROUND($D$3*I24/$E$3,2)</f>
        <v>#DIV/0!</v>
      </c>
      <c r="I24" s="116" t="e">
        <f t="shared" si="7"/>
        <v>#DIV/0!</v>
      </c>
      <c r="J24" s="1852"/>
      <c r="K24" s="2374" t="e">
        <f t="shared" si="3"/>
        <v>#DIV/0!</v>
      </c>
      <c r="L24" s="273">
        <f t="shared" si="4"/>
        <v>0</v>
      </c>
      <c r="M24" s="2375" t="e">
        <f t="shared" si="8"/>
        <v>#DIV/0!</v>
      </c>
      <c r="N24" s="2376"/>
      <c r="O24" s="2377"/>
      <c r="P24" s="2378">
        <f t="shared" si="9"/>
        <v>0</v>
      </c>
      <c r="R24" s="273" t="e">
        <f t="shared" si="5"/>
        <v>#DIV/0!</v>
      </c>
      <c r="S24" s="2135" t="e">
        <f t="shared" si="5"/>
        <v>#DIV/0!</v>
      </c>
    </row>
    <row r="25" spans="1:19" ht="14.4">
      <c r="A25" s="137"/>
      <c r="B25" s="115" t="s">
        <v>226</v>
      </c>
      <c r="C25" s="138"/>
      <c r="D25" s="111" t="e">
        <f t="shared" si="1"/>
        <v>#DIV/0!</v>
      </c>
      <c r="E25" s="134">
        <f t="shared" si="2"/>
        <v>0</v>
      </c>
      <c r="F25" s="2995"/>
      <c r="G25" s="2996"/>
      <c r="H25" s="110" t="e">
        <f t="shared" si="6"/>
        <v>#DIV/0!</v>
      </c>
      <c r="I25" s="116" t="e">
        <f t="shared" si="7"/>
        <v>#DIV/0!</v>
      </c>
      <c r="J25" s="1852"/>
      <c r="K25" s="2374" t="e">
        <f t="shared" si="3"/>
        <v>#DIV/0!</v>
      </c>
      <c r="L25" s="273">
        <f t="shared" si="4"/>
        <v>0</v>
      </c>
      <c r="M25" s="2375" t="e">
        <f t="shared" si="8"/>
        <v>#DIV/0!</v>
      </c>
      <c r="N25" s="2376"/>
      <c r="O25" s="2377"/>
      <c r="P25" s="2378">
        <f t="shared" si="9"/>
        <v>0</v>
      </c>
      <c r="R25" s="273" t="e">
        <f t="shared" si="5"/>
        <v>#DIV/0!</v>
      </c>
      <c r="S25" s="2135" t="e">
        <f t="shared" si="5"/>
        <v>#DIV/0!</v>
      </c>
    </row>
    <row r="26" spans="1:19" ht="14.4">
      <c r="A26" s="137"/>
      <c r="B26" s="115" t="s">
        <v>226</v>
      </c>
      <c r="C26" s="140"/>
      <c r="D26" s="111" t="e">
        <f t="shared" si="1"/>
        <v>#DIV/0!</v>
      </c>
      <c r="E26" s="134">
        <f t="shared" si="2"/>
        <v>0</v>
      </c>
      <c r="F26" s="2995"/>
      <c r="G26" s="2996"/>
      <c r="H26" s="110" t="e">
        <f t="shared" si="6"/>
        <v>#DIV/0!</v>
      </c>
      <c r="I26" s="116" t="e">
        <f t="shared" si="7"/>
        <v>#DIV/0!</v>
      </c>
      <c r="J26" s="1852"/>
      <c r="K26" s="2379" t="e">
        <f t="shared" si="3"/>
        <v>#DIV/0!</v>
      </c>
      <c r="L26" s="278">
        <f t="shared" si="4"/>
        <v>0</v>
      </c>
      <c r="M26" s="144" t="e">
        <f t="shared" si="8"/>
        <v>#DIV/0!</v>
      </c>
      <c r="N26" s="2380"/>
      <c r="O26" s="2381"/>
      <c r="P26" s="2382">
        <f t="shared" si="9"/>
        <v>0</v>
      </c>
      <c r="R26" s="273" t="e">
        <f t="shared" si="5"/>
        <v>#DIV/0!</v>
      </c>
      <c r="S26" s="2135" t="e">
        <f t="shared" si="5"/>
        <v>#DIV/0!</v>
      </c>
    </row>
    <row r="27" spans="1:19" ht="15" thickBot="1">
      <c r="A27" s="137"/>
      <c r="B27" s="111"/>
      <c r="C27" s="127" t="s">
        <v>215</v>
      </c>
      <c r="D27" s="134" t="e">
        <f>SUM(D19:D26)</f>
        <v>#DIV/0!</v>
      </c>
      <c r="E27" s="141">
        <f>IF(SUM(E19:E26)='数据-基础表'!BA5,SUM(E19:E26),IF(F27="地上面积有误","面积有误","地下面积有误"))</f>
        <v>0</v>
      </c>
      <c r="F27" s="134">
        <f>IF(SUM(F19:F26)=E8,SUM(F19:F26),"地上面积有误")</f>
        <v>0</v>
      </c>
      <c r="G27" s="112">
        <f>SUM(G19:G26)</f>
        <v>0</v>
      </c>
      <c r="H27" s="946" t="e">
        <f>SUM(H19:H26)</f>
        <v>#DIV/0!</v>
      </c>
      <c r="I27" s="947" t="e">
        <f>SUM(I19:I26)</f>
        <v>#DIV/0!</v>
      </c>
      <c r="J27" s="1852"/>
      <c r="K27" s="2383" t="e">
        <f>SUM(K19:K26)</f>
        <v>#DIV/0!</v>
      </c>
      <c r="L27" s="2384">
        <f>SUM(L19:L26)</f>
        <v>0</v>
      </c>
      <c r="M27" s="2385" t="e">
        <f>SUM(M19:M26)</f>
        <v>#DIV/0!</v>
      </c>
      <c r="N27" s="2383">
        <f t="shared" ref="N27:O27" si="10">SUM(N19:N26)</f>
        <v>0</v>
      </c>
      <c r="O27" s="2384">
        <f t="shared" si="10"/>
        <v>0</v>
      </c>
      <c r="P27" s="2386">
        <f>SUM(P19:P26)</f>
        <v>0</v>
      </c>
      <c r="R27" s="2139" t="e">
        <f>IF(SUM(R19:R26)=$D$3,SUM(R19:R26),SUM(R19:R26)&amp;"误差"&amp;ROUND(SUM(R19:R26)-$D$3,2))</f>
        <v>#DIV/0!</v>
      </c>
      <c r="S27" s="273" t="e">
        <f>IF(SUM(S19:S26)=$E$3,SUM(S19:S26),SUM(S19:S26)&amp;"误差"&amp;ROUND(SUM(S19:S26)-E3,2))</f>
        <v>#DIV/0!</v>
      </c>
    </row>
    <row r="28" spans="1:19" ht="14.4">
      <c r="A28" s="137"/>
      <c r="B28" s="115" t="s">
        <v>227</v>
      </c>
      <c r="C28" s="135" t="s">
        <v>228</v>
      </c>
      <c r="D28" s="111" t="e">
        <f>ROUND($D$3*E28/$E$3,2)</f>
        <v>#DIV/0!</v>
      </c>
      <c r="E28" s="134">
        <f>SUM(F28:G28)</f>
        <v>0</v>
      </c>
      <c r="F28" s="142">
        <f>'数据-基础表'!BQ5+'数据-基础表'!BS5</f>
        <v>0</v>
      </c>
      <c r="G28" s="143">
        <f>'数据-基础表'!BR5+'数据-基础表'!BT5</f>
        <v>0</v>
      </c>
      <c r="H28" s="2991"/>
      <c r="I28" s="2991"/>
      <c r="J28" s="2991"/>
      <c r="K28" s="2991"/>
      <c r="L28" s="2991"/>
      <c r="M28" s="2991"/>
      <c r="N28" s="2991"/>
      <c r="O28" s="2991"/>
      <c r="P28" s="2991"/>
    </row>
    <row r="29" spans="1:19" ht="14.4">
      <c r="A29" s="137"/>
      <c r="B29" s="115" t="s">
        <v>227</v>
      </c>
      <c r="C29" s="2147" t="s">
        <v>2110</v>
      </c>
      <c r="D29" s="111" t="e">
        <f>ROUND($D$3*E29/$E$3,2)</f>
        <v>#DIV/0!</v>
      </c>
      <c r="E29" s="134">
        <f>SUM(F29:G29)</f>
        <v>0</v>
      </c>
      <c r="F29" s="142">
        <f>'数据-基础表'!BM5+'数据-基础表'!BO5</f>
        <v>0</v>
      </c>
      <c r="G29" s="144">
        <f>'数据-基础表'!BN5+'数据-基础表'!BP5</f>
        <v>0</v>
      </c>
      <c r="H29" s="2991"/>
      <c r="I29" s="2991"/>
      <c r="J29" s="2991"/>
      <c r="K29" s="2991"/>
      <c r="L29" s="2991"/>
      <c r="M29" s="2991"/>
      <c r="N29" s="2991"/>
      <c r="O29" s="2991"/>
      <c r="P29" s="2991"/>
    </row>
    <row r="30" spans="1:19" ht="14.4">
      <c r="A30" s="137"/>
      <c r="B30" s="111"/>
      <c r="C30" s="145" t="s">
        <v>215</v>
      </c>
      <c r="D30" s="134" t="e">
        <f>SUM(D28:D29)</f>
        <v>#DIV/0!</v>
      </c>
      <c r="E30" s="134">
        <f>SUM(E28:E29)</f>
        <v>0</v>
      </c>
      <c r="F30" s="134">
        <f>SUM(F28:F29)</f>
        <v>0</v>
      </c>
      <c r="G30" s="112">
        <f>SUM(G28:G29)</f>
        <v>0</v>
      </c>
      <c r="H30" s="2991"/>
      <c r="I30" s="2991"/>
      <c r="J30" s="2991"/>
      <c r="K30" s="2991"/>
      <c r="L30" s="2991"/>
      <c r="M30" s="2991"/>
      <c r="N30" s="2991"/>
      <c r="O30" s="2991"/>
      <c r="P30" s="2991"/>
    </row>
    <row r="31" spans="1:19" ht="32.25" customHeight="1" thickBot="1">
      <c r="A31" s="1277"/>
      <c r="B31" s="1278" t="s">
        <v>229</v>
      </c>
      <c r="C31" s="2164" t="s">
        <v>2112</v>
      </c>
      <c r="D31" s="1279" t="e">
        <f>D27+D30</f>
        <v>#DIV/0!</v>
      </c>
      <c r="E31" s="1279">
        <f>E27+E30</f>
        <v>0</v>
      </c>
      <c r="F31" s="1280">
        <f>F27+F30</f>
        <v>0</v>
      </c>
      <c r="G31" s="1281">
        <f>G27+G30</f>
        <v>0</v>
      </c>
      <c r="H31" s="2991"/>
      <c r="I31" s="2991"/>
      <c r="J31" s="2991"/>
      <c r="K31" s="2991"/>
      <c r="L31" s="2991"/>
      <c r="M31" s="2991"/>
      <c r="N31" s="2991"/>
      <c r="O31" s="2991"/>
      <c r="P31" s="2991"/>
    </row>
    <row r="32" spans="1:19" ht="14.4">
      <c r="A32" s="1852"/>
      <c r="B32" s="2176" t="s">
        <v>2111</v>
      </c>
      <c r="C32" s="2411"/>
      <c r="D32" s="1148"/>
      <c r="E32" s="1148">
        <f>SUMIF(C19:C26,"*住宅*",E19:E26)</f>
        <v>0</v>
      </c>
      <c r="F32" s="1148"/>
      <c r="G32" s="1148"/>
      <c r="H32" s="2991"/>
      <c r="I32" s="2991"/>
      <c r="J32" s="2991"/>
      <c r="K32" s="2991"/>
      <c r="L32" s="2991"/>
      <c r="M32" s="2991"/>
      <c r="N32" s="2991"/>
      <c r="O32" s="2991"/>
      <c r="P32" s="2991"/>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G6" activePane="bottomRight" state="frozen"/>
      <selection pane="topRight" activeCell="D1" sqref="D1"/>
      <selection pane="bottomLeft" activeCell="A4" sqref="A4"/>
      <selection pane="bottomRight" activeCell="J57" sqref="J57"/>
    </sheetView>
  </sheetViews>
  <sheetFormatPr defaultColWidth="13.77734375" defaultRowHeight="13.2"/>
  <cols>
    <col min="1" max="1" width="20.88671875" style="1163" customWidth="1"/>
    <col min="2" max="3" width="12" style="1150" customWidth="1"/>
    <col min="4" max="4" width="9.109375" style="1164" customWidth="1"/>
    <col min="5" max="5" width="15" style="1150" bestFit="1" customWidth="1"/>
    <col min="6" max="10" width="8.88671875" style="1150" customWidth="1"/>
    <col min="11" max="12" width="12.33203125" style="1165" customWidth="1"/>
    <col min="13" max="13" width="8.6640625" style="1150" customWidth="1"/>
    <col min="14" max="14" width="9.77734375" style="1150" customWidth="1"/>
    <col min="15" max="16" width="9.6640625" style="1150" customWidth="1"/>
    <col min="17" max="17" width="10.88671875" style="1150" customWidth="1"/>
    <col min="18" max="19" width="12.44140625" style="1150" customWidth="1"/>
    <col min="20" max="20" width="12.109375" style="1150" customWidth="1"/>
    <col min="21" max="21" width="7.44140625" style="1150" customWidth="1"/>
    <col min="22" max="22" width="6.33203125" style="1150" customWidth="1"/>
    <col min="23" max="24" width="6.77734375" style="1150" customWidth="1"/>
    <col min="25" max="25" width="8.109375" style="1150" customWidth="1"/>
    <col min="26" max="30" width="6.77734375" style="1150" customWidth="1"/>
    <col min="31" max="31" width="6.44140625" style="1150" customWidth="1"/>
    <col min="32" max="34" width="7.21875" style="1150" customWidth="1"/>
    <col min="35" max="39" width="8" style="1150" customWidth="1"/>
    <col min="40" max="41" width="13.77734375" style="1862"/>
    <col min="42" max="42" width="13.77734375" style="1862" customWidth="1"/>
    <col min="43" max="83" width="13.77734375" style="1862"/>
    <col min="84" max="16384" width="13.77734375" style="1150"/>
  </cols>
  <sheetData>
    <row r="1" spans="1:83" ht="18"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8"/>
      <c r="AO1" s="2998"/>
      <c r="AP1" s="2998"/>
      <c r="AQ1" s="2998"/>
      <c r="AR1" s="2998"/>
      <c r="AS1" s="2998"/>
      <c r="AT1" s="2998"/>
      <c r="AU1" s="2998"/>
      <c r="AV1" s="2998"/>
      <c r="AW1" s="2998"/>
      <c r="AX1" s="2998"/>
      <c r="AY1" s="2998"/>
      <c r="AZ1" s="2998"/>
    </row>
    <row r="2" spans="1:83" s="1153" customFormat="1" ht="15" thickBot="1">
      <c r="A2" s="147" t="s">
        <v>235</v>
      </c>
      <c r="B2" s="2172">
        <f>项目基本情况!D3</f>
        <v>0</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3001"/>
      <c r="AO2" s="3001"/>
      <c r="AP2" s="3001"/>
      <c r="AQ2" s="3001"/>
      <c r="AR2" s="3001"/>
      <c r="AS2" s="3001"/>
      <c r="AT2" s="3001"/>
      <c r="AU2" s="3001"/>
      <c r="AV2" s="3001"/>
      <c r="AW2" s="3001"/>
      <c r="AX2" s="3001"/>
      <c r="AY2" s="3001"/>
      <c r="AZ2" s="3001"/>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4.4"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3001"/>
      <c r="AO3" s="3001"/>
      <c r="AP3" s="3001"/>
      <c r="AQ3" s="3001"/>
      <c r="AR3" s="3001"/>
      <c r="AS3" s="3001"/>
      <c r="AT3" s="3001"/>
      <c r="AU3" s="3001"/>
      <c r="AV3" s="3001"/>
      <c r="AW3" s="3001"/>
      <c r="AX3" s="3001"/>
      <c r="AY3" s="3001"/>
      <c r="AZ3" s="3001"/>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1"/>
      <c r="AO4" s="3001"/>
      <c r="AP4" s="3001"/>
      <c r="AQ4" s="3001"/>
      <c r="AR4" s="3001"/>
      <c r="AS4" s="3001"/>
      <c r="AT4" s="3001"/>
      <c r="AU4" s="3001"/>
      <c r="AV4" s="3001"/>
      <c r="AW4" s="3001"/>
      <c r="AX4" s="3001"/>
      <c r="AY4" s="3001"/>
      <c r="AZ4" s="3001"/>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57.6">
      <c r="A5" s="2138"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c r="O5" s="161" t="s">
        <v>246</v>
      </c>
      <c r="P5" s="163" t="s">
        <v>247</v>
      </c>
      <c r="Q5" s="164" t="s">
        <v>248</v>
      </c>
      <c r="R5" s="165" t="s">
        <v>249</v>
      </c>
      <c r="S5" s="2387" t="s">
        <v>2290</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2113</v>
      </c>
      <c r="AI5" s="169" t="s">
        <v>2082</v>
      </c>
      <c r="AJ5" s="169" t="s">
        <v>258</v>
      </c>
      <c r="AK5" s="157" t="s">
        <v>259</v>
      </c>
      <c r="AL5" s="157" t="s">
        <v>260</v>
      </c>
      <c r="AM5" s="170" t="s">
        <v>261</v>
      </c>
      <c r="AN5" s="2200" t="s">
        <v>2160</v>
      </c>
      <c r="AO5" s="3012"/>
      <c r="AP5" s="2997" t="s">
        <v>2705</v>
      </c>
      <c r="AQ5" s="3012"/>
      <c r="AR5" s="3012"/>
      <c r="AS5" s="3012"/>
      <c r="AT5" s="3012"/>
      <c r="AU5" s="3012"/>
      <c r="AV5" s="3012"/>
      <c r="AW5" s="3012"/>
      <c r="AX5" s="3012"/>
      <c r="AY5" s="3012"/>
      <c r="AZ5" s="3012"/>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4">
      <c r="A6" s="2136">
        <f>'数据-汇总表'!C19</f>
        <v>0</v>
      </c>
      <c r="B6" s="2171" t="str">
        <f>IF(A6=0,"","经营性")</f>
        <v/>
      </c>
      <c r="C6" s="171"/>
      <c r="D6" s="2142">
        <f>SUMIF(项目基本情况!D$15:I$15,C6,项目基本情况!D$18:I$18)</f>
        <v>0</v>
      </c>
      <c r="E6" s="2143" t="str">
        <f>IF(B6="","",SUMIF(项目基本情况!D$15:I$15,C6,项目基本情况!D$17:I$17))</f>
        <v/>
      </c>
      <c r="F6" s="172">
        <f>SUMIF(项目基本情况!D$15:I$15,C6,项目基本情况!D$19:I$19)</f>
        <v>0</v>
      </c>
      <c r="G6" s="173">
        <f>IF(ISERROR(ROUND(POWER(1+H6,D6-F6)*(POWER(1+H6,F6)-1)/(POWER(1+H6,D6)-1),3)),0,ROUND(POWER(1+H6,D6-F6)*(POWER(1+H6,F6)-1)/(POWER(1+H6,D6)-1),3))</f>
        <v>0</v>
      </c>
      <c r="H6" s="2660"/>
      <c r="I6" s="2660"/>
      <c r="J6" s="174"/>
      <c r="K6" s="177">
        <f>SUMIF('数据-汇总表'!C$19:C$33,'数据-取费表'!A6,'数据-汇总表'!E$19:E$33)</f>
        <v>0</v>
      </c>
      <c r="L6" s="2661"/>
      <c r="M6" s="175">
        <f t="shared" ref="M6:M14" si="0">ROUND(K6*L6/10000,0)</f>
        <v>0</v>
      </c>
      <c r="N6" s="2662"/>
      <c r="O6" s="175">
        <f>IF($N$5="成新度","——",ROUND(M6*N6,0))</f>
        <v>0</v>
      </c>
      <c r="P6" s="176">
        <f>IF($N$5="成新度","——",M6-O6)</f>
        <v>0</v>
      </c>
      <c r="Q6" s="2663"/>
      <c r="R6" s="177">
        <f>SUMIF('数据-汇总表'!C$19:C$33,A6,'数据-汇总表'!R$19:R$33)</f>
        <v>0</v>
      </c>
      <c r="S6" s="132">
        <f>IF('数据-汇总表'!$I$17="按面积比例",SUMIF('数据-汇总表'!C$19:C$33,A6,'数据-汇总表'!K$19:K$33),SUMIF('数据-汇总表'!C$19:C$33,A6,'数据-汇总表'!N$19:N$33))</f>
        <v>0</v>
      </c>
      <c r="T6" s="2068" t="str">
        <f>IF($T$4="按面积比例",IF(ISERROR(ROUND($M$14*S6/S$16,0)),"0",ROUND($M$14*S6/S$16,0)),"需自行计算录入")</f>
        <v>0</v>
      </c>
      <c r="U6" s="178"/>
      <c r="V6" s="179"/>
      <c r="W6" s="179"/>
      <c r="X6" s="2155"/>
      <c r="Y6" s="180"/>
      <c r="Z6" s="181"/>
      <c r="AA6" s="174"/>
      <c r="AB6" s="174"/>
      <c r="AC6" s="2158"/>
      <c r="AD6" s="182"/>
      <c r="AE6" s="943">
        <f ca="1">IF(AN6="",0,SUMIF(INDIRECT("'"&amp;AN6&amp;"'"&amp;"!E:E"),$AE$5,INDIRECT("'"&amp;AN6&amp;"'"&amp;"!F:F")))</f>
        <v>0</v>
      </c>
      <c r="AF6" s="139"/>
      <c r="AG6" s="1160">
        <f>IF(AF6="",0,AE6-AF6)</f>
        <v>0</v>
      </c>
      <c r="AH6" s="139"/>
      <c r="AI6" s="185"/>
      <c r="AJ6" s="186"/>
      <c r="AK6" s="187"/>
      <c r="AL6" s="188"/>
      <c r="AM6" s="2672"/>
      <c r="AN6" s="2201"/>
      <c r="AO6" s="3001"/>
      <c r="AP6" s="1151">
        <f>ROUND(1-1/(1+H6)^F6,3)</f>
        <v>0</v>
      </c>
      <c r="AQ6" s="3001"/>
      <c r="AR6" s="3001"/>
      <c r="AS6" s="3001"/>
      <c r="AT6" s="3001"/>
      <c r="AU6" s="3001"/>
      <c r="AV6" s="3001"/>
      <c r="AW6" s="3001"/>
      <c r="AX6" s="3001"/>
      <c r="AY6" s="3001"/>
      <c r="AZ6" s="3001"/>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4">
      <c r="A7" s="2136">
        <f>'数据-汇总表'!C20</f>
        <v>0</v>
      </c>
      <c r="B7" s="2171" t="str">
        <f t="shared" ref="B7:B13" si="1">IF(A7=0,"","经营性")</f>
        <v/>
      </c>
      <c r="C7" s="171"/>
      <c r="D7" s="2142">
        <f>SUMIF(项目基本情况!D$15:I$15,C7,项目基本情况!D$18:I$18)</f>
        <v>0</v>
      </c>
      <c r="E7" s="2143"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0"/>
      <c r="I7" s="2660"/>
      <c r="J7" s="174"/>
      <c r="K7" s="177">
        <f>SUMIF('数据-汇总表'!C$19:C$33,'数据-取费表'!A7,'数据-汇总表'!E$19:E$33)</f>
        <v>0</v>
      </c>
      <c r="L7" s="2661"/>
      <c r="M7" s="175">
        <f t="shared" si="0"/>
        <v>0</v>
      </c>
      <c r="N7" s="2662"/>
      <c r="O7" s="175">
        <f t="shared" ref="O7:O14" si="3">IF($N$5="成新度","——",ROUND(M7*N7,0))</f>
        <v>0</v>
      </c>
      <c r="P7" s="176">
        <f t="shared" ref="P7:P14" si="4">IF($N$5="成新度","——",M7-O7)</f>
        <v>0</v>
      </c>
      <c r="Q7" s="2663"/>
      <c r="R7" s="177">
        <f>SUMIF('数据-汇总表'!C$19:C$33,A7,'数据-汇总表'!R$19:R$33)</f>
        <v>0</v>
      </c>
      <c r="S7" s="132">
        <f>IF('数据-汇总表'!$I$17="按面积比例",SUMIF('数据-汇总表'!C$19:C$33,A7,'数据-汇总表'!K$19:K$33),SUMIF('数据-汇总表'!C$19:C$33,A7,'数据-汇总表'!N$19:N$33))</f>
        <v>0</v>
      </c>
      <c r="T7" s="2068" t="str">
        <f t="shared" ref="T7:T13" si="5">IF($T$4="按面积比例",IF(ISERROR(ROUND($M$14*S7/S$16,0)),"0",ROUND($M$14*S7/S$16,0)),"需自行计算录入")</f>
        <v>0</v>
      </c>
      <c r="U7" s="178"/>
      <c r="V7" s="179"/>
      <c r="W7" s="179"/>
      <c r="X7" s="2155"/>
      <c r="Y7" s="180"/>
      <c r="Z7" s="181"/>
      <c r="AA7" s="174"/>
      <c r="AB7" s="174"/>
      <c r="AC7" s="2158"/>
      <c r="AD7" s="182"/>
      <c r="AE7" s="943">
        <f t="shared" ref="AE7:AE13" ca="1" si="6">IF(AN7="",0,SUMIF(INDIRECT("'"&amp;AN7&amp;"'"&amp;"!E:E"),$AE$5,INDIRECT("'"&amp;AN7&amp;"'"&amp;"!F:F")))</f>
        <v>0</v>
      </c>
      <c r="AF7" s="139"/>
      <c r="AG7" s="1160">
        <f t="shared" ref="AG7:AG13" si="7">IF(AF7="",0,AE7-AF7)</f>
        <v>0</v>
      </c>
      <c r="AH7" s="139"/>
      <c r="AI7" s="185"/>
      <c r="AJ7" s="186"/>
      <c r="AK7" s="187"/>
      <c r="AL7" s="188"/>
      <c r="AM7" s="2199"/>
      <c r="AN7" s="2201"/>
      <c r="AO7" s="3001"/>
      <c r="AP7" s="1151">
        <f t="shared" ref="AP7:AP13" si="8">ROUND(1-1/(1+H7)^F7,3)</f>
        <v>0</v>
      </c>
      <c r="AQ7" s="3001"/>
      <c r="AR7" s="3001"/>
      <c r="AS7" s="3001"/>
      <c r="AT7" s="3001"/>
      <c r="AU7" s="3001"/>
      <c r="AV7" s="3001"/>
      <c r="AW7" s="3001"/>
      <c r="AX7" s="3001"/>
      <c r="AY7" s="3001"/>
      <c r="AZ7" s="3001"/>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4">
      <c r="A8" s="2136">
        <f>'数据-汇总表'!C21</f>
        <v>0</v>
      </c>
      <c r="B8" s="2171" t="str">
        <f t="shared" si="1"/>
        <v/>
      </c>
      <c r="C8" s="171"/>
      <c r="D8" s="2142">
        <f>SUMIF(项目基本情况!D$15:I$15,C8,项目基本情况!D$18:I$18)</f>
        <v>0</v>
      </c>
      <c r="E8" s="2143" t="str">
        <f>IF(B8="","",SUMIF(项目基本情况!D$15:I$15,C8,项目基本情况!D$17:I$17))</f>
        <v/>
      </c>
      <c r="F8" s="172">
        <f>SUMIF(项目基本情况!D$15:I$15,C8,项目基本情况!D$19:I$19)</f>
        <v>0</v>
      </c>
      <c r="G8" s="173">
        <f t="shared" si="2"/>
        <v>0</v>
      </c>
      <c r="H8" s="2660"/>
      <c r="I8" s="2660"/>
      <c r="J8" s="174"/>
      <c r="K8" s="177">
        <f>SUMIF('数据-汇总表'!C$19:C$33,'数据-取费表'!A8,'数据-汇总表'!E$19:E$33)</f>
        <v>0</v>
      </c>
      <c r="L8" s="2661"/>
      <c r="M8" s="175">
        <f>ROUND(K8*L8/10000,0)</f>
        <v>0</v>
      </c>
      <c r="N8" s="2662"/>
      <c r="O8" s="175">
        <f t="shared" si="3"/>
        <v>0</v>
      </c>
      <c r="P8" s="176">
        <f t="shared" si="4"/>
        <v>0</v>
      </c>
      <c r="Q8" s="2663"/>
      <c r="R8" s="177">
        <f>SUMIF('数据-汇总表'!C$19:C$33,A8,'数据-汇总表'!R$19:R$33)</f>
        <v>0</v>
      </c>
      <c r="S8" s="132">
        <f>IF('数据-汇总表'!$I$17="按面积比例",SUMIF('数据-汇总表'!C$19:C$33,A8,'数据-汇总表'!K$19:K$33),SUMIF('数据-汇总表'!C$19:C$33,A8,'数据-汇总表'!N$19:N$33))</f>
        <v>0</v>
      </c>
      <c r="T8" s="2068" t="str">
        <f t="shared" si="5"/>
        <v>0</v>
      </c>
      <c r="U8" s="178"/>
      <c r="V8" s="179"/>
      <c r="W8" s="179"/>
      <c r="X8" s="2155"/>
      <c r="Y8" s="180"/>
      <c r="Z8" s="181"/>
      <c r="AA8" s="174"/>
      <c r="AB8" s="174"/>
      <c r="AC8" s="2158"/>
      <c r="AD8" s="182"/>
      <c r="AE8" s="943">
        <f t="shared" ca="1" si="6"/>
        <v>0</v>
      </c>
      <c r="AF8" s="139"/>
      <c r="AG8" s="1160">
        <f t="shared" si="7"/>
        <v>0</v>
      </c>
      <c r="AH8" s="139"/>
      <c r="AI8" s="185"/>
      <c r="AJ8" s="186"/>
      <c r="AK8" s="187"/>
      <c r="AL8" s="188"/>
      <c r="AM8" s="2199"/>
      <c r="AN8" s="2201"/>
      <c r="AO8" s="3001"/>
      <c r="AP8" s="1151">
        <f t="shared" si="8"/>
        <v>0</v>
      </c>
      <c r="AQ8" s="3001"/>
      <c r="AR8" s="3001"/>
      <c r="AS8" s="3001"/>
      <c r="AT8" s="3001"/>
      <c r="AU8" s="3001"/>
      <c r="AV8" s="3001"/>
      <c r="AW8" s="3001"/>
      <c r="AX8" s="3001"/>
      <c r="AY8" s="3001"/>
      <c r="AZ8" s="3001"/>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4">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t="str">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3001"/>
      <c r="AP9" s="1151">
        <f t="shared" si="8"/>
        <v>0</v>
      </c>
      <c r="AQ9" s="3001"/>
      <c r="AR9" s="3001"/>
      <c r="AS9" s="3001"/>
      <c r="AT9" s="3001"/>
      <c r="AU9" s="3001"/>
      <c r="AV9" s="3001"/>
      <c r="AW9" s="3001"/>
      <c r="AX9" s="3001"/>
      <c r="AY9" s="3001"/>
      <c r="AZ9" s="3001"/>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4">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t="str">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3001"/>
      <c r="AP10" s="1151">
        <f t="shared" si="8"/>
        <v>0</v>
      </c>
      <c r="AQ10" s="3001"/>
      <c r="AR10" s="3001"/>
      <c r="AS10" s="3001"/>
      <c r="AT10" s="3001"/>
      <c r="AU10" s="3001"/>
      <c r="AV10" s="3001"/>
      <c r="AW10" s="3001"/>
      <c r="AX10" s="3001"/>
      <c r="AY10" s="3001"/>
      <c r="AZ10" s="3001"/>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4">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t="str">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3001"/>
      <c r="AP11" s="1151">
        <f t="shared" si="8"/>
        <v>0</v>
      </c>
      <c r="AQ11" s="3001"/>
      <c r="AR11" s="3001"/>
      <c r="AS11" s="3001"/>
      <c r="AT11" s="3001"/>
      <c r="AU11" s="3001"/>
      <c r="AV11" s="3001"/>
      <c r="AW11" s="3001"/>
      <c r="AX11" s="3001"/>
      <c r="AY11" s="3001"/>
      <c r="AZ11" s="3001"/>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4">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t="str">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3001"/>
      <c r="AP12" s="1151">
        <f t="shared" si="8"/>
        <v>0</v>
      </c>
      <c r="AQ12" s="3001"/>
      <c r="AR12" s="3001"/>
      <c r="AS12" s="3001"/>
      <c r="AT12" s="3001"/>
      <c r="AU12" s="3001"/>
      <c r="AV12" s="3001"/>
      <c r="AW12" s="3001"/>
      <c r="AX12" s="3001"/>
      <c r="AY12" s="3001"/>
      <c r="AZ12" s="3001"/>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4">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t="str">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3001"/>
      <c r="AP13" s="1151">
        <f t="shared" si="8"/>
        <v>0</v>
      </c>
      <c r="AQ13" s="3001"/>
      <c r="AR13" s="3001"/>
      <c r="AS13" s="3001"/>
      <c r="AT13" s="3001"/>
      <c r="AU13" s="3001"/>
      <c r="AV13" s="3001"/>
      <c r="AW13" s="3001"/>
      <c r="AX13" s="3001"/>
      <c r="AY13" s="3001"/>
      <c r="AZ13" s="3001"/>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3.8">
      <c r="A14" s="2137" t="s">
        <v>2104</v>
      </c>
      <c r="B14" s="2140" t="s">
        <v>1479</v>
      </c>
      <c r="C14" s="2141" t="s">
        <v>2104</v>
      </c>
      <c r="D14" s="2142"/>
      <c r="E14" s="2143"/>
      <c r="F14" s="172"/>
      <c r="G14" s="173"/>
      <c r="H14" s="2144"/>
      <c r="I14" s="2144"/>
      <c r="J14" s="2144"/>
      <c r="K14" s="177">
        <f>SUMIF('数据-汇总表'!C$19:C$33,'数据-取费表'!A14,'数据-汇总表'!E$19:E$33)</f>
        <v>0</v>
      </c>
      <c r="L14" s="191"/>
      <c r="M14" s="175">
        <f t="shared" si="0"/>
        <v>0</v>
      </c>
      <c r="N14" s="192"/>
      <c r="O14" s="175">
        <f t="shared" si="3"/>
        <v>0</v>
      </c>
      <c r="P14" s="176">
        <f t="shared" si="4"/>
        <v>0</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3001"/>
      <c r="AO14" s="3001"/>
      <c r="AP14" s="3001"/>
      <c r="AQ14" s="3001"/>
      <c r="AR14" s="3001"/>
      <c r="AS14" s="3001"/>
      <c r="AT14" s="3001"/>
      <c r="AU14" s="3001"/>
      <c r="AV14" s="3001"/>
      <c r="AW14" s="3001"/>
      <c r="AX14" s="3001"/>
      <c r="AY14" s="3001"/>
      <c r="AZ14" s="3001"/>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8.8">
      <c r="A15" s="2146" t="s">
        <v>2106</v>
      </c>
      <c r="B15" s="2140" t="s">
        <v>1479</v>
      </c>
      <c r="C15" s="2141" t="s">
        <v>2105</v>
      </c>
      <c r="D15" s="2142"/>
      <c r="E15" s="2143"/>
      <c r="F15" s="172"/>
      <c r="G15" s="173"/>
      <c r="H15" s="2144"/>
      <c r="I15" s="2144"/>
      <c r="J15" s="2144"/>
      <c r="K15" s="177">
        <f>SUMIF('数据-汇总表'!C$19:C$33,'数据-取费表'!A15,'数据-汇总表'!E$19:E$33)</f>
        <v>0</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3001"/>
      <c r="AO15" s="3001"/>
      <c r="AP15" s="3001"/>
      <c r="AQ15" s="3001"/>
      <c r="AR15" s="3001"/>
      <c r="AS15" s="3001"/>
      <c r="AT15" s="3001"/>
      <c r="AU15" s="3001"/>
      <c r="AV15" s="3001"/>
      <c r="AW15" s="3001"/>
      <c r="AX15" s="3001"/>
      <c r="AY15" s="3001"/>
      <c r="AZ15" s="3001"/>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0</v>
      </c>
      <c r="L16" s="204" t="e">
        <f>ROUND(M16*10000/SUM(K6:K14),0)</f>
        <v>#DIV/0!</v>
      </c>
      <c r="M16" s="204">
        <f>SUM(M6:M14)</f>
        <v>0</v>
      </c>
      <c r="N16" s="205" t="e">
        <f>ROUND(SUMPRODUCT(M6:M14,N6:N14)/M16,3)</f>
        <v>#DIV/0!</v>
      </c>
      <c r="O16" s="204">
        <f>SUM(O6:O14)</f>
        <v>0</v>
      </c>
      <c r="P16" s="204">
        <f>SUM(P6:P14)</f>
        <v>0</v>
      </c>
      <c r="Q16" s="206" t="e">
        <f>ROUND(SUMPRODUCT(Q6:Q13,K6:K13)/SUMPRODUCT((Q6:Q13&gt;0)*(K6:K13)),2)</f>
        <v>#DIV/0!</v>
      </c>
      <c r="R16" s="2145">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1"/>
      <c r="AO16" s="3001"/>
      <c r="AP16" s="1151" t="e">
        <f>ROUND(SUMPRODUCT(AP6:AP13,K6:K13)/SUMPRODUCT((AP6:AP13&gt;0)*(K6:K13)),3)</f>
        <v>#DIV/0!</v>
      </c>
      <c r="AQ16" s="3001"/>
      <c r="AR16" s="3001"/>
      <c r="AS16" s="3001"/>
      <c r="AT16" s="3001"/>
      <c r="AU16" s="3001"/>
      <c r="AV16" s="3001"/>
      <c r="AW16" s="3001"/>
      <c r="AX16" s="3001"/>
      <c r="AY16" s="3001"/>
      <c r="AZ16" s="3001"/>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8" thickBot="1">
      <c r="A17" s="1161"/>
      <c r="B17" s="2998"/>
      <c r="C17" s="2998"/>
      <c r="D17" s="2999"/>
      <c r="E17" s="2999"/>
      <c r="F17" s="2998"/>
      <c r="G17" s="2998"/>
      <c r="H17" s="2998"/>
      <c r="I17" s="2998"/>
      <c r="J17" s="2998"/>
      <c r="K17" s="3000"/>
      <c r="L17" s="3000"/>
      <c r="M17" s="2998"/>
      <c r="N17" s="2998"/>
      <c r="O17" s="2998"/>
      <c r="P17" s="2998"/>
      <c r="Q17" s="2998"/>
      <c r="R17" s="2998"/>
      <c r="S17" s="2998"/>
      <c r="T17" s="2998"/>
      <c r="U17" s="2998"/>
      <c r="V17" s="2998"/>
      <c r="W17" s="2998"/>
      <c r="X17" s="2998"/>
      <c r="Y17" s="2998"/>
      <c r="Z17" s="2998"/>
      <c r="AA17" s="2998"/>
      <c r="AB17" s="2998"/>
      <c r="AC17" s="2998"/>
      <c r="AD17" s="2998"/>
      <c r="AE17" s="2998"/>
      <c r="AF17" s="2998"/>
      <c r="AG17" s="2998"/>
      <c r="AH17" s="2998"/>
      <c r="AI17" s="2998"/>
      <c r="AJ17" s="2998"/>
      <c r="AK17" s="2998"/>
      <c r="AL17" s="2998"/>
      <c r="AM17" s="2998"/>
      <c r="AN17" s="2998"/>
      <c r="AO17" s="2998"/>
      <c r="AP17" s="2998"/>
      <c r="AQ17" s="2998"/>
      <c r="AR17" s="2998"/>
      <c r="AS17" s="2998"/>
      <c r="AT17" s="2998"/>
      <c r="AU17" s="2998"/>
      <c r="AV17" s="2998"/>
      <c r="AW17" s="2998"/>
      <c r="AX17" s="2998"/>
      <c r="AY17" s="2998"/>
      <c r="AZ17" s="2998"/>
    </row>
    <row r="18" spans="1:83" ht="15" thickBot="1">
      <c r="A18" s="148" t="s">
        <v>263</v>
      </c>
      <c r="B18" s="3001"/>
      <c r="C18" s="3001"/>
      <c r="D18" s="3002"/>
      <c r="E18" s="3001"/>
      <c r="F18" s="3001"/>
      <c r="G18" s="3001"/>
      <c r="H18" s="3001"/>
      <c r="I18" s="3001"/>
      <c r="J18" s="3001"/>
      <c r="K18" s="3000"/>
      <c r="L18" s="3000"/>
      <c r="M18" s="2998"/>
      <c r="N18" s="2998"/>
      <c r="O18" s="2998"/>
      <c r="P18" s="2998"/>
      <c r="Q18" s="2998"/>
      <c r="R18" s="2998"/>
      <c r="S18" s="2998"/>
      <c r="T18" s="2998"/>
      <c r="U18" s="2998"/>
      <c r="V18" s="2998"/>
      <c r="W18" s="2998"/>
      <c r="X18" s="2998"/>
      <c r="Y18" s="2998"/>
      <c r="Z18" s="2998"/>
      <c r="AA18" s="2998"/>
      <c r="AB18" s="2998"/>
      <c r="AC18" s="2998"/>
      <c r="AD18" s="2998"/>
      <c r="AE18" s="2998"/>
      <c r="AF18" s="2998"/>
      <c r="AG18" s="2998"/>
      <c r="AH18" s="2998"/>
      <c r="AI18" s="2998"/>
      <c r="AJ18" s="2998"/>
      <c r="AK18" s="2998"/>
      <c r="AL18" s="2998"/>
      <c r="AM18" s="2998"/>
      <c r="AN18" s="2998"/>
      <c r="AO18" s="2998"/>
      <c r="AP18" s="2998"/>
      <c r="AQ18" s="2998"/>
      <c r="AR18" s="2998"/>
      <c r="AS18" s="2998"/>
      <c r="AT18" s="2998"/>
      <c r="AU18" s="2998"/>
      <c r="AV18" s="2998"/>
      <c r="AW18" s="2998"/>
      <c r="AX18" s="2998"/>
      <c r="AY18" s="2998"/>
      <c r="AZ18" s="2998"/>
    </row>
    <row r="19" spans="1:83" ht="14.4">
      <c r="A19" s="215" t="s">
        <v>264</v>
      </c>
      <c r="B19" s="216"/>
      <c r="C19" s="3013" t="s">
        <v>2717</v>
      </c>
      <c r="D19" s="3002"/>
      <c r="E19" s="3001"/>
      <c r="F19" s="3001"/>
      <c r="G19" s="3001"/>
      <c r="H19" s="3001"/>
      <c r="I19" s="3001"/>
      <c r="J19" s="3001"/>
      <c r="K19" s="3000"/>
      <c r="L19" s="3000"/>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8"/>
      <c r="AK19" s="2998"/>
      <c r="AL19" s="2998"/>
      <c r="AM19" s="2998"/>
      <c r="AN19" s="2998"/>
      <c r="AO19" s="2998"/>
      <c r="AP19" s="2998"/>
      <c r="AQ19" s="2998"/>
      <c r="AR19" s="2998"/>
      <c r="AS19" s="2998"/>
      <c r="AT19" s="2998"/>
      <c r="AU19" s="2998"/>
      <c r="AV19" s="2998"/>
      <c r="AW19" s="2998"/>
      <c r="AX19" s="2998"/>
      <c r="AY19" s="2998"/>
      <c r="AZ19" s="2998"/>
    </row>
    <row r="20" spans="1:83" ht="14.4">
      <c r="A20" s="217" t="s">
        <v>265</v>
      </c>
      <c r="B20" s="218"/>
      <c r="C20" s="3013" t="s">
        <v>2125</v>
      </c>
      <c r="D20" s="3002"/>
      <c r="E20" s="3001"/>
      <c r="F20" s="3001"/>
      <c r="G20" s="3001"/>
      <c r="H20" s="3001"/>
      <c r="I20" s="3001"/>
      <c r="J20" s="3001"/>
      <c r="K20" s="3000"/>
      <c r="L20" s="3000"/>
      <c r="M20" s="2998"/>
      <c r="N20" s="2998"/>
      <c r="O20" s="2998"/>
      <c r="P20" s="2998"/>
      <c r="Q20" s="2998"/>
      <c r="R20" s="2998"/>
      <c r="S20" s="2998"/>
      <c r="T20" s="2998"/>
      <c r="U20" s="2998"/>
      <c r="V20" s="2998"/>
      <c r="W20" s="2998"/>
      <c r="X20" s="2998"/>
      <c r="Y20" s="2998"/>
      <c r="Z20" s="2998"/>
      <c r="AA20" s="2998"/>
      <c r="AB20" s="2998"/>
      <c r="AC20" s="2998"/>
      <c r="AD20" s="2998"/>
      <c r="AE20" s="2998"/>
      <c r="AF20" s="2998"/>
      <c r="AG20" s="2998"/>
      <c r="AH20" s="2998"/>
      <c r="AI20" s="2998"/>
      <c r="AJ20" s="2998"/>
      <c r="AK20" s="2998"/>
      <c r="AL20" s="2998"/>
      <c r="AM20" s="2998"/>
      <c r="AN20" s="2998"/>
      <c r="AO20" s="2998"/>
      <c r="AP20" s="2998"/>
      <c r="AQ20" s="2998"/>
      <c r="AR20" s="2998"/>
      <c r="AS20" s="2998"/>
      <c r="AT20" s="2998"/>
      <c r="AU20" s="2998"/>
      <c r="AV20" s="2998"/>
      <c r="AW20" s="2998"/>
      <c r="AX20" s="2998"/>
      <c r="AY20" s="2998"/>
      <c r="AZ20" s="2998"/>
    </row>
    <row r="21" spans="1:83" ht="14.4">
      <c r="A21" s="219" t="s">
        <v>266</v>
      </c>
      <c r="B21" s="218"/>
      <c r="C21" s="3001"/>
      <c r="D21" s="3002"/>
      <c r="E21" s="3001"/>
      <c r="F21" s="3001"/>
      <c r="G21" s="3001"/>
      <c r="H21" s="3001"/>
      <c r="I21" s="3001"/>
      <c r="J21" s="3001"/>
      <c r="K21" s="3000"/>
      <c r="L21" s="3000"/>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8"/>
      <c r="AK21" s="2998"/>
      <c r="AL21" s="2998"/>
      <c r="AM21" s="2998"/>
      <c r="AN21" s="2998"/>
      <c r="AO21" s="2998"/>
      <c r="AP21" s="2998"/>
      <c r="AQ21" s="2998"/>
      <c r="AR21" s="2998"/>
      <c r="AS21" s="2998"/>
      <c r="AT21" s="2998"/>
      <c r="AU21" s="2998"/>
      <c r="AV21" s="2998"/>
      <c r="AW21" s="2998"/>
      <c r="AX21" s="2998"/>
      <c r="AY21" s="2998"/>
      <c r="AZ21" s="2998"/>
    </row>
    <row r="22" spans="1:83" ht="14.4">
      <c r="A22" s="217" t="s">
        <v>267</v>
      </c>
      <c r="B22" s="220">
        <f>B19+B20</f>
        <v>0</v>
      </c>
      <c r="C22" s="3001"/>
      <c r="D22" s="3002"/>
      <c r="E22" s="3001"/>
      <c r="F22" s="3001"/>
      <c r="G22" s="3001"/>
      <c r="H22" s="3001"/>
      <c r="I22" s="3001"/>
      <c r="J22" s="3001"/>
      <c r="K22" s="3000"/>
      <c r="L22" s="3000"/>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8"/>
      <c r="AK22" s="2998"/>
      <c r="AL22" s="2998"/>
      <c r="AM22" s="2998"/>
      <c r="AN22" s="2998"/>
      <c r="AO22" s="2998"/>
      <c r="AP22" s="2998"/>
      <c r="AQ22" s="2998"/>
      <c r="AR22" s="2998"/>
      <c r="AS22" s="2998"/>
      <c r="AT22" s="2998"/>
      <c r="AU22" s="2998"/>
      <c r="AV22" s="2998"/>
      <c r="AW22" s="2998"/>
      <c r="AX22" s="2998"/>
      <c r="AY22" s="2998"/>
      <c r="AZ22" s="2998"/>
    </row>
    <row r="23" spans="1:83" ht="14.4">
      <c r="A23" s="219" t="s">
        <v>268</v>
      </c>
      <c r="B23" s="220">
        <f>B19+B21</f>
        <v>0</v>
      </c>
      <c r="C23" s="3001"/>
      <c r="D23" s="3002"/>
      <c r="E23" s="3001"/>
      <c r="F23" s="3001"/>
      <c r="G23" s="3001"/>
      <c r="H23" s="3001"/>
      <c r="I23" s="3001"/>
      <c r="J23" s="3001"/>
      <c r="K23" s="3000"/>
      <c r="L23" s="3000"/>
      <c r="M23" s="2998"/>
      <c r="N23" s="2998"/>
      <c r="O23" s="2998"/>
      <c r="P23" s="2998"/>
      <c r="Q23" s="2998"/>
      <c r="R23" s="2998"/>
      <c r="S23" s="2998"/>
      <c r="T23" s="2998"/>
      <c r="U23" s="2998"/>
      <c r="V23" s="2998"/>
      <c r="W23" s="2998"/>
      <c r="X23" s="2998"/>
      <c r="Y23" s="2998"/>
      <c r="Z23" s="2998"/>
      <c r="AA23" s="2998"/>
      <c r="AB23" s="2998"/>
      <c r="AC23" s="2998"/>
      <c r="AD23" s="2998"/>
      <c r="AE23" s="2998"/>
      <c r="AF23" s="2998"/>
      <c r="AG23" s="2998"/>
      <c r="AH23" s="2998"/>
      <c r="AI23" s="2998"/>
      <c r="AJ23" s="2998"/>
      <c r="AK23" s="2998"/>
      <c r="AL23" s="2998"/>
      <c r="AM23" s="2998"/>
      <c r="AN23" s="2998"/>
      <c r="AO23" s="2998"/>
      <c r="AP23" s="2998"/>
      <c r="AQ23" s="2998"/>
      <c r="AR23" s="2998"/>
      <c r="AS23" s="2998"/>
      <c r="AT23" s="2998"/>
      <c r="AU23" s="2998"/>
      <c r="AV23" s="2998"/>
      <c r="AW23" s="2998"/>
      <c r="AX23" s="2998"/>
      <c r="AY23" s="2998"/>
      <c r="AZ23" s="2998"/>
    </row>
    <row r="24" spans="1:83" ht="15" thickBot="1">
      <c r="A24" s="221" t="s">
        <v>269</v>
      </c>
      <c r="B24" s="222">
        <f>B20-B21</f>
        <v>0</v>
      </c>
      <c r="C24" s="3001"/>
      <c r="D24" s="3002"/>
      <c r="E24" s="3001"/>
      <c r="F24" s="3001"/>
      <c r="G24" s="3001"/>
      <c r="H24" s="3001"/>
      <c r="I24" s="3001"/>
      <c r="J24" s="3001"/>
      <c r="K24" s="3000"/>
      <c r="L24" s="3000"/>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8"/>
      <c r="AK24" s="2998"/>
      <c r="AL24" s="2998"/>
      <c r="AM24" s="2998"/>
      <c r="AN24" s="2998"/>
      <c r="AO24" s="2998"/>
      <c r="AP24" s="2998"/>
      <c r="AQ24" s="2998"/>
      <c r="AR24" s="2998"/>
      <c r="AS24" s="2998"/>
      <c r="AT24" s="2998"/>
      <c r="AU24" s="2998"/>
      <c r="AV24" s="2998"/>
      <c r="AW24" s="2998"/>
      <c r="AX24" s="2998"/>
      <c r="AY24" s="2998"/>
      <c r="AZ24" s="2998"/>
    </row>
    <row r="25" spans="1:83" ht="14.4" thickBot="1">
      <c r="A25" s="1154"/>
      <c r="B25" s="1151"/>
      <c r="C25" s="3001"/>
      <c r="D25" s="3002"/>
      <c r="E25" s="3001"/>
      <c r="F25" s="3001"/>
      <c r="G25" s="3001"/>
      <c r="H25" s="3001"/>
      <c r="I25" s="3001"/>
      <c r="J25" s="3001"/>
      <c r="K25" s="3000"/>
      <c r="L25" s="3000"/>
      <c r="M25" s="2998"/>
      <c r="N25" s="2998"/>
      <c r="O25" s="2998"/>
      <c r="P25" s="2998"/>
      <c r="Q25" s="2998"/>
      <c r="R25" s="2998"/>
      <c r="S25" s="2998"/>
      <c r="T25" s="2998"/>
      <c r="U25" s="2998"/>
      <c r="V25" s="2998"/>
      <c r="W25" s="2998"/>
      <c r="X25" s="2998"/>
      <c r="Y25" s="2998"/>
      <c r="Z25" s="2998"/>
      <c r="AA25" s="2998"/>
      <c r="AB25" s="2998"/>
      <c r="AC25" s="2998"/>
      <c r="AD25" s="2998"/>
      <c r="AE25" s="2998"/>
      <c r="AF25" s="2998"/>
      <c r="AG25" s="2998"/>
      <c r="AH25" s="2998"/>
      <c r="AI25" s="2998"/>
      <c r="AJ25" s="2998"/>
      <c r="AK25" s="2998"/>
      <c r="AL25" s="2998"/>
      <c r="AM25" s="2998"/>
      <c r="AN25" s="2998"/>
      <c r="AO25" s="2998"/>
      <c r="AP25" s="2998"/>
      <c r="AQ25" s="2998"/>
      <c r="AR25" s="2998"/>
      <c r="AS25" s="2998"/>
      <c r="AT25" s="2998"/>
      <c r="AU25" s="2998"/>
      <c r="AV25" s="2998"/>
      <c r="AW25" s="2998"/>
      <c r="AX25" s="2998"/>
      <c r="AY25" s="2998"/>
      <c r="AZ25" s="2998"/>
    </row>
    <row r="26" spans="1:83" ht="15" thickBot="1">
      <c r="A26" s="147" t="s">
        <v>270</v>
      </c>
      <c r="B26" s="223" t="s">
        <v>271</v>
      </c>
      <c r="C26" s="3003" t="s">
        <v>272</v>
      </c>
      <c r="D26" s="3002"/>
      <c r="E26" s="3001"/>
      <c r="F26" s="3001"/>
      <c r="G26" s="3001"/>
      <c r="H26" s="3001"/>
      <c r="I26" s="3001"/>
      <c r="J26" s="3001"/>
      <c r="K26" s="3000"/>
      <c r="L26" s="3000"/>
      <c r="M26" s="2998"/>
      <c r="N26" s="2998"/>
      <c r="O26" s="2998"/>
      <c r="P26" s="2998"/>
      <c r="Q26" s="2998"/>
      <c r="R26" s="2998"/>
      <c r="S26" s="2998"/>
      <c r="T26" s="2998"/>
      <c r="U26" s="2998"/>
      <c r="V26" s="2998"/>
      <c r="W26" s="2998"/>
      <c r="X26" s="2998"/>
      <c r="Y26" s="2998"/>
      <c r="Z26" s="2998"/>
      <c r="AA26" s="2998"/>
      <c r="AB26" s="2998"/>
      <c r="AC26" s="2998"/>
      <c r="AD26" s="2998"/>
      <c r="AE26" s="2998"/>
      <c r="AF26" s="2998"/>
      <c r="AG26" s="2998"/>
      <c r="AH26" s="2998"/>
      <c r="AI26" s="2998"/>
      <c r="AJ26" s="2998"/>
      <c r="AK26" s="2998"/>
      <c r="AL26" s="2998"/>
      <c r="AM26" s="2998"/>
      <c r="AN26" s="2998"/>
      <c r="AO26" s="2998"/>
      <c r="AP26" s="2998"/>
      <c r="AQ26" s="2998"/>
      <c r="AR26" s="2998"/>
      <c r="AS26" s="2998"/>
      <c r="AT26" s="2998"/>
      <c r="AU26" s="2998"/>
      <c r="AV26" s="2998"/>
      <c r="AW26" s="2998"/>
      <c r="AX26" s="2998"/>
      <c r="AY26" s="2998"/>
      <c r="AZ26" s="2998"/>
    </row>
    <row r="27" spans="1:83" s="1162" customFormat="1" ht="28.8">
      <c r="A27" s="224" t="s">
        <v>2127</v>
      </c>
      <c r="B27" s="225"/>
      <c r="C27" s="3014" t="s">
        <v>2718</v>
      </c>
      <c r="D27" s="3005"/>
      <c r="E27" s="3006"/>
      <c r="F27" s="3006"/>
      <c r="G27" s="3001"/>
      <c r="H27" s="3001"/>
      <c r="I27" s="3001"/>
      <c r="J27" s="3001"/>
      <c r="K27" s="3000"/>
      <c r="L27" s="3000"/>
      <c r="M27" s="2998"/>
      <c r="N27" s="2998"/>
      <c r="O27" s="2998"/>
      <c r="P27" s="2998"/>
      <c r="Q27" s="2998"/>
      <c r="R27" s="2998"/>
      <c r="S27" s="2998"/>
      <c r="T27" s="2998"/>
      <c r="U27" s="2998"/>
      <c r="V27" s="2998"/>
      <c r="W27" s="2998"/>
      <c r="X27" s="2998"/>
      <c r="Y27" s="2998"/>
      <c r="Z27" s="2998"/>
      <c r="AA27" s="2998"/>
      <c r="AB27" s="2998"/>
      <c r="AC27" s="2998"/>
      <c r="AD27" s="2998"/>
      <c r="AE27" s="2998"/>
      <c r="AF27" s="2998"/>
      <c r="AG27" s="2998"/>
      <c r="AH27" s="2998"/>
      <c r="AI27" s="2998"/>
      <c r="AJ27" s="2998"/>
      <c r="AK27" s="2998"/>
      <c r="AL27" s="2998"/>
      <c r="AM27" s="2998"/>
      <c r="AN27" s="2998"/>
      <c r="AO27" s="2998"/>
      <c r="AP27" s="2998"/>
      <c r="AQ27" s="2998"/>
      <c r="AR27" s="2998"/>
      <c r="AS27" s="2998"/>
      <c r="AT27" s="2998"/>
      <c r="AU27" s="2998"/>
      <c r="AV27" s="2998"/>
      <c r="AW27" s="2998"/>
      <c r="AX27" s="2998"/>
      <c r="AY27" s="2998"/>
      <c r="AZ27" s="2998"/>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8.8">
      <c r="A28" s="226" t="s">
        <v>2128</v>
      </c>
      <c r="B28" s="227"/>
      <c r="C28" s="3007"/>
      <c r="D28" s="3005"/>
      <c r="E28" s="3006"/>
      <c r="F28" s="3006"/>
      <c r="G28" s="3001"/>
      <c r="H28" s="3001"/>
      <c r="I28" s="3001"/>
      <c r="J28" s="3001"/>
      <c r="K28" s="3000"/>
      <c r="L28" s="3000"/>
      <c r="M28" s="2998"/>
      <c r="N28" s="2998"/>
      <c r="O28" s="2998"/>
      <c r="P28" s="2998"/>
      <c r="Q28" s="2998"/>
      <c r="R28" s="2998"/>
      <c r="S28" s="2998"/>
      <c r="T28" s="2998"/>
      <c r="U28" s="2998"/>
      <c r="V28" s="2998"/>
      <c r="W28" s="2998"/>
      <c r="X28" s="2998"/>
      <c r="Y28" s="2998"/>
      <c r="Z28" s="2998"/>
      <c r="AA28" s="2998"/>
      <c r="AB28" s="2998"/>
      <c r="AC28" s="2998"/>
      <c r="AD28" s="2998"/>
      <c r="AE28" s="2998"/>
      <c r="AF28" s="2998"/>
      <c r="AG28" s="2998"/>
      <c r="AH28" s="2998"/>
      <c r="AI28" s="2998"/>
      <c r="AJ28" s="2998"/>
      <c r="AK28" s="2998"/>
      <c r="AL28" s="2998"/>
      <c r="AM28" s="2998"/>
      <c r="AN28" s="2998"/>
      <c r="AO28" s="2998"/>
      <c r="AP28" s="2998"/>
      <c r="AQ28" s="2998"/>
      <c r="AR28" s="2998"/>
      <c r="AS28" s="2998"/>
      <c r="AT28" s="2998"/>
      <c r="AU28" s="2998"/>
      <c r="AV28" s="2998"/>
      <c r="AW28" s="2998"/>
      <c r="AX28" s="2998"/>
      <c r="AY28" s="2998"/>
      <c r="AZ28" s="2998"/>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9.4" thickBot="1">
      <c r="A29" s="229" t="s">
        <v>2126</v>
      </c>
      <c r="B29" s="230"/>
      <c r="C29" s="3015" t="s">
        <v>2129</v>
      </c>
      <c r="D29" s="3005"/>
      <c r="E29" s="3006"/>
      <c r="F29" s="3006"/>
      <c r="G29" s="3001"/>
      <c r="H29" s="3001"/>
      <c r="I29" s="3001"/>
      <c r="J29" s="3001"/>
      <c r="K29" s="3000"/>
      <c r="L29" s="3000"/>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8"/>
      <c r="AK29" s="2998"/>
      <c r="AL29" s="2998"/>
      <c r="AM29" s="2998"/>
      <c r="AN29" s="2998"/>
      <c r="AO29" s="2998"/>
      <c r="AP29" s="2998"/>
      <c r="AQ29" s="2998"/>
      <c r="AR29" s="2998"/>
      <c r="AS29" s="2998"/>
      <c r="AT29" s="2998"/>
      <c r="AU29" s="2998"/>
      <c r="AV29" s="2998"/>
      <c r="AW29" s="2998"/>
      <c r="AX29" s="2998"/>
      <c r="AY29" s="2998"/>
      <c r="AZ29" s="2998"/>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8.8">
      <c r="A30" s="233" t="s">
        <v>273</v>
      </c>
      <c r="B30" s="949"/>
      <c r="C30" s="3007"/>
      <c r="D30" s="3005"/>
      <c r="E30" s="3006"/>
      <c r="F30" s="3006"/>
      <c r="G30" s="3001"/>
      <c r="H30" s="3001"/>
      <c r="I30" s="3001"/>
      <c r="J30" s="3001"/>
      <c r="K30" s="3000"/>
      <c r="L30" s="3000"/>
      <c r="M30" s="2998"/>
      <c r="N30" s="2998"/>
      <c r="O30" s="2998"/>
      <c r="P30" s="2998"/>
      <c r="Q30" s="2998"/>
      <c r="R30" s="2998"/>
      <c r="S30" s="2998"/>
      <c r="T30" s="2998"/>
      <c r="U30" s="2998"/>
      <c r="V30" s="2998"/>
      <c r="W30" s="2998"/>
      <c r="X30" s="2998"/>
      <c r="Y30" s="2998"/>
      <c r="Z30" s="2998"/>
      <c r="AA30" s="2998"/>
      <c r="AB30" s="2998"/>
      <c r="AC30" s="2998"/>
      <c r="AD30" s="2998"/>
      <c r="AE30" s="2998"/>
      <c r="AF30" s="2998"/>
      <c r="AG30" s="2998"/>
      <c r="AH30" s="2998"/>
      <c r="AI30" s="2998"/>
      <c r="AJ30" s="2998"/>
      <c r="AK30" s="2998"/>
      <c r="AL30" s="2998"/>
      <c r="AM30" s="2998"/>
      <c r="AN30" s="2998"/>
      <c r="AO30" s="2998"/>
      <c r="AP30" s="2998"/>
      <c r="AQ30" s="2998"/>
      <c r="AR30" s="2998"/>
      <c r="AS30" s="2998"/>
      <c r="AT30" s="2998"/>
      <c r="AU30" s="2998"/>
      <c r="AV30" s="2998"/>
      <c r="AW30" s="2998"/>
      <c r="AX30" s="2998"/>
      <c r="AY30" s="2998"/>
      <c r="AZ30" s="2998"/>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8.8">
      <c r="A31" s="226" t="s">
        <v>274</v>
      </c>
      <c r="B31" s="228">
        <f>B30-B32</f>
        <v>0</v>
      </c>
      <c r="C31" s="3004"/>
      <c r="D31" s="3005"/>
      <c r="E31" s="3006"/>
      <c r="F31" s="3006"/>
      <c r="G31" s="3001"/>
      <c r="H31" s="3001"/>
      <c r="I31" s="3001"/>
      <c r="J31" s="3001"/>
      <c r="K31" s="3000"/>
      <c r="L31" s="3000"/>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H31" s="2998"/>
      <c r="AI31" s="2998"/>
      <c r="AJ31" s="2998"/>
      <c r="AK31" s="2998"/>
      <c r="AL31" s="2998"/>
      <c r="AM31" s="2998"/>
      <c r="AN31" s="2998"/>
      <c r="AO31" s="2998"/>
      <c r="AP31" s="2998"/>
      <c r="AQ31" s="2998"/>
      <c r="AR31" s="2998"/>
      <c r="AS31" s="2998"/>
      <c r="AT31" s="2998"/>
      <c r="AU31" s="2998"/>
      <c r="AV31" s="2998"/>
      <c r="AW31" s="2998"/>
      <c r="AX31" s="2998"/>
      <c r="AY31" s="2998"/>
      <c r="AZ31" s="2998"/>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9.4" thickBot="1">
      <c r="A32" s="235" t="s">
        <v>275</v>
      </c>
      <c r="B32" s="1285"/>
      <c r="C32" s="3007"/>
      <c r="D32" s="3002"/>
      <c r="E32" s="3001"/>
      <c r="F32" s="3001"/>
      <c r="G32" s="3001"/>
      <c r="H32" s="3001"/>
      <c r="I32" s="3001"/>
      <c r="J32" s="3001"/>
      <c r="K32" s="3000"/>
      <c r="L32" s="3000"/>
      <c r="M32" s="2998"/>
      <c r="N32" s="2998"/>
      <c r="O32" s="2998"/>
      <c r="P32" s="2998"/>
      <c r="Q32" s="2998"/>
      <c r="R32" s="2998"/>
      <c r="S32" s="2998"/>
      <c r="T32" s="2998"/>
      <c r="U32" s="2998"/>
      <c r="V32" s="2998"/>
      <c r="W32" s="2998"/>
      <c r="X32" s="2998"/>
      <c r="Y32" s="2998"/>
      <c r="Z32" s="2998"/>
      <c r="AA32" s="2998"/>
      <c r="AB32" s="2998"/>
      <c r="AC32" s="2998"/>
      <c r="AD32" s="2998"/>
      <c r="AE32" s="2998"/>
      <c r="AF32" s="2998"/>
      <c r="AG32" s="2998"/>
      <c r="AH32" s="2998"/>
      <c r="AI32" s="2998"/>
      <c r="AJ32" s="2998"/>
      <c r="AK32" s="2998"/>
      <c r="AL32" s="2998"/>
      <c r="AM32" s="2998"/>
      <c r="AN32" s="2998"/>
      <c r="AO32" s="2998"/>
      <c r="AP32" s="2998"/>
      <c r="AQ32" s="2998"/>
      <c r="AR32" s="2998"/>
      <c r="AS32" s="2998"/>
      <c r="AT32" s="2998"/>
      <c r="AU32" s="2998"/>
      <c r="AV32" s="2998"/>
      <c r="AW32" s="2998"/>
      <c r="AX32" s="2998"/>
      <c r="AY32" s="2998"/>
      <c r="AZ32" s="2998"/>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4">
      <c r="A33" s="224" t="s">
        <v>278</v>
      </c>
      <c r="B33" s="1286"/>
      <c r="C33" s="3016" t="s">
        <v>2706</v>
      </c>
      <c r="D33" s="3005"/>
      <c r="E33" s="3006"/>
      <c r="F33" s="3006"/>
      <c r="G33" s="3001"/>
      <c r="H33" s="3001"/>
      <c r="I33" s="3001"/>
      <c r="J33" s="3001"/>
      <c r="K33" s="3000"/>
      <c r="L33" s="3000"/>
      <c r="M33" s="2998"/>
      <c r="N33" s="2998"/>
      <c r="O33" s="2998"/>
      <c r="P33" s="2998"/>
      <c r="Q33" s="2998"/>
      <c r="R33" s="2998"/>
      <c r="S33" s="2998"/>
      <c r="T33" s="2998"/>
      <c r="U33" s="2998"/>
      <c r="V33" s="2998"/>
      <c r="W33" s="2998"/>
      <c r="X33" s="2998"/>
      <c r="Y33" s="2998"/>
      <c r="Z33" s="2998"/>
      <c r="AA33" s="2998"/>
      <c r="AB33" s="2998"/>
      <c r="AC33" s="2998"/>
      <c r="AD33" s="2998"/>
      <c r="AE33" s="2998"/>
      <c r="AF33" s="2998"/>
      <c r="AG33" s="2998"/>
      <c r="AH33" s="2998"/>
      <c r="AI33" s="2998"/>
      <c r="AJ33" s="2998"/>
      <c r="AK33" s="2998"/>
      <c r="AL33" s="2998"/>
      <c r="AM33" s="2998"/>
      <c r="AN33" s="2998"/>
      <c r="AO33" s="2998"/>
      <c r="AP33" s="2998"/>
      <c r="AQ33" s="2998"/>
      <c r="AR33" s="2998"/>
      <c r="AS33" s="2998"/>
      <c r="AT33" s="2998"/>
      <c r="AU33" s="2998"/>
      <c r="AV33" s="2998"/>
      <c r="AW33" s="2998"/>
      <c r="AX33" s="2998"/>
      <c r="AY33" s="2998"/>
      <c r="AZ33" s="2998"/>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4">
      <c r="A34" s="226" t="s">
        <v>279</v>
      </c>
      <c r="B34" s="231"/>
      <c r="C34" s="3016" t="s">
        <v>2707</v>
      </c>
      <c r="D34" s="3017" t="s">
        <v>2714</v>
      </c>
      <c r="E34" s="2998"/>
      <c r="F34" s="3001"/>
      <c r="G34" s="3001"/>
      <c r="H34" s="3001"/>
      <c r="I34" s="3001"/>
      <c r="J34" s="3001"/>
      <c r="K34" s="3000"/>
      <c r="L34" s="3000"/>
      <c r="M34" s="2998"/>
      <c r="N34" s="2998"/>
      <c r="O34" s="2998"/>
      <c r="P34" s="2998"/>
      <c r="Q34" s="2998"/>
      <c r="R34" s="2998"/>
      <c r="S34" s="2998"/>
      <c r="T34" s="2998"/>
      <c r="U34" s="2998"/>
      <c r="V34" s="2998"/>
      <c r="W34" s="2998"/>
      <c r="X34" s="2998"/>
      <c r="Y34" s="2998"/>
      <c r="Z34" s="2998"/>
      <c r="AA34" s="2998"/>
      <c r="AB34" s="2998"/>
      <c r="AC34" s="2998"/>
      <c r="AD34" s="2998"/>
      <c r="AE34" s="2998"/>
      <c r="AF34" s="2998"/>
      <c r="AG34" s="2998"/>
      <c r="AH34" s="2998"/>
      <c r="AI34" s="2998"/>
      <c r="AJ34" s="2998"/>
      <c r="AK34" s="2998"/>
      <c r="AL34" s="2998"/>
      <c r="AM34" s="2998"/>
      <c r="AN34" s="2998"/>
      <c r="AO34" s="2998"/>
      <c r="AP34" s="2998"/>
      <c r="AQ34" s="2998"/>
      <c r="AR34" s="2998"/>
      <c r="AS34" s="2998"/>
      <c r="AT34" s="2998"/>
      <c r="AU34" s="2998"/>
      <c r="AV34" s="2998"/>
      <c r="AW34" s="2998"/>
      <c r="AX34" s="2998"/>
      <c r="AY34" s="2998"/>
      <c r="AZ34" s="2998"/>
    </row>
    <row r="35" spans="1:83" ht="14.4">
      <c r="A35" s="226" t="s">
        <v>276</v>
      </c>
      <c r="B35" s="227"/>
      <c r="C35" s="3016" t="s">
        <v>2708</v>
      </c>
      <c r="D35" s="3002"/>
      <c r="E35" s="3001"/>
      <c r="F35" s="3001"/>
      <c r="G35" s="3001"/>
      <c r="H35" s="3001"/>
      <c r="I35" s="3001"/>
      <c r="J35" s="3001"/>
      <c r="K35" s="3000"/>
      <c r="L35" s="3000"/>
      <c r="M35" s="2998"/>
      <c r="N35" s="2998"/>
      <c r="O35" s="2998"/>
      <c r="P35" s="2998"/>
      <c r="Q35" s="2998"/>
      <c r="R35" s="2998"/>
      <c r="S35" s="2998"/>
      <c r="T35" s="2998"/>
      <c r="U35" s="2998"/>
      <c r="V35" s="2998"/>
      <c r="W35" s="2998"/>
      <c r="X35" s="2998"/>
      <c r="Y35" s="2998"/>
      <c r="Z35" s="2998"/>
      <c r="AA35" s="2998"/>
      <c r="AB35" s="2998"/>
      <c r="AC35" s="2998"/>
      <c r="AD35" s="2998"/>
      <c r="AE35" s="2998"/>
      <c r="AF35" s="2998"/>
      <c r="AG35" s="2998"/>
      <c r="AH35" s="2998"/>
      <c r="AI35" s="2998"/>
      <c r="AJ35" s="2998"/>
      <c r="AK35" s="2998"/>
      <c r="AL35" s="2998"/>
      <c r="AM35" s="2998"/>
      <c r="AN35" s="2998"/>
      <c r="AO35" s="2998"/>
      <c r="AP35" s="2998"/>
      <c r="AQ35" s="2998"/>
      <c r="AR35" s="2998"/>
      <c r="AS35" s="2998"/>
      <c r="AT35" s="2998"/>
      <c r="AU35" s="2998"/>
      <c r="AV35" s="2998"/>
      <c r="AW35" s="2998"/>
      <c r="AX35" s="2998"/>
      <c r="AY35" s="2998"/>
      <c r="AZ35" s="2998"/>
    </row>
    <row r="36" spans="1:83" ht="15" thickBot="1">
      <c r="A36" s="229" t="s">
        <v>277</v>
      </c>
      <c r="B36" s="232"/>
      <c r="C36" s="3016" t="s">
        <v>2709</v>
      </c>
      <c r="D36" s="2999"/>
      <c r="E36" s="2998"/>
      <c r="F36" s="3001"/>
      <c r="G36" s="3001"/>
      <c r="H36" s="3001"/>
      <c r="I36" s="3001"/>
      <c r="J36" s="3001"/>
      <c r="K36" s="3000"/>
      <c r="L36" s="3000"/>
      <c r="M36" s="2998"/>
      <c r="N36" s="2998"/>
      <c r="O36" s="2998"/>
      <c r="P36" s="2998"/>
      <c r="Q36" s="2998"/>
      <c r="R36" s="2998"/>
      <c r="S36" s="2998"/>
      <c r="T36" s="2998"/>
      <c r="U36" s="2998"/>
      <c r="V36" s="2998"/>
      <c r="W36" s="2998"/>
      <c r="X36" s="2998"/>
      <c r="Y36" s="2998"/>
      <c r="Z36" s="2998"/>
      <c r="AA36" s="2998"/>
      <c r="AB36" s="2998"/>
      <c r="AC36" s="2998"/>
      <c r="AD36" s="2998"/>
      <c r="AE36" s="2998"/>
      <c r="AF36" s="2998"/>
      <c r="AG36" s="2998"/>
      <c r="AH36" s="2998"/>
      <c r="AI36" s="2998"/>
      <c r="AJ36" s="2998"/>
      <c r="AK36" s="2998"/>
      <c r="AL36" s="2998"/>
      <c r="AM36" s="2998"/>
      <c r="AN36" s="2998"/>
      <c r="AO36" s="2998"/>
      <c r="AP36" s="2998"/>
      <c r="AQ36" s="2998"/>
      <c r="AR36" s="2998"/>
      <c r="AS36" s="2998"/>
      <c r="AT36" s="2998"/>
      <c r="AU36" s="2998"/>
      <c r="AV36" s="2998"/>
      <c r="AW36" s="2998"/>
      <c r="AX36" s="2998"/>
      <c r="AY36" s="2998"/>
      <c r="AZ36" s="2998"/>
    </row>
    <row r="37" spans="1:83" ht="14.4">
      <c r="A37" s="233" t="s">
        <v>280</v>
      </c>
      <c r="B37" s="234"/>
      <c r="C37" s="3016" t="s">
        <v>2710</v>
      </c>
      <c r="D37" s="3002"/>
      <c r="E37" s="3001"/>
      <c r="F37" s="3001"/>
      <c r="G37" s="3001"/>
      <c r="H37" s="3001"/>
      <c r="I37" s="3001"/>
      <c r="J37" s="3001"/>
      <c r="K37" s="3000"/>
      <c r="L37" s="3000"/>
      <c r="M37" s="2998"/>
      <c r="N37" s="2998"/>
      <c r="O37" s="2998"/>
      <c r="P37" s="2998"/>
      <c r="Q37" s="2998"/>
      <c r="R37" s="2998"/>
      <c r="S37" s="2998"/>
      <c r="T37" s="2998"/>
      <c r="U37" s="2998"/>
      <c r="V37" s="2998"/>
      <c r="W37" s="2998"/>
      <c r="X37" s="2998"/>
      <c r="Y37" s="2998"/>
      <c r="Z37" s="2998"/>
      <c r="AA37" s="2998"/>
      <c r="AB37" s="2998"/>
      <c r="AC37" s="2998"/>
      <c r="AD37" s="2998"/>
      <c r="AE37" s="2998"/>
      <c r="AF37" s="2998"/>
      <c r="AG37" s="2998"/>
      <c r="AH37" s="2998"/>
      <c r="AI37" s="2998"/>
      <c r="AJ37" s="2998"/>
      <c r="AK37" s="2998"/>
      <c r="AL37" s="2998"/>
      <c r="AM37" s="2998"/>
      <c r="AN37" s="2998"/>
      <c r="AO37" s="2998"/>
      <c r="AP37" s="2998"/>
      <c r="AQ37" s="2998"/>
      <c r="AR37" s="2998"/>
      <c r="AS37" s="2998"/>
      <c r="AT37" s="2998"/>
      <c r="AU37" s="2998"/>
      <c r="AV37" s="2998"/>
      <c r="AW37" s="2998"/>
      <c r="AX37" s="2998"/>
      <c r="AY37" s="2998"/>
      <c r="AZ37" s="2998"/>
    </row>
    <row r="38" spans="1:83" ht="14.4">
      <c r="A38" s="226" t="s">
        <v>281</v>
      </c>
      <c r="B38" s="231"/>
      <c r="C38" s="3016" t="s">
        <v>2710</v>
      </c>
      <c r="D38" s="3002"/>
      <c r="E38" s="3001"/>
      <c r="F38" s="3001"/>
      <c r="G38" s="3001"/>
      <c r="H38" s="3001"/>
      <c r="I38" s="3001"/>
      <c r="J38" s="3001"/>
      <c r="K38" s="3000"/>
      <c r="L38" s="3000"/>
      <c r="M38" s="2998"/>
      <c r="N38" s="2998"/>
      <c r="O38" s="2998"/>
      <c r="P38" s="2998"/>
      <c r="Q38" s="2998"/>
      <c r="R38" s="2998"/>
      <c r="S38" s="2998"/>
      <c r="T38" s="2998"/>
      <c r="U38" s="2998"/>
      <c r="V38" s="2998"/>
      <c r="W38" s="2998"/>
      <c r="X38" s="2998"/>
      <c r="Y38" s="2998"/>
      <c r="Z38" s="2998"/>
      <c r="AA38" s="2998"/>
      <c r="AB38" s="2998"/>
      <c r="AC38" s="2998"/>
      <c r="AD38" s="2998"/>
      <c r="AE38" s="2998"/>
      <c r="AF38" s="2998"/>
      <c r="AG38" s="2998"/>
      <c r="AH38" s="2998"/>
      <c r="AI38" s="2998"/>
      <c r="AJ38" s="2998"/>
      <c r="AK38" s="2998"/>
      <c r="AL38" s="2998"/>
      <c r="AM38" s="2998"/>
      <c r="AN38" s="2998"/>
      <c r="AO38" s="2998"/>
      <c r="AP38" s="2998"/>
      <c r="AQ38" s="2998"/>
      <c r="AR38" s="2998"/>
      <c r="AS38" s="2998"/>
      <c r="AT38" s="2998"/>
      <c r="AU38" s="2998"/>
      <c r="AV38" s="2998"/>
      <c r="AW38" s="2998"/>
      <c r="AX38" s="2998"/>
      <c r="AY38" s="2998"/>
      <c r="AZ38" s="2998"/>
    </row>
    <row r="39" spans="1:83" ht="14.4">
      <c r="A39" s="2294" t="s">
        <v>2236</v>
      </c>
      <c r="B39" s="773">
        <f ca="1">存贷款利率!C4</f>
        <v>0</v>
      </c>
      <c r="C39" s="3008"/>
      <c r="D39" s="3002"/>
      <c r="E39" s="3001"/>
      <c r="F39" s="3001"/>
      <c r="G39" s="3001"/>
      <c r="H39" s="3001"/>
      <c r="I39" s="3001"/>
      <c r="J39" s="3001"/>
      <c r="K39" s="3000"/>
      <c r="L39" s="3000"/>
      <c r="M39" s="2998"/>
      <c r="N39" s="2998"/>
      <c r="O39" s="2998"/>
      <c r="P39" s="2998"/>
      <c r="Q39" s="2998"/>
      <c r="R39" s="2998"/>
      <c r="S39" s="2998"/>
      <c r="T39" s="2998"/>
      <c r="U39" s="2998"/>
      <c r="V39" s="2998"/>
      <c r="W39" s="2998"/>
      <c r="X39" s="2998"/>
      <c r="Y39" s="2998"/>
      <c r="Z39" s="2998"/>
      <c r="AA39" s="2998"/>
      <c r="AB39" s="2998"/>
      <c r="AC39" s="2998"/>
      <c r="AD39" s="2998"/>
      <c r="AE39" s="2998"/>
      <c r="AF39" s="2998"/>
      <c r="AG39" s="2998"/>
      <c r="AH39" s="2998"/>
      <c r="AI39" s="2998"/>
      <c r="AJ39" s="2998"/>
      <c r="AK39" s="2998"/>
      <c r="AL39" s="2998"/>
      <c r="AM39" s="2998"/>
      <c r="AN39" s="2998"/>
      <c r="AO39" s="2998"/>
      <c r="AP39" s="2998"/>
      <c r="AQ39" s="2998"/>
      <c r="AR39" s="2998"/>
      <c r="AS39" s="2998"/>
      <c r="AT39" s="2998"/>
      <c r="AU39" s="2998"/>
      <c r="AV39" s="2998"/>
      <c r="AW39" s="2998"/>
      <c r="AX39" s="2998"/>
      <c r="AY39" s="2998"/>
      <c r="AZ39" s="2998"/>
    </row>
    <row r="40" spans="1:83" ht="15" thickBot="1">
      <c r="A40" s="3188" t="s">
        <v>2733</v>
      </c>
      <c r="B40" s="2288">
        <f ca="1">IF(A40="利息：取LPR",存贷款利率!E2,存贷款利率!E2+C40)</f>
        <v>0</v>
      </c>
      <c r="C40" s="3189">
        <v>5.0000000000000001E-3</v>
      </c>
      <c r="D40" s="3002"/>
      <c r="E40" s="3001"/>
      <c r="F40" s="3001"/>
      <c r="G40" s="3001"/>
      <c r="H40" s="3001"/>
      <c r="I40" s="3001"/>
      <c r="J40" s="3001"/>
      <c r="K40" s="3000"/>
      <c r="L40" s="3000"/>
      <c r="M40" s="2998"/>
      <c r="N40" s="2998"/>
      <c r="O40" s="2998"/>
      <c r="P40" s="2998"/>
      <c r="Q40" s="2998"/>
      <c r="R40" s="2998"/>
      <c r="S40" s="2998"/>
      <c r="T40" s="2998"/>
      <c r="U40" s="2998"/>
      <c r="V40" s="2998"/>
      <c r="W40" s="2998"/>
      <c r="X40" s="2998"/>
      <c r="Y40" s="2998"/>
      <c r="Z40" s="2998"/>
      <c r="AA40" s="2998"/>
      <c r="AB40" s="2998"/>
      <c r="AC40" s="2998"/>
      <c r="AD40" s="2998"/>
      <c r="AE40" s="2998"/>
      <c r="AF40" s="2998"/>
      <c r="AG40" s="2998"/>
      <c r="AH40" s="2998"/>
      <c r="AI40" s="2998"/>
      <c r="AJ40" s="2998"/>
      <c r="AK40" s="2998"/>
      <c r="AL40" s="2998"/>
      <c r="AM40" s="2998"/>
      <c r="AN40" s="2998"/>
      <c r="AO40" s="2998"/>
      <c r="AP40" s="2998"/>
      <c r="AQ40" s="2998"/>
      <c r="AR40" s="2998"/>
      <c r="AS40" s="2998"/>
      <c r="AT40" s="2998"/>
      <c r="AU40" s="2998"/>
      <c r="AV40" s="2998"/>
      <c r="AW40" s="2998"/>
      <c r="AX40" s="2998"/>
      <c r="AY40" s="2998"/>
      <c r="AZ40" s="2998"/>
    </row>
    <row r="41" spans="1:83" ht="14.4">
      <c r="A41" s="224" t="s">
        <v>282</v>
      </c>
      <c r="B41" s="236">
        <f>B42+B43</f>
        <v>0</v>
      </c>
      <c r="C41" s="3004"/>
      <c r="D41" s="3002"/>
      <c r="E41" s="3001"/>
      <c r="F41" s="3001"/>
      <c r="G41" s="3001"/>
      <c r="H41" s="3001"/>
      <c r="I41" s="3001"/>
      <c r="J41" s="3001"/>
      <c r="K41" s="3000"/>
      <c r="L41" s="3000"/>
      <c r="M41" s="2998"/>
      <c r="N41" s="2998"/>
      <c r="O41" s="2998"/>
      <c r="P41" s="2998"/>
      <c r="Q41" s="2998"/>
      <c r="R41" s="2998"/>
      <c r="S41" s="2998"/>
      <c r="T41" s="2998"/>
      <c r="U41" s="2998"/>
      <c r="V41" s="2998"/>
      <c r="W41" s="2998"/>
      <c r="X41" s="2998"/>
      <c r="Y41" s="2998"/>
      <c r="Z41" s="2998"/>
      <c r="AA41" s="2998"/>
      <c r="AB41" s="2998"/>
      <c r="AC41" s="2998"/>
      <c r="AD41" s="2998"/>
      <c r="AE41" s="2998"/>
      <c r="AF41" s="2998"/>
      <c r="AG41" s="2998"/>
      <c r="AH41" s="2998"/>
      <c r="AI41" s="2998"/>
      <c r="AJ41" s="2998"/>
      <c r="AK41" s="2998"/>
      <c r="AL41" s="2998"/>
      <c r="AM41" s="2998"/>
      <c r="AN41" s="2998"/>
      <c r="AO41" s="2998"/>
      <c r="AP41" s="2998"/>
      <c r="AQ41" s="2998"/>
      <c r="AR41" s="2998"/>
      <c r="AS41" s="2998"/>
      <c r="AT41" s="2998"/>
      <c r="AU41" s="2998"/>
      <c r="AV41" s="2998"/>
      <c r="AW41" s="2998"/>
      <c r="AX41" s="2998"/>
      <c r="AY41" s="2998"/>
      <c r="AZ41" s="2998"/>
    </row>
    <row r="42" spans="1:83" ht="14.4">
      <c r="A42" s="950" t="s">
        <v>283</v>
      </c>
      <c r="B42" s="238"/>
      <c r="C42" s="3018">
        <f>IF(B2&lt;DATE(2016,5,1),0,B42)</f>
        <v>0</v>
      </c>
      <c r="D42" s="3002"/>
      <c r="E42" s="3001"/>
      <c r="F42" s="3001"/>
      <c r="G42" s="3001"/>
      <c r="H42" s="3001"/>
      <c r="I42" s="3001"/>
      <c r="J42" s="3001"/>
      <c r="K42" s="3000"/>
      <c r="L42" s="3000"/>
      <c r="M42" s="2998"/>
      <c r="N42" s="2998"/>
      <c r="O42" s="2998"/>
      <c r="P42" s="2998"/>
      <c r="Q42" s="2998"/>
      <c r="R42" s="2998"/>
      <c r="S42" s="2998"/>
      <c r="T42" s="2998"/>
      <c r="U42" s="2998"/>
      <c r="V42" s="2998"/>
      <c r="W42" s="2998"/>
      <c r="X42" s="2998"/>
      <c r="Y42" s="2998"/>
      <c r="Z42" s="2998"/>
      <c r="AA42" s="2998"/>
      <c r="AB42" s="2998"/>
      <c r="AC42" s="2998"/>
      <c r="AD42" s="2998"/>
      <c r="AE42" s="2998"/>
      <c r="AF42" s="2998"/>
      <c r="AG42" s="2998"/>
      <c r="AH42" s="2998"/>
      <c r="AI42" s="2998"/>
      <c r="AJ42" s="2998"/>
      <c r="AK42" s="2998"/>
      <c r="AL42" s="2998"/>
      <c r="AM42" s="2998"/>
      <c r="AN42" s="2998"/>
      <c r="AO42" s="2998"/>
      <c r="AP42" s="2998"/>
      <c r="AQ42" s="2998"/>
      <c r="AR42" s="2998"/>
      <c r="AS42" s="2998"/>
      <c r="AT42" s="2998"/>
      <c r="AU42" s="2998"/>
      <c r="AV42" s="2998"/>
      <c r="AW42" s="2998"/>
      <c r="AX42" s="2998"/>
      <c r="AY42" s="2998"/>
      <c r="AZ42" s="2998"/>
    </row>
    <row r="43" spans="1:83" ht="14.4">
      <c r="A43" s="950" t="s">
        <v>284</v>
      </c>
      <c r="B43" s="239">
        <f>B42*(B44+B45+B46)+B47</f>
        <v>0</v>
      </c>
      <c r="C43" s="3004"/>
      <c r="D43" s="3002"/>
      <c r="E43" s="3001"/>
      <c r="F43" s="3001"/>
      <c r="G43" s="3001"/>
      <c r="H43" s="3001"/>
      <c r="I43" s="3001"/>
      <c r="J43" s="3001"/>
      <c r="K43" s="3000"/>
      <c r="L43" s="3000"/>
      <c r="M43" s="2998"/>
      <c r="N43" s="2998"/>
      <c r="O43" s="2998"/>
      <c r="P43" s="2998"/>
      <c r="Q43" s="2998"/>
      <c r="R43" s="2998"/>
      <c r="S43" s="2998"/>
      <c r="T43" s="2998"/>
      <c r="U43" s="2998"/>
      <c r="V43" s="2998"/>
      <c r="W43" s="2998"/>
      <c r="X43" s="2998"/>
      <c r="Y43" s="2998"/>
      <c r="Z43" s="2998"/>
      <c r="AA43" s="2998"/>
      <c r="AB43" s="2998"/>
      <c r="AC43" s="2998"/>
      <c r="AD43" s="2998"/>
      <c r="AE43" s="2998"/>
      <c r="AF43" s="2998"/>
      <c r="AG43" s="2998"/>
      <c r="AH43" s="2998"/>
      <c r="AI43" s="2998"/>
      <c r="AJ43" s="2998"/>
      <c r="AK43" s="2998"/>
      <c r="AL43" s="2998"/>
      <c r="AM43" s="2998"/>
      <c r="AN43" s="2998"/>
      <c r="AO43" s="2998"/>
      <c r="AP43" s="2998"/>
      <c r="AQ43" s="2998"/>
      <c r="AR43" s="2998"/>
      <c r="AS43" s="2998"/>
      <c r="AT43" s="2998"/>
      <c r="AU43" s="2998"/>
      <c r="AV43" s="2998"/>
      <c r="AW43" s="2998"/>
      <c r="AX43" s="2998"/>
      <c r="AY43" s="2998"/>
      <c r="AZ43" s="2998"/>
    </row>
    <row r="44" spans="1:83" ht="14.4">
      <c r="A44" s="237" t="s">
        <v>285</v>
      </c>
      <c r="B44" s="240"/>
      <c r="C44" s="3016" t="s">
        <v>2715</v>
      </c>
      <c r="D44" s="3002"/>
      <c r="E44" s="3001"/>
      <c r="F44" s="3001"/>
      <c r="G44" s="3001"/>
      <c r="H44" s="3001"/>
      <c r="I44" s="3001"/>
      <c r="J44" s="3001"/>
      <c r="K44" s="3000"/>
      <c r="L44" s="3000"/>
      <c r="M44" s="2998"/>
      <c r="N44" s="2998"/>
      <c r="O44" s="2998"/>
      <c r="P44" s="2998"/>
      <c r="Q44" s="2998"/>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8"/>
      <c r="AO44" s="2998"/>
      <c r="AP44" s="2998"/>
      <c r="AQ44" s="2998"/>
      <c r="AR44" s="2998"/>
      <c r="AS44" s="2998"/>
      <c r="AT44" s="2998"/>
      <c r="AU44" s="2998"/>
      <c r="AV44" s="2998"/>
      <c r="AW44" s="2998"/>
      <c r="AX44" s="2998"/>
      <c r="AY44" s="2998"/>
      <c r="AZ44" s="2998"/>
    </row>
    <row r="45" spans="1:83" ht="14.4">
      <c r="A45" s="237" t="s">
        <v>286</v>
      </c>
      <c r="B45" s="238"/>
      <c r="C45" s="3019" t="s">
        <v>2711</v>
      </c>
      <c r="D45" s="3002"/>
      <c r="E45" s="3001"/>
      <c r="F45" s="3001"/>
      <c r="G45" s="3001"/>
      <c r="H45" s="3001"/>
      <c r="I45" s="3001"/>
      <c r="J45" s="3001"/>
      <c r="K45" s="3000"/>
      <c r="L45" s="3000"/>
      <c r="M45" s="2998"/>
      <c r="N45" s="2998"/>
      <c r="O45" s="2998"/>
      <c r="P45" s="2998"/>
      <c r="Q45" s="2998"/>
      <c r="R45" s="2998"/>
      <c r="S45" s="2998"/>
      <c r="T45" s="2998"/>
      <c r="U45" s="2998"/>
      <c r="V45" s="2998"/>
      <c r="W45" s="2998"/>
      <c r="X45" s="2998"/>
      <c r="Y45" s="2998"/>
      <c r="Z45" s="2998"/>
      <c r="AA45" s="2998"/>
      <c r="AB45" s="2998"/>
      <c r="AC45" s="2998"/>
      <c r="AD45" s="2998"/>
      <c r="AE45" s="2998"/>
      <c r="AF45" s="2998"/>
      <c r="AG45" s="2998"/>
      <c r="AH45" s="2998"/>
      <c r="AI45" s="2998"/>
      <c r="AJ45" s="2998"/>
      <c r="AK45" s="2998"/>
      <c r="AL45" s="2998"/>
      <c r="AM45" s="2998"/>
      <c r="AN45" s="2998"/>
      <c r="AO45" s="2998"/>
      <c r="AP45" s="2998"/>
      <c r="AQ45" s="2998"/>
      <c r="AR45" s="2998"/>
      <c r="AS45" s="2998"/>
      <c r="AT45" s="2998"/>
      <c r="AU45" s="2998"/>
      <c r="AV45" s="2998"/>
      <c r="AW45" s="2998"/>
      <c r="AX45" s="2998"/>
      <c r="AY45" s="2998"/>
      <c r="AZ45" s="2998"/>
    </row>
    <row r="46" spans="1:83" ht="14.4">
      <c r="A46" s="237" t="s">
        <v>287</v>
      </c>
      <c r="B46" s="238"/>
      <c r="C46" s="3019" t="s">
        <v>2712</v>
      </c>
      <c r="D46" s="3002"/>
      <c r="E46" s="3001"/>
      <c r="F46" s="3001"/>
      <c r="G46" s="3001"/>
      <c r="H46" s="3001"/>
      <c r="I46" s="3001"/>
      <c r="J46" s="3001"/>
      <c r="K46" s="3000"/>
      <c r="L46" s="3000"/>
      <c r="M46" s="2998"/>
      <c r="N46" s="2998"/>
      <c r="O46" s="2998"/>
      <c r="P46" s="2998"/>
      <c r="Q46" s="2998"/>
      <c r="R46" s="2998"/>
      <c r="S46" s="2998"/>
      <c r="T46" s="2998"/>
      <c r="U46" s="2998"/>
      <c r="V46" s="2998"/>
      <c r="W46" s="2998"/>
      <c r="X46" s="2998"/>
      <c r="Y46" s="2998"/>
      <c r="Z46" s="2998"/>
      <c r="AA46" s="2998"/>
      <c r="AB46" s="2998"/>
      <c r="AC46" s="2998"/>
      <c r="AD46" s="2998"/>
      <c r="AE46" s="2998"/>
      <c r="AF46" s="2998"/>
      <c r="AG46" s="2998"/>
      <c r="AH46" s="2998"/>
      <c r="AI46" s="2998"/>
      <c r="AJ46" s="2998"/>
      <c r="AK46" s="2998"/>
      <c r="AL46" s="2998"/>
      <c r="AM46" s="2998"/>
      <c r="AN46" s="2998"/>
      <c r="AO46" s="2998"/>
      <c r="AP46" s="2998"/>
      <c r="AQ46" s="2998"/>
      <c r="AR46" s="2998"/>
      <c r="AS46" s="2998"/>
      <c r="AT46" s="2998"/>
      <c r="AU46" s="2998"/>
      <c r="AV46" s="2998"/>
      <c r="AW46" s="2998"/>
      <c r="AX46" s="2998"/>
      <c r="AY46" s="2998"/>
      <c r="AZ46" s="2998"/>
    </row>
    <row r="47" spans="1:83" ht="15" thickBot="1">
      <c r="A47" s="241" t="s">
        <v>288</v>
      </c>
      <c r="B47" s="242"/>
      <c r="C47" s="3014" t="s">
        <v>2719</v>
      </c>
      <c r="D47" s="3002"/>
      <c r="E47" s="3001"/>
      <c r="F47" s="3001"/>
      <c r="G47" s="3001"/>
      <c r="H47" s="3001"/>
      <c r="I47" s="3001"/>
      <c r="J47" s="3001"/>
      <c r="K47" s="3000"/>
      <c r="L47" s="3000"/>
      <c r="M47" s="2998"/>
      <c r="N47" s="2998"/>
      <c r="O47" s="2998"/>
      <c r="P47" s="2998"/>
      <c r="Q47" s="2998"/>
      <c r="R47" s="2998"/>
      <c r="S47" s="2998"/>
      <c r="T47" s="2998"/>
      <c r="U47" s="2998"/>
      <c r="V47" s="2998"/>
      <c r="W47" s="2998"/>
      <c r="X47" s="2998"/>
      <c r="Y47" s="2998"/>
      <c r="Z47" s="2998"/>
      <c r="AA47" s="2998"/>
      <c r="AB47" s="2998"/>
      <c r="AC47" s="2998"/>
      <c r="AD47" s="2998"/>
      <c r="AE47" s="2998"/>
      <c r="AF47" s="2998"/>
      <c r="AG47" s="2998"/>
      <c r="AH47" s="2998"/>
      <c r="AI47" s="2998"/>
      <c r="AJ47" s="2998"/>
      <c r="AK47" s="2998"/>
      <c r="AL47" s="2998"/>
      <c r="AM47" s="2998"/>
      <c r="AN47" s="2998"/>
      <c r="AO47" s="2998"/>
      <c r="AP47" s="2998"/>
      <c r="AQ47" s="2998"/>
      <c r="AR47" s="2998"/>
      <c r="AS47" s="2998"/>
      <c r="AT47" s="2998"/>
      <c r="AU47" s="2998"/>
      <c r="AV47" s="2998"/>
      <c r="AW47" s="2998"/>
      <c r="AX47" s="2998"/>
      <c r="AY47" s="2998"/>
      <c r="AZ47" s="2998"/>
    </row>
    <row r="48" spans="1:83" ht="14.4">
      <c r="A48" s="243" t="s">
        <v>289</v>
      </c>
      <c r="B48" s="244"/>
      <c r="C48" s="3019" t="s">
        <v>2711</v>
      </c>
      <c r="D48" s="3002"/>
      <c r="E48" s="3001"/>
      <c r="F48" s="3001"/>
      <c r="G48" s="3001"/>
      <c r="H48" s="3001"/>
      <c r="I48" s="3001"/>
      <c r="J48" s="3001"/>
      <c r="K48" s="3000"/>
      <c r="L48" s="3000"/>
      <c r="M48" s="2998"/>
      <c r="N48" s="2998"/>
      <c r="O48" s="2998"/>
      <c r="P48" s="2998"/>
      <c r="Q48" s="2998"/>
      <c r="R48" s="2998"/>
      <c r="S48" s="2998"/>
      <c r="T48" s="2998"/>
      <c r="U48" s="2998"/>
      <c r="V48" s="2998"/>
      <c r="W48" s="2998"/>
      <c r="X48" s="2998"/>
      <c r="Y48" s="2998"/>
      <c r="Z48" s="2998"/>
      <c r="AA48" s="2998"/>
      <c r="AB48" s="2998"/>
      <c r="AC48" s="2998"/>
      <c r="AD48" s="2998"/>
      <c r="AE48" s="2998"/>
      <c r="AF48" s="2998"/>
      <c r="AG48" s="2998"/>
      <c r="AH48" s="2998"/>
      <c r="AI48" s="2998"/>
      <c r="AJ48" s="2998"/>
      <c r="AK48" s="2998"/>
      <c r="AL48" s="2998"/>
      <c r="AM48" s="2998"/>
      <c r="AN48" s="2998"/>
      <c r="AO48" s="2998"/>
      <c r="AP48" s="2998"/>
      <c r="AQ48" s="2998"/>
      <c r="AR48" s="2998"/>
      <c r="AS48" s="2998"/>
      <c r="AT48" s="2998"/>
      <c r="AU48" s="2998"/>
      <c r="AV48" s="2998"/>
      <c r="AW48" s="2998"/>
      <c r="AX48" s="2998"/>
      <c r="AY48" s="2998"/>
      <c r="AZ48" s="2998"/>
    </row>
    <row r="49" spans="1:52" ht="15" thickBot="1">
      <c r="A49" s="235" t="s">
        <v>290</v>
      </c>
      <c r="B49" s="238"/>
      <c r="C49" s="3019" t="s">
        <v>2713</v>
      </c>
      <c r="D49" s="3002"/>
      <c r="E49" s="3001"/>
      <c r="F49" s="3001"/>
      <c r="G49" s="3001"/>
      <c r="H49" s="3001"/>
      <c r="I49" s="3001"/>
      <c r="J49" s="3001"/>
      <c r="K49" s="3000"/>
      <c r="L49" s="3000"/>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row>
    <row r="50" spans="1:52" ht="14.4">
      <c r="A50" s="245" t="s">
        <v>291</v>
      </c>
      <c r="B50" s="246">
        <v>1.2E-2</v>
      </c>
      <c r="C50" s="3007"/>
      <c r="D50" s="3002"/>
      <c r="E50" s="3001"/>
      <c r="F50" s="3001"/>
      <c r="G50" s="3001"/>
      <c r="H50" s="3001"/>
      <c r="I50" s="3001"/>
      <c r="J50" s="3001"/>
      <c r="K50" s="3000"/>
      <c r="L50" s="3000"/>
      <c r="M50" s="2998"/>
      <c r="N50" s="2998"/>
      <c r="O50" s="2998"/>
      <c r="P50" s="2998"/>
      <c r="Q50" s="2998"/>
      <c r="R50" s="2998"/>
      <c r="S50" s="2998"/>
      <c r="T50" s="2998"/>
      <c r="U50" s="2998"/>
      <c r="V50" s="2998"/>
      <c r="W50" s="2998"/>
      <c r="X50" s="2998"/>
      <c r="Y50" s="2998"/>
      <c r="Z50" s="2998"/>
      <c r="AA50" s="2998"/>
      <c r="AB50" s="2998"/>
      <c r="AC50" s="2998"/>
      <c r="AD50" s="2998"/>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row>
    <row r="51" spans="1:52" ht="15" thickBot="1">
      <c r="A51" s="229" t="s">
        <v>292</v>
      </c>
      <c r="B51" s="247">
        <v>0.12</v>
      </c>
      <c r="C51" s="3007"/>
      <c r="D51" s="3002"/>
      <c r="E51" s="3001"/>
      <c r="F51" s="3001"/>
      <c r="G51" s="3001"/>
      <c r="H51" s="3001"/>
      <c r="I51" s="3001"/>
      <c r="J51" s="3001"/>
      <c r="K51" s="3000"/>
      <c r="L51" s="3000"/>
      <c r="M51" s="2998"/>
      <c r="N51" s="2998"/>
      <c r="O51" s="2998"/>
      <c r="P51" s="2998"/>
      <c r="Q51" s="2998"/>
      <c r="R51" s="2998"/>
      <c r="S51" s="2998"/>
      <c r="T51" s="2998"/>
      <c r="U51" s="2998"/>
      <c r="V51" s="2998"/>
      <c r="W51" s="2998"/>
      <c r="X51" s="2998"/>
      <c r="Y51" s="2998"/>
      <c r="Z51" s="2998"/>
      <c r="AA51" s="2998"/>
      <c r="AB51" s="2998"/>
      <c r="AC51" s="2998"/>
      <c r="AD51" s="2998"/>
      <c r="AE51" s="2998"/>
      <c r="AF51" s="2998"/>
      <c r="AG51" s="2998"/>
      <c r="AH51" s="2998"/>
      <c r="AI51" s="2998"/>
      <c r="AJ51" s="2998"/>
      <c r="AK51" s="2998"/>
      <c r="AL51" s="2998"/>
      <c r="AM51" s="2998"/>
      <c r="AN51" s="2998"/>
      <c r="AO51" s="2998"/>
      <c r="AP51" s="2998"/>
      <c r="AQ51" s="2998"/>
      <c r="AR51" s="2998"/>
      <c r="AS51" s="2998"/>
      <c r="AT51" s="2998"/>
      <c r="AU51" s="2998"/>
      <c r="AV51" s="2998"/>
      <c r="AW51" s="2998"/>
      <c r="AX51" s="2998"/>
      <c r="AY51" s="2998"/>
      <c r="AZ51" s="2998"/>
    </row>
    <row r="52" spans="1:52" ht="14.4">
      <c r="A52" s="245" t="s">
        <v>293</v>
      </c>
      <c r="B52" s="248">
        <f>SUMIF(A54:A63,B53,B54:B63)</f>
        <v>0</v>
      </c>
      <c r="C52" s="3007"/>
      <c r="D52" s="3002"/>
      <c r="E52" s="3001"/>
      <c r="F52" s="3001"/>
      <c r="G52" s="3001"/>
      <c r="H52" s="3001"/>
      <c r="I52" s="3001"/>
      <c r="J52" s="3001"/>
      <c r="K52" s="3000"/>
      <c r="L52" s="3000"/>
      <c r="M52" s="2998"/>
      <c r="N52" s="2998"/>
      <c r="O52" s="2998"/>
      <c r="P52" s="2998"/>
      <c r="Q52" s="2998"/>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8"/>
      <c r="AO52" s="2998"/>
      <c r="AP52" s="2998"/>
      <c r="AQ52" s="2998"/>
      <c r="AR52" s="2998"/>
      <c r="AS52" s="2998"/>
      <c r="AT52" s="2998"/>
      <c r="AU52" s="2998"/>
      <c r="AV52" s="2998"/>
      <c r="AW52" s="2998"/>
      <c r="AX52" s="2998"/>
      <c r="AY52" s="2998"/>
      <c r="AZ52" s="2998"/>
    </row>
    <row r="53" spans="1:52" ht="28.8">
      <c r="A53" s="226" t="s">
        <v>294</v>
      </c>
      <c r="B53" s="249"/>
      <c r="C53" s="3009" t="s">
        <v>2606</v>
      </c>
      <c r="D53" s="3020" t="s">
        <v>2716</v>
      </c>
      <c r="E53" s="3001"/>
      <c r="F53" s="3001"/>
      <c r="G53" s="3001"/>
      <c r="H53" s="3001"/>
      <c r="I53" s="3001"/>
      <c r="J53" s="3001"/>
      <c r="K53" s="3000"/>
      <c r="L53" s="3000"/>
      <c r="M53" s="2998"/>
      <c r="N53" s="2998"/>
      <c r="O53" s="2998"/>
      <c r="P53" s="2998"/>
      <c r="Q53" s="2998"/>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8"/>
      <c r="AO53" s="2998"/>
      <c r="AP53" s="2998"/>
      <c r="AQ53" s="2998"/>
      <c r="AR53" s="2998"/>
      <c r="AS53" s="2998"/>
      <c r="AT53" s="2998"/>
      <c r="AU53" s="2998"/>
      <c r="AV53" s="2998"/>
      <c r="AW53" s="2998"/>
      <c r="AX53" s="2998"/>
      <c r="AY53" s="2998"/>
      <c r="AZ53" s="2998"/>
    </row>
    <row r="54" spans="1:52" ht="14.4">
      <c r="A54" s="2693" t="s">
        <v>2607</v>
      </c>
      <c r="B54" s="184"/>
      <c r="C54" s="3006">
        <v>30</v>
      </c>
      <c r="D54" s="3010"/>
      <c r="E54" s="3001"/>
      <c r="F54" s="3001"/>
      <c r="G54" s="3001"/>
      <c r="H54" s="3001"/>
      <c r="I54" s="3001"/>
      <c r="J54" s="3001"/>
      <c r="K54" s="3000"/>
      <c r="L54" s="3000"/>
      <c r="M54" s="2998"/>
      <c r="N54" s="2998"/>
      <c r="O54" s="2998"/>
      <c r="P54" s="2998"/>
      <c r="Q54" s="2998"/>
      <c r="R54" s="2998"/>
      <c r="S54" s="2998"/>
      <c r="T54" s="2998"/>
      <c r="U54" s="2998"/>
      <c r="V54" s="2998"/>
      <c r="W54" s="2998"/>
      <c r="X54" s="2998"/>
      <c r="Y54" s="2998"/>
      <c r="Z54" s="2998"/>
      <c r="AA54" s="2998"/>
      <c r="AB54" s="2998"/>
      <c r="AC54" s="2998"/>
      <c r="AD54" s="2998"/>
      <c r="AE54" s="2998"/>
      <c r="AF54" s="2998"/>
      <c r="AG54" s="2998"/>
      <c r="AH54" s="2998"/>
      <c r="AI54" s="2998"/>
      <c r="AJ54" s="2998"/>
      <c r="AK54" s="2998"/>
      <c r="AL54" s="2998"/>
      <c r="AM54" s="2998"/>
      <c r="AN54" s="2998"/>
      <c r="AO54" s="2998"/>
      <c r="AP54" s="2998"/>
      <c r="AQ54" s="2998"/>
      <c r="AR54" s="2998"/>
      <c r="AS54" s="2998"/>
      <c r="AT54" s="2998"/>
      <c r="AU54" s="2998"/>
      <c r="AV54" s="2998"/>
      <c r="AW54" s="2998"/>
      <c r="AX54" s="2998"/>
      <c r="AY54" s="2998"/>
      <c r="AZ54" s="2998"/>
    </row>
    <row r="55" spans="1:52" ht="14.4">
      <c r="A55" s="2693" t="s">
        <v>2608</v>
      </c>
      <c r="B55" s="184"/>
      <c r="C55" s="3006">
        <v>24</v>
      </c>
      <c r="D55" s="3010"/>
      <c r="E55" s="3001"/>
      <c r="F55" s="3001"/>
      <c r="G55" s="3001"/>
      <c r="H55" s="3001"/>
      <c r="I55" s="3011"/>
      <c r="J55" s="3001"/>
      <c r="K55" s="3000"/>
      <c r="L55" s="3000"/>
      <c r="M55" s="2998"/>
      <c r="N55" s="2998"/>
      <c r="O55" s="2998"/>
      <c r="P55" s="2998"/>
      <c r="Q55" s="2998"/>
      <c r="R55" s="2998"/>
      <c r="S55" s="2998"/>
      <c r="T55" s="2998"/>
      <c r="U55" s="2998"/>
      <c r="V55" s="2998"/>
      <c r="W55" s="2998"/>
      <c r="X55" s="2998"/>
      <c r="Y55" s="2998"/>
      <c r="Z55" s="2998"/>
      <c r="AA55" s="2998"/>
      <c r="AB55" s="2998"/>
      <c r="AC55" s="2998"/>
      <c r="AD55" s="2998"/>
      <c r="AE55" s="2998"/>
      <c r="AF55" s="2998"/>
      <c r="AG55" s="2998"/>
      <c r="AH55" s="2998"/>
      <c r="AI55" s="2998"/>
      <c r="AJ55" s="2998"/>
      <c r="AK55" s="2998"/>
      <c r="AL55" s="2998"/>
      <c r="AM55" s="2998"/>
      <c r="AN55" s="2998"/>
      <c r="AO55" s="2998"/>
      <c r="AP55" s="2998"/>
      <c r="AQ55" s="2998"/>
      <c r="AR55" s="2998"/>
      <c r="AS55" s="2998"/>
      <c r="AT55" s="2998"/>
      <c r="AU55" s="2998"/>
      <c r="AV55" s="2998"/>
      <c r="AW55" s="2998"/>
      <c r="AX55" s="2998"/>
      <c r="AY55" s="2998"/>
      <c r="AZ55" s="2998"/>
    </row>
    <row r="56" spans="1:52" ht="14.4">
      <c r="A56" s="2693" t="s">
        <v>2609</v>
      </c>
      <c r="B56" s="184"/>
      <c r="C56" s="3006">
        <v>18</v>
      </c>
      <c r="D56" s="3010"/>
      <c r="E56" s="3001"/>
      <c r="F56" s="3001"/>
      <c r="G56" s="3001"/>
      <c r="H56" s="3001"/>
      <c r="I56" s="3001"/>
      <c r="J56" s="3001"/>
      <c r="K56" s="3000"/>
      <c r="L56" s="3000"/>
      <c r="M56" s="2998"/>
      <c r="N56" s="2998"/>
      <c r="O56" s="2998"/>
      <c r="P56" s="2998"/>
      <c r="Q56" s="2998"/>
      <c r="R56" s="2998"/>
      <c r="S56" s="2998"/>
      <c r="T56" s="2998"/>
      <c r="U56" s="2998"/>
      <c r="V56" s="2998"/>
      <c r="W56" s="2998"/>
      <c r="X56" s="2998"/>
      <c r="Y56" s="2998"/>
      <c r="Z56" s="2998"/>
      <c r="AA56" s="2998"/>
      <c r="AB56" s="2998"/>
      <c r="AC56" s="2998"/>
      <c r="AD56" s="2998"/>
      <c r="AE56" s="2998"/>
      <c r="AF56" s="2998"/>
      <c r="AG56" s="2998"/>
      <c r="AH56" s="2998"/>
      <c r="AI56" s="2998"/>
      <c r="AJ56" s="2998"/>
      <c r="AK56" s="2998"/>
      <c r="AL56" s="2998"/>
      <c r="AM56" s="2998"/>
      <c r="AN56" s="2998"/>
      <c r="AO56" s="2998"/>
      <c r="AP56" s="2998"/>
      <c r="AQ56" s="2998"/>
      <c r="AR56" s="2998"/>
      <c r="AS56" s="2998"/>
      <c r="AT56" s="2998"/>
      <c r="AU56" s="2998"/>
      <c r="AV56" s="2998"/>
      <c r="AW56" s="2998"/>
      <c r="AX56" s="2998"/>
      <c r="AY56" s="2998"/>
      <c r="AZ56" s="2998"/>
    </row>
    <row r="57" spans="1:52" ht="14.4">
      <c r="A57" s="2693" t="s">
        <v>2610</v>
      </c>
      <c r="B57" s="184"/>
      <c r="C57" s="3006">
        <v>12</v>
      </c>
      <c r="D57" s="3010"/>
      <c r="E57" s="3001"/>
      <c r="F57" s="3001"/>
      <c r="G57" s="3001"/>
      <c r="H57" s="3001"/>
      <c r="I57" s="3001"/>
      <c r="J57" s="3001"/>
      <c r="K57" s="3000"/>
      <c r="L57" s="3000"/>
      <c r="M57" s="2998"/>
      <c r="N57" s="2998"/>
      <c r="O57" s="2998"/>
      <c r="P57" s="2998"/>
      <c r="Q57" s="2998"/>
      <c r="R57" s="2998"/>
      <c r="S57" s="2998"/>
      <c r="T57" s="2998"/>
      <c r="U57" s="2998"/>
      <c r="V57" s="2998"/>
      <c r="W57" s="2998"/>
      <c r="X57" s="2998"/>
      <c r="Y57" s="2998"/>
      <c r="Z57" s="2998"/>
      <c r="AA57" s="2998"/>
      <c r="AB57" s="2998"/>
      <c r="AC57" s="2998"/>
      <c r="AD57" s="2998"/>
      <c r="AE57" s="2998"/>
      <c r="AF57" s="2998"/>
      <c r="AG57" s="2998"/>
      <c r="AH57" s="2998"/>
      <c r="AI57" s="2998"/>
      <c r="AJ57" s="2998"/>
      <c r="AK57" s="2998"/>
      <c r="AL57" s="2998"/>
      <c r="AM57" s="2998"/>
      <c r="AN57" s="2998"/>
      <c r="AO57" s="2998"/>
      <c r="AP57" s="2998"/>
      <c r="AQ57" s="2998"/>
      <c r="AR57" s="2998"/>
      <c r="AS57" s="2998"/>
      <c r="AT57" s="2998"/>
      <c r="AU57" s="2998"/>
      <c r="AV57" s="2998"/>
      <c r="AW57" s="2998"/>
      <c r="AX57" s="2998"/>
      <c r="AY57" s="2998"/>
      <c r="AZ57" s="2998"/>
    </row>
    <row r="58" spans="1:52" ht="14.4">
      <c r="A58" s="2693" t="s">
        <v>2611</v>
      </c>
      <c r="B58" s="184"/>
      <c r="C58" s="3006">
        <v>3</v>
      </c>
      <c r="D58" s="3010"/>
      <c r="E58" s="3001"/>
      <c r="F58" s="3001"/>
      <c r="G58" s="3001"/>
      <c r="H58" s="3001"/>
      <c r="I58" s="3001"/>
      <c r="J58" s="3001"/>
      <c r="K58" s="3000"/>
      <c r="L58" s="3000"/>
      <c r="M58" s="2998"/>
      <c r="N58" s="2998"/>
      <c r="O58" s="2998"/>
      <c r="P58" s="2998"/>
      <c r="Q58" s="2998"/>
      <c r="R58" s="2998"/>
      <c r="S58" s="2998"/>
      <c r="T58" s="2998"/>
      <c r="U58" s="2998"/>
      <c r="V58" s="2998"/>
      <c r="W58" s="2998"/>
      <c r="X58" s="2998"/>
      <c r="Y58" s="2998"/>
      <c r="Z58" s="2998"/>
      <c r="AA58" s="2998"/>
      <c r="AB58" s="2998"/>
      <c r="AC58" s="2998"/>
      <c r="AD58" s="2998"/>
      <c r="AE58" s="2998"/>
      <c r="AF58" s="2998"/>
      <c r="AG58" s="2998"/>
      <c r="AH58" s="2998"/>
      <c r="AI58" s="2998"/>
      <c r="AJ58" s="2998"/>
      <c r="AK58" s="2998"/>
      <c r="AL58" s="2998"/>
      <c r="AM58" s="2998"/>
      <c r="AN58" s="2998"/>
      <c r="AO58" s="2998"/>
      <c r="AP58" s="2998"/>
      <c r="AQ58" s="2998"/>
      <c r="AR58" s="2998"/>
      <c r="AS58" s="2998"/>
      <c r="AT58" s="2998"/>
      <c r="AU58" s="2998"/>
      <c r="AV58" s="2998"/>
      <c r="AW58" s="2998"/>
      <c r="AX58" s="2998"/>
      <c r="AY58" s="2998"/>
      <c r="AZ58" s="2998"/>
    </row>
    <row r="59" spans="1:52" ht="14.4">
      <c r="A59" s="2693" t="s">
        <v>2612</v>
      </c>
      <c r="B59" s="184"/>
      <c r="C59" s="3006">
        <v>1.5</v>
      </c>
      <c r="D59" s="3010"/>
      <c r="E59" s="3001"/>
      <c r="F59" s="3001"/>
      <c r="G59" s="3001"/>
      <c r="H59" s="3001"/>
      <c r="I59" s="3001"/>
      <c r="J59" s="3001"/>
      <c r="K59" s="3000"/>
      <c r="L59" s="3000"/>
      <c r="M59" s="2998"/>
      <c r="N59" s="2998"/>
      <c r="O59" s="2998"/>
      <c r="P59" s="2998"/>
      <c r="Q59" s="2998"/>
      <c r="R59" s="2998"/>
      <c r="S59" s="2998"/>
      <c r="T59" s="2998"/>
      <c r="U59" s="2998"/>
      <c r="V59" s="2998"/>
      <c r="W59" s="2998"/>
      <c r="X59" s="2998"/>
      <c r="Y59" s="2998"/>
      <c r="Z59" s="2998"/>
      <c r="AA59" s="2998"/>
      <c r="AB59" s="2998"/>
      <c r="AC59" s="2998"/>
      <c r="AD59" s="2998"/>
      <c r="AE59" s="2998"/>
      <c r="AF59" s="2998"/>
      <c r="AG59" s="2998"/>
      <c r="AH59" s="2998"/>
      <c r="AI59" s="2998"/>
      <c r="AJ59" s="2998"/>
      <c r="AK59" s="2998"/>
      <c r="AL59" s="2998"/>
      <c r="AM59" s="2998"/>
      <c r="AN59" s="2998"/>
      <c r="AO59" s="2998"/>
      <c r="AP59" s="2998"/>
      <c r="AQ59" s="2998"/>
      <c r="AR59" s="2998"/>
      <c r="AS59" s="2998"/>
      <c r="AT59" s="2998"/>
      <c r="AU59" s="2998"/>
      <c r="AV59" s="2998"/>
      <c r="AW59" s="2998"/>
      <c r="AX59" s="2998"/>
      <c r="AY59" s="2998"/>
      <c r="AZ59" s="2998"/>
    </row>
    <row r="60" spans="1:52" ht="14.4">
      <c r="A60" s="2693" t="s">
        <v>2613</v>
      </c>
      <c r="B60" s="184"/>
      <c r="C60" s="3001"/>
      <c r="D60" s="3002"/>
      <c r="E60" s="3001"/>
      <c r="F60" s="3001"/>
      <c r="G60" s="3001"/>
      <c r="H60" s="3001"/>
      <c r="I60" s="3001"/>
      <c r="J60" s="3001"/>
      <c r="K60" s="3000"/>
      <c r="L60" s="3000"/>
      <c r="M60" s="2998"/>
      <c r="N60" s="2998"/>
      <c r="O60" s="2998"/>
      <c r="P60" s="2998"/>
      <c r="Q60" s="2998"/>
      <c r="R60" s="2998"/>
      <c r="S60" s="2998"/>
      <c r="T60" s="2998"/>
      <c r="U60" s="2998"/>
      <c r="V60" s="2998"/>
      <c r="W60" s="2998"/>
      <c r="X60" s="2998"/>
      <c r="Y60" s="2998"/>
      <c r="Z60" s="2998"/>
      <c r="AA60" s="2998"/>
      <c r="AB60" s="2998"/>
      <c r="AC60" s="2998"/>
      <c r="AD60" s="2998"/>
      <c r="AE60" s="2998"/>
      <c r="AF60" s="2998"/>
      <c r="AG60" s="2998"/>
      <c r="AH60" s="2998"/>
      <c r="AI60" s="2998"/>
      <c r="AJ60" s="2998"/>
      <c r="AK60" s="2998"/>
      <c r="AL60" s="2998"/>
      <c r="AM60" s="2998"/>
      <c r="AN60" s="2998"/>
      <c r="AO60" s="2998"/>
      <c r="AP60" s="2998"/>
      <c r="AQ60" s="2998"/>
      <c r="AR60" s="2998"/>
      <c r="AS60" s="2998"/>
      <c r="AT60" s="2998"/>
      <c r="AU60" s="2998"/>
      <c r="AV60" s="2998"/>
      <c r="AW60" s="2998"/>
      <c r="AX60" s="2998"/>
      <c r="AY60" s="2998"/>
      <c r="AZ60" s="2998"/>
    </row>
    <row r="61" spans="1:52" ht="14.4">
      <c r="A61" s="2693" t="s">
        <v>2614</v>
      </c>
      <c r="B61" s="184"/>
      <c r="C61" s="3001"/>
      <c r="D61" s="3002"/>
      <c r="E61" s="3001"/>
      <c r="F61" s="3001"/>
      <c r="G61" s="3001"/>
      <c r="H61" s="3001"/>
      <c r="I61" s="3001"/>
      <c r="J61" s="3001"/>
      <c r="K61" s="3000"/>
      <c r="L61" s="3000"/>
      <c r="M61" s="2998"/>
      <c r="N61" s="2998"/>
      <c r="O61" s="2998"/>
      <c r="P61" s="2998"/>
      <c r="Q61" s="2998"/>
      <c r="R61" s="2998"/>
      <c r="S61" s="2998"/>
      <c r="T61" s="2998"/>
      <c r="U61" s="2998"/>
      <c r="V61" s="2998"/>
      <c r="W61" s="2998"/>
      <c r="X61" s="2998"/>
      <c r="Y61" s="2998"/>
      <c r="Z61" s="2998"/>
      <c r="AA61" s="2998"/>
      <c r="AB61" s="2998"/>
      <c r="AC61" s="2998"/>
      <c r="AD61" s="2998"/>
      <c r="AE61" s="2998"/>
      <c r="AF61" s="2998"/>
      <c r="AG61" s="2998"/>
      <c r="AH61" s="2998"/>
      <c r="AI61" s="2998"/>
      <c r="AJ61" s="2998"/>
      <c r="AK61" s="2998"/>
      <c r="AL61" s="2998"/>
      <c r="AM61" s="2998"/>
      <c r="AN61" s="2998"/>
      <c r="AO61" s="2998"/>
      <c r="AP61" s="2998"/>
      <c r="AQ61" s="2998"/>
      <c r="AR61" s="2998"/>
      <c r="AS61" s="2998"/>
      <c r="AT61" s="2998"/>
      <c r="AU61" s="2998"/>
      <c r="AV61" s="2998"/>
      <c r="AW61" s="2998"/>
      <c r="AX61" s="2998"/>
      <c r="AY61" s="2998"/>
      <c r="AZ61" s="2998"/>
    </row>
    <row r="62" spans="1:52" ht="14.4">
      <c r="A62" s="2693" t="s">
        <v>2615</v>
      </c>
      <c r="B62" s="184"/>
      <c r="C62" s="3001"/>
      <c r="D62" s="3002"/>
      <c r="E62" s="3001"/>
      <c r="F62" s="3001"/>
      <c r="G62" s="3001"/>
      <c r="H62" s="3001"/>
      <c r="I62" s="3001"/>
      <c r="J62" s="3001"/>
      <c r="K62" s="3000"/>
      <c r="L62" s="3000"/>
      <c r="M62" s="2998"/>
      <c r="N62" s="2998"/>
      <c r="O62" s="2998"/>
      <c r="P62" s="2998"/>
      <c r="Q62" s="2998"/>
      <c r="R62" s="2998"/>
      <c r="S62" s="2998"/>
      <c r="T62" s="2998"/>
      <c r="U62" s="2998"/>
      <c r="V62" s="2998"/>
      <c r="W62" s="2998"/>
      <c r="X62" s="2998"/>
      <c r="Y62" s="2998"/>
      <c r="Z62" s="2998"/>
      <c r="AA62" s="2998"/>
      <c r="AB62" s="2998"/>
      <c r="AC62" s="2998"/>
      <c r="AD62" s="2998"/>
      <c r="AE62" s="2998"/>
      <c r="AF62" s="2998"/>
      <c r="AG62" s="2998"/>
      <c r="AH62" s="2998"/>
      <c r="AI62" s="2998"/>
      <c r="AJ62" s="2998"/>
      <c r="AK62" s="2998"/>
      <c r="AL62" s="2998"/>
      <c r="AM62" s="2998"/>
      <c r="AN62" s="2998"/>
      <c r="AO62" s="2998"/>
      <c r="AP62" s="2998"/>
      <c r="AQ62" s="2998"/>
      <c r="AR62" s="2998"/>
      <c r="AS62" s="2998"/>
      <c r="AT62" s="2998"/>
      <c r="AU62" s="2998"/>
      <c r="AV62" s="2998"/>
      <c r="AW62" s="2998"/>
      <c r="AX62" s="2998"/>
      <c r="AY62" s="2998"/>
      <c r="AZ62" s="2998"/>
    </row>
    <row r="63" spans="1:52" ht="15" thickBot="1">
      <c r="A63" s="2694" t="s">
        <v>2616</v>
      </c>
      <c r="B63" s="250"/>
      <c r="C63" s="3001"/>
      <c r="D63" s="3002"/>
      <c r="E63" s="3001"/>
      <c r="F63" s="3001"/>
      <c r="G63" s="3001"/>
      <c r="H63" s="3001"/>
      <c r="I63" s="3001"/>
      <c r="J63" s="3001"/>
      <c r="K63" s="3000"/>
      <c r="L63" s="3000"/>
      <c r="M63" s="2998"/>
      <c r="N63" s="2998"/>
      <c r="O63" s="2998"/>
      <c r="P63" s="2998"/>
      <c r="Q63" s="2998"/>
      <c r="R63" s="2998"/>
      <c r="S63" s="2998"/>
      <c r="T63" s="2998"/>
      <c r="U63" s="2998"/>
      <c r="V63" s="2998"/>
      <c r="W63" s="2998"/>
      <c r="X63" s="2998"/>
      <c r="Y63" s="2998"/>
      <c r="Z63" s="2998"/>
      <c r="AA63" s="2998"/>
      <c r="AB63" s="2998"/>
      <c r="AC63" s="2998"/>
      <c r="AD63" s="2998"/>
      <c r="AE63" s="2998"/>
      <c r="AF63" s="2998"/>
      <c r="AG63" s="2998"/>
      <c r="AH63" s="2998"/>
      <c r="AI63" s="2998"/>
      <c r="AJ63" s="2998"/>
      <c r="AK63" s="2998"/>
      <c r="AL63" s="2998"/>
      <c r="AM63" s="2998"/>
      <c r="AN63" s="2998"/>
      <c r="AO63" s="2998"/>
      <c r="AP63" s="2998"/>
      <c r="AQ63" s="2998"/>
      <c r="AR63" s="2998"/>
      <c r="AS63" s="2998"/>
      <c r="AT63" s="2998"/>
      <c r="AU63" s="2998"/>
      <c r="AV63" s="2998"/>
      <c r="AW63" s="2998"/>
      <c r="AX63" s="2998"/>
      <c r="AY63" s="2998"/>
      <c r="AZ63" s="2998"/>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3032" customWidth="1"/>
    <col min="2" max="2" width="23.44140625" style="3067" customWidth="1"/>
    <col min="3" max="3" width="32.21875" style="3069" customWidth="1"/>
    <col min="4" max="4" width="2.6640625" style="3069" customWidth="1"/>
    <col min="5" max="5" width="5.88671875" style="3069" customWidth="1"/>
    <col min="6" max="6" width="23.6640625" style="3067" customWidth="1"/>
    <col min="7" max="7" width="33.33203125" style="3068" customWidth="1"/>
    <col min="8" max="8" width="11.88671875" style="3067" customWidth="1"/>
    <col min="9" max="9" width="16.77734375" style="3068" customWidth="1"/>
    <col min="10" max="10" width="2.6640625" style="3069" customWidth="1"/>
    <col min="11" max="11" width="11.88671875" style="3067" customWidth="1"/>
    <col min="12" max="12" width="16.77734375" style="3068" customWidth="1"/>
    <col min="13" max="13" width="2.6640625" style="3069" customWidth="1"/>
    <col min="14" max="14" width="11.88671875" style="3067" customWidth="1"/>
    <col min="15" max="15" width="16.77734375" style="3068" customWidth="1"/>
    <col min="16" max="16" width="2.6640625" style="3069" customWidth="1"/>
    <col min="17" max="17" width="11.88671875" style="3067" customWidth="1"/>
    <col min="18" max="18" width="16.77734375" style="3070" customWidth="1"/>
    <col min="19" max="16384" width="9" style="3032"/>
  </cols>
  <sheetData>
    <row r="1" spans="1:18" s="3026" customFormat="1" ht="18" thickBot="1">
      <c r="A1" s="3537" t="s">
        <v>1463</v>
      </c>
      <c r="B1" s="3538"/>
      <c r="C1" s="3538"/>
      <c r="D1" s="3538"/>
      <c r="E1" s="3538"/>
      <c r="F1" s="3538"/>
      <c r="G1" s="3538"/>
      <c r="H1" s="3021"/>
      <c r="I1" s="3022"/>
      <c r="J1" s="3023"/>
      <c r="K1" s="3021"/>
      <c r="L1" s="3022"/>
      <c r="M1" s="3023"/>
      <c r="N1" s="3021"/>
      <c r="O1" s="3022"/>
      <c r="P1" s="3023"/>
      <c r="Q1" s="3024"/>
      <c r="R1" s="3025"/>
    </row>
    <row r="2" spans="1:18" ht="15" thickBot="1">
      <c r="A2" s="3027"/>
      <c r="B2" s="3028"/>
      <c r="C2" s="3029" t="s">
        <v>1464</v>
      </c>
      <c r="D2" s="3030"/>
      <c r="E2" s="3027"/>
      <c r="F2" s="3031"/>
      <c r="G2" s="3029" t="s">
        <v>1465</v>
      </c>
      <c r="H2" s="3032"/>
      <c r="I2" s="3032"/>
      <c r="J2" s="3032"/>
      <c r="K2" s="3032"/>
      <c r="L2" s="3032"/>
      <c r="M2" s="3032"/>
      <c r="N2" s="3032"/>
      <c r="O2" s="3032"/>
      <c r="P2" s="3032"/>
      <c r="Q2" s="3032"/>
      <c r="R2" s="3032"/>
    </row>
    <row r="3" spans="1:18" ht="43.2">
      <c r="A3" s="3033" t="s">
        <v>1466</v>
      </c>
      <c r="B3" s="3034" t="s">
        <v>1453</v>
      </c>
      <c r="C3" s="3035" t="s">
        <v>2623</v>
      </c>
      <c r="D3" s="3036"/>
      <c r="E3" s="3037" t="s">
        <v>1466</v>
      </c>
      <c r="F3" s="3038" t="s">
        <v>1454</v>
      </c>
      <c r="G3" s="3039" t="s">
        <v>2622</v>
      </c>
      <c r="H3" s="3032"/>
      <c r="I3" s="3032"/>
      <c r="J3" s="3032"/>
      <c r="K3" s="3032"/>
      <c r="L3" s="3032"/>
      <c r="M3" s="3032"/>
      <c r="N3" s="3032"/>
      <c r="O3" s="3032"/>
      <c r="P3" s="3032"/>
      <c r="Q3" s="3032"/>
      <c r="R3" s="3032"/>
    </row>
    <row r="4" spans="1:18" ht="43.2">
      <c r="A4" s="3037"/>
      <c r="B4" s="3040" t="s">
        <v>1467</v>
      </c>
      <c r="C4" s="3041" t="s">
        <v>2624</v>
      </c>
      <c r="D4" s="3036"/>
      <c r="E4" s="3042"/>
      <c r="F4" s="3043" t="s">
        <v>1468</v>
      </c>
      <c r="G4" s="3044" t="s">
        <v>2619</v>
      </c>
      <c r="H4" s="3032"/>
      <c r="I4" s="3032"/>
      <c r="J4" s="3032"/>
      <c r="K4" s="3032"/>
      <c r="L4" s="3032"/>
      <c r="M4" s="3032"/>
      <c r="N4" s="3032"/>
      <c r="O4" s="3032"/>
      <c r="P4" s="3032"/>
      <c r="Q4" s="3032"/>
      <c r="R4" s="3032"/>
    </row>
    <row r="5" spans="1:18" ht="43.2">
      <c r="A5" s="3037"/>
      <c r="B5" s="3040" t="s">
        <v>1469</v>
      </c>
      <c r="C5" s="3041" t="s">
        <v>2625</v>
      </c>
      <c r="D5" s="3036"/>
      <c r="E5" s="3042"/>
      <c r="F5" s="3040" t="s">
        <v>2264</v>
      </c>
      <c r="G5" s="3044" t="s">
        <v>2620</v>
      </c>
      <c r="H5" s="3032"/>
      <c r="I5" s="3032"/>
      <c r="J5" s="3032"/>
      <c r="K5" s="3032"/>
      <c r="L5" s="3032"/>
      <c r="M5" s="3032"/>
      <c r="N5" s="3032"/>
      <c r="O5" s="3032"/>
      <c r="P5" s="3032"/>
      <c r="Q5" s="3032"/>
      <c r="R5" s="3032"/>
    </row>
    <row r="6" spans="1:18" ht="43.2">
      <c r="A6" s="3037"/>
      <c r="B6" s="3040" t="s">
        <v>1455</v>
      </c>
      <c r="C6" s="3044" t="s">
        <v>2619</v>
      </c>
      <c r="D6" s="3036"/>
      <c r="E6" s="3042"/>
      <c r="F6" s="3040" t="s">
        <v>2265</v>
      </c>
      <c r="G6" s="3044" t="s">
        <v>2617</v>
      </c>
      <c r="H6" s="3032"/>
      <c r="I6" s="3032"/>
      <c r="J6" s="3032"/>
      <c r="K6" s="3032"/>
      <c r="L6" s="3032"/>
      <c r="M6" s="3032"/>
      <c r="N6" s="3032"/>
      <c r="O6" s="3032"/>
      <c r="P6" s="3032"/>
      <c r="Q6" s="3032"/>
      <c r="R6" s="3032"/>
    </row>
    <row r="7" spans="1:18" ht="29.4" thickBot="1">
      <c r="A7" s="3037"/>
      <c r="B7" s="3040" t="s">
        <v>2264</v>
      </c>
      <c r="C7" s="3044" t="s">
        <v>2620</v>
      </c>
      <c r="D7" s="3045"/>
      <c r="E7" s="3046"/>
      <c r="F7" s="3047" t="s">
        <v>1470</v>
      </c>
      <c r="G7" s="3048" t="s">
        <v>2621</v>
      </c>
      <c r="H7" s="3032"/>
      <c r="I7" s="3032"/>
      <c r="J7" s="3032"/>
      <c r="K7" s="3032"/>
      <c r="L7" s="3032"/>
      <c r="M7" s="3032"/>
      <c r="N7" s="3032"/>
      <c r="O7" s="3032"/>
      <c r="P7" s="3032"/>
      <c r="Q7" s="3032"/>
      <c r="R7" s="3032"/>
    </row>
    <row r="8" spans="1:18">
      <c r="A8" s="3037"/>
      <c r="B8" s="3040" t="s">
        <v>2265</v>
      </c>
      <c r="C8" s="3044" t="s">
        <v>2617</v>
      </c>
      <c r="D8" s="3045"/>
      <c r="E8" s="3045"/>
      <c r="F8" s="3049"/>
      <c r="G8" s="3049"/>
      <c r="H8" s="3032"/>
      <c r="I8" s="3032"/>
      <c r="J8" s="3032"/>
      <c r="K8" s="3032"/>
      <c r="L8" s="3032"/>
      <c r="M8" s="3032"/>
      <c r="N8" s="3032"/>
      <c r="O8" s="3032"/>
      <c r="P8" s="3032"/>
      <c r="Q8" s="3032"/>
      <c r="R8" s="3032"/>
    </row>
    <row r="9" spans="1:18" ht="28.8">
      <c r="A9" s="3037"/>
      <c r="B9" s="3040" t="s">
        <v>1456</v>
      </c>
      <c r="C9" s="3041" t="s">
        <v>2618</v>
      </c>
      <c r="D9" s="3036"/>
      <c r="E9" s="3045"/>
      <c r="F9" s="3049"/>
      <c r="G9" s="3049"/>
      <c r="H9" s="3032"/>
      <c r="I9" s="3032"/>
      <c r="J9" s="3032"/>
      <c r="K9" s="3032"/>
      <c r="L9" s="3032"/>
      <c r="M9" s="3032"/>
      <c r="N9" s="3032"/>
      <c r="O9" s="3032"/>
      <c r="P9" s="3032"/>
      <c r="Q9" s="3032"/>
      <c r="R9" s="3032"/>
    </row>
    <row r="10" spans="1:18" s="3056" customFormat="1" ht="15" thickBot="1">
      <c r="A10" s="3050"/>
      <c r="B10" s="3051" t="s">
        <v>1471</v>
      </c>
      <c r="C10" s="3052"/>
      <c r="D10" s="3036"/>
      <c r="E10" s="3036"/>
      <c r="F10" s="3049"/>
      <c r="G10" s="3049"/>
      <c r="H10" s="3053"/>
      <c r="I10" s="3054"/>
      <c r="J10" s="3055"/>
      <c r="K10" s="3053"/>
      <c r="L10" s="3054"/>
      <c r="M10" s="3055"/>
      <c r="N10" s="3053"/>
      <c r="O10" s="3054"/>
      <c r="P10" s="3055"/>
      <c r="Q10" s="3053"/>
      <c r="R10" s="3054"/>
    </row>
    <row r="11" spans="1:18" s="3056" customFormat="1">
      <c r="A11" s="3057"/>
      <c r="B11" s="3045"/>
      <c r="C11" s="3036"/>
      <c r="D11" s="3036"/>
      <c r="E11" s="3036"/>
      <c r="F11" s="3045"/>
      <c r="G11" s="3058"/>
      <c r="H11" s="3053"/>
      <c r="I11" s="3054"/>
      <c r="J11" s="3055"/>
      <c r="K11" s="3053"/>
      <c r="L11" s="3054"/>
      <c r="M11" s="3055"/>
      <c r="N11" s="3053"/>
      <c r="O11" s="3054"/>
      <c r="P11" s="3055"/>
      <c r="Q11" s="3053"/>
      <c r="R11" s="3054"/>
    </row>
    <row r="12" spans="1:18" s="3026" customFormat="1" ht="17.399999999999999">
      <c r="A12" s="3057"/>
      <c r="B12" s="3045"/>
      <c r="C12" s="3036"/>
      <c r="D12" s="3059"/>
      <c r="E12" s="3036"/>
      <c r="F12" s="3045"/>
      <c r="G12" s="3058"/>
      <c r="H12" s="3060"/>
      <c r="I12" s="3061"/>
      <c r="J12" s="3060"/>
      <c r="K12" s="3060"/>
      <c r="L12" s="3062"/>
      <c r="M12" s="3060"/>
      <c r="N12" s="3063"/>
      <c r="O12" s="3064"/>
      <c r="P12" s="3065"/>
      <c r="Q12" s="3063"/>
      <c r="R12" s="3025"/>
    </row>
    <row r="13" spans="1:18" ht="18" thickBot="1">
      <c r="A13" s="3066" t="s">
        <v>1472</v>
      </c>
      <c r="B13" s="3059"/>
      <c r="C13" s="3059"/>
      <c r="D13" s="3030"/>
      <c r="E13" s="3059"/>
      <c r="F13" s="3059"/>
      <c r="G13" s="3059"/>
    </row>
    <row r="14" spans="1:18" ht="15" thickBot="1">
      <c r="A14" s="3071"/>
      <c r="B14" s="3071"/>
      <c r="C14" s="3072" t="s">
        <v>1464</v>
      </c>
      <c r="D14" s="3036"/>
      <c r="E14" s="3073"/>
      <c r="F14" s="3073"/>
      <c r="G14" s="3029" t="s">
        <v>1465</v>
      </c>
    </row>
    <row r="15" spans="1:18" ht="43.2">
      <c r="A15" s="3074" t="s">
        <v>1457</v>
      </c>
      <c r="B15" s="3075" t="s">
        <v>1453</v>
      </c>
      <c r="C15" s="3076" t="str">
        <f>C3</f>
        <v>估价对象周边居住用地比例、居住小区规模和社区发展完善程度，综合评价居住社区成熟度一般</v>
      </c>
      <c r="D15" s="3036"/>
      <c r="E15" s="3077" t="s">
        <v>1458</v>
      </c>
      <c r="F15" s="3075" t="s">
        <v>1473</v>
      </c>
      <c r="G15" s="3078" t="str">
        <f>G3</f>
        <v>估价对象位于XX开发区，园区建设成熟度XX，产业集聚程度XX</v>
      </c>
    </row>
    <row r="16" spans="1:18" ht="43.2">
      <c r="A16" s="3079"/>
      <c r="B16" s="3080" t="s">
        <v>1467</v>
      </c>
      <c r="C16" s="3081" t="str">
        <f>C4</f>
        <v>估价对象位于XX商圈，周边商业氛围成熟，人流量大，商业繁华度好</v>
      </c>
      <c r="D16" s="3036"/>
      <c r="E16" s="3082"/>
      <c r="F16" s="3083" t="s">
        <v>1468</v>
      </c>
      <c r="G16" s="3084" t="str">
        <f>G4</f>
        <v>估价对象周边道路状况、公共交通通达情况、停车便捷程度，综合评价交通便捷度较好</v>
      </c>
    </row>
    <row r="17" spans="1:7" ht="43.2">
      <c r="A17" s="3079"/>
      <c r="B17" s="3080" t="s">
        <v>1469</v>
      </c>
      <c r="C17" s="3081" t="str">
        <f>C5</f>
        <v>估价对象位于XX商圈，周边办公楼项目较多，入驻率高，办公集聚程度较好</v>
      </c>
      <c r="D17" s="3045"/>
      <c r="E17" s="3082"/>
      <c r="F17" s="3083" t="s">
        <v>1474</v>
      </c>
      <c r="G17" s="3085"/>
    </row>
    <row r="18" spans="1:7" ht="43.2">
      <c r="A18" s="3079"/>
      <c r="B18" s="3083" t="s">
        <v>1455</v>
      </c>
      <c r="C18" s="3084" t="str">
        <f>C6</f>
        <v>估价对象周边道路状况、公共交通通达情况、停车便捷程度，综合评价交通便捷度较好</v>
      </c>
      <c r="D18" s="3045"/>
      <c r="E18" s="3082"/>
      <c r="F18" s="3083" t="s">
        <v>1470</v>
      </c>
      <c r="G18" s="3084" t="str">
        <f>G7</f>
        <v>该园区内是否有污染型企业，绿化情况，卫生条件，整体环境状况判断</v>
      </c>
    </row>
    <row r="19" spans="1:7" ht="28.8">
      <c r="A19" s="3079"/>
      <c r="B19" s="3083" t="s">
        <v>1459</v>
      </c>
      <c r="C19" s="3085"/>
      <c r="D19" s="3036"/>
      <c r="E19" s="3082"/>
      <c r="F19" s="3040" t="s">
        <v>2264</v>
      </c>
      <c r="G19" s="3084" t="str">
        <f>G5</f>
        <v>估价对象所在区域公共配套设施齐备情况</v>
      </c>
    </row>
    <row r="20" spans="1:7" ht="28.8">
      <c r="A20" s="3079"/>
      <c r="B20" s="3083" t="s">
        <v>1460</v>
      </c>
      <c r="C20" s="3081" t="str">
        <f>C9</f>
        <v>区域自然环境：；人文环境；综合评价环境状况一般</v>
      </c>
      <c r="D20" s="3045"/>
      <c r="E20" s="3082"/>
      <c r="F20" s="3040" t="s">
        <v>2265</v>
      </c>
      <c r="G20" s="3084" t="str">
        <f>G6</f>
        <v>估价对象所在区域基础设施水平</v>
      </c>
    </row>
    <row r="21" spans="1:7" ht="28.8">
      <c r="A21" s="3079"/>
      <c r="B21" s="3040" t="s">
        <v>2264</v>
      </c>
      <c r="C21" s="3084" t="str">
        <f>C7</f>
        <v>估价对象所在区域公共配套设施齐备情况</v>
      </c>
      <c r="D21" s="3036"/>
      <c r="E21" s="3082"/>
      <c r="F21" s="3083" t="s">
        <v>1461</v>
      </c>
      <c r="G21" s="3086"/>
    </row>
    <row r="22" spans="1:7">
      <c r="A22" s="3079"/>
      <c r="B22" s="3040" t="s">
        <v>2265</v>
      </c>
      <c r="C22" s="3084" t="str">
        <f>C8</f>
        <v>估价对象所在区域基础设施水平</v>
      </c>
      <c r="D22" s="3036"/>
      <c r="E22" s="3082"/>
      <c r="F22" s="3083" t="s">
        <v>1471</v>
      </c>
      <c r="G22" s="3085"/>
    </row>
    <row r="23" spans="1:7" ht="15" thickBot="1">
      <c r="A23" s="3079"/>
      <c r="B23" s="3083" t="s">
        <v>1461</v>
      </c>
      <c r="C23" s="3086"/>
      <c r="E23" s="3087"/>
      <c r="F23" s="3088" t="s">
        <v>1475</v>
      </c>
      <c r="G23" s="3089"/>
    </row>
    <row r="24" spans="1:7" ht="15" thickBot="1">
      <c r="A24" s="3090"/>
      <c r="B24" s="3088" t="s">
        <v>1462</v>
      </c>
      <c r="C24" s="3091">
        <f>C10</f>
        <v>0</v>
      </c>
      <c r="E24" s="3092"/>
      <c r="F24" s="3092"/>
      <c r="G24" s="3093"/>
    </row>
    <row r="25" spans="1:7">
      <c r="E25" s="3032"/>
      <c r="F25" s="3032"/>
      <c r="G25" s="3032"/>
    </row>
    <row r="26" spans="1:7">
      <c r="E26" s="3032"/>
      <c r="F26" s="3032"/>
      <c r="G26" s="3032"/>
    </row>
    <row r="27" spans="1:7">
      <c r="E27" s="3032"/>
      <c r="F27" s="3032"/>
      <c r="G27" s="3032"/>
    </row>
    <row r="28" spans="1:7">
      <c r="E28" s="3032"/>
      <c r="F28" s="3032"/>
      <c r="G28" s="3032"/>
    </row>
    <row r="29" spans="1:7">
      <c r="E29" s="3032"/>
      <c r="F29" s="3032"/>
      <c r="G29" s="3032"/>
    </row>
    <row r="30" spans="1:7">
      <c r="E30" s="3032"/>
      <c r="F30" s="3032"/>
      <c r="G30" s="3032"/>
    </row>
    <row r="31" spans="1:7">
      <c r="E31" s="3032"/>
      <c r="F31" s="3032"/>
      <c r="G31" s="3032"/>
    </row>
    <row r="32" spans="1:7">
      <c r="E32" s="3032"/>
      <c r="F32" s="3032"/>
      <c r="G32" s="3032"/>
    </row>
    <row r="33" spans="5:7">
      <c r="E33" s="3032"/>
      <c r="F33" s="3032"/>
      <c r="G33" s="3032"/>
    </row>
    <row r="34" spans="5:7">
      <c r="E34" s="3032"/>
      <c r="F34" s="3032"/>
      <c r="G34" s="3032"/>
    </row>
    <row r="35" spans="5:7">
      <c r="E35" s="3032"/>
      <c r="F35" s="3032"/>
      <c r="G35" s="3032"/>
    </row>
    <row r="36" spans="5:7">
      <c r="E36" s="3032"/>
      <c r="F36" s="3032"/>
      <c r="G36" s="3032"/>
    </row>
    <row r="37" spans="5:7">
      <c r="E37" s="3032"/>
      <c r="F37" s="3032"/>
      <c r="G37" s="303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640625" defaultRowHeight="14.4"/>
  <cols>
    <col min="1" max="1" width="24.33203125" style="3095" customWidth="1"/>
    <col min="2" max="16384" width="14.6640625" style="3095"/>
  </cols>
  <sheetData>
    <row r="1" spans="1:10" ht="15.6">
      <c r="A1" s="3094" t="s">
        <v>2557</v>
      </c>
      <c r="B1" s="3094">
        <f>SUM(B14:B23)</f>
        <v>0</v>
      </c>
      <c r="C1" s="3103"/>
      <c r="D1" s="3103"/>
      <c r="E1" s="3103"/>
      <c r="F1" s="3103"/>
      <c r="G1" s="3104"/>
      <c r="H1" s="3104"/>
      <c r="I1" s="3104"/>
      <c r="J1" s="3104"/>
    </row>
    <row r="2" spans="1:10" ht="15.6">
      <c r="A2" s="3094" t="s">
        <v>2558</v>
      </c>
      <c r="B2" s="3094" t="e">
        <f>SUM(C14:C23)</f>
        <v>#DIV/0!</v>
      </c>
      <c r="C2" s="3103"/>
      <c r="D2" s="3103"/>
      <c r="E2" s="3103"/>
      <c r="F2" s="3103"/>
      <c r="G2" s="3104"/>
      <c r="H2" s="3104"/>
      <c r="I2" s="3104"/>
      <c r="J2" s="3104"/>
    </row>
    <row r="3" spans="1:10" ht="15.6">
      <c r="A3" s="3094" t="s">
        <v>2559</v>
      </c>
      <c r="B3" s="3096">
        <f>项目基本情况!D3</f>
        <v>0</v>
      </c>
      <c r="C3" s="3103"/>
      <c r="D3" s="3103"/>
      <c r="E3" s="3103"/>
      <c r="F3" s="3103"/>
      <c r="G3" s="3104"/>
      <c r="H3" s="3104"/>
      <c r="I3" s="3104"/>
      <c r="J3" s="3104"/>
    </row>
    <row r="4" spans="1:10" ht="31.2">
      <c r="A4" s="3094" t="s">
        <v>2560</v>
      </c>
      <c r="B4" s="3094" t="s">
        <v>2561</v>
      </c>
      <c r="C4" s="3094" t="s">
        <v>2562</v>
      </c>
      <c r="D4" s="3094" t="s">
        <v>2563</v>
      </c>
      <c r="E4" s="3103"/>
      <c r="F4" s="3103"/>
      <c r="G4" s="3104"/>
      <c r="H4" s="3104"/>
      <c r="I4" s="3104"/>
      <c r="J4" s="3104"/>
    </row>
    <row r="5" spans="1:10" ht="15.6">
      <c r="A5" s="3094" t="s">
        <v>2564</v>
      </c>
      <c r="B5" s="3094" t="e">
        <f ca="1">SUM(D14:D23)</f>
        <v>#REF!</v>
      </c>
      <c r="C5" s="3094" t="e">
        <f ca="1">ROUND(B5*10000/$B$1,0)</f>
        <v>#REF!</v>
      </c>
      <c r="D5" s="3094" t="e">
        <f ca="1">ROUND(B5*10000/$B$2,0)</f>
        <v>#REF!</v>
      </c>
      <c r="E5" s="3103"/>
      <c r="F5" s="3103"/>
      <c r="G5" s="3104"/>
      <c r="H5" s="3104"/>
      <c r="I5" s="3104"/>
      <c r="J5" s="3104"/>
    </row>
    <row r="6" spans="1:10" ht="15.6">
      <c r="A6" s="3094" t="s">
        <v>2565</v>
      </c>
      <c r="B6" s="3094">
        <f>SUM(G14:G23)</f>
        <v>0</v>
      </c>
      <c r="C6" s="3094" t="e">
        <f t="shared" ref="C6:C8" si="0">ROUND(B6*10000/$B$1,0)</f>
        <v>#DIV/0!</v>
      </c>
      <c r="D6" s="3094" t="e">
        <f t="shared" ref="D6:D8" si="1">ROUND(B6*10000/$B$2,0)</f>
        <v>#DIV/0!</v>
      </c>
      <c r="E6" s="3103"/>
      <c r="F6" s="3103"/>
      <c r="G6" s="3104"/>
      <c r="H6" s="3104"/>
      <c r="I6" s="3104"/>
      <c r="J6" s="3104"/>
    </row>
    <row r="7" spans="1:10" ht="15.6">
      <c r="A7" s="3094" t="s">
        <v>2566</v>
      </c>
      <c r="B7" s="3094">
        <f>SUM(H14:H23)</f>
        <v>0</v>
      </c>
      <c r="C7" s="3094" t="e">
        <f t="shared" si="0"/>
        <v>#DIV/0!</v>
      </c>
      <c r="D7" s="3094" t="e">
        <f t="shared" si="1"/>
        <v>#DIV/0!</v>
      </c>
      <c r="E7" s="3103"/>
      <c r="F7" s="3103"/>
      <c r="G7" s="3104"/>
      <c r="H7" s="3104"/>
      <c r="I7" s="3104"/>
      <c r="J7" s="3104"/>
    </row>
    <row r="8" spans="1:10" ht="15.6">
      <c r="A8" s="3094" t="s">
        <v>2567</v>
      </c>
      <c r="B8" s="3094">
        <f>SUM(I14:I23)</f>
        <v>0</v>
      </c>
      <c r="C8" s="3094" t="e">
        <f t="shared" si="0"/>
        <v>#DIV/0!</v>
      </c>
      <c r="D8" s="3094" t="e">
        <f t="shared" si="1"/>
        <v>#DIV/0!</v>
      </c>
      <c r="E8" s="3103"/>
      <c r="F8" s="3103"/>
      <c r="G8" s="3104"/>
      <c r="H8" s="3104"/>
      <c r="I8" s="3104"/>
      <c r="J8" s="3104"/>
    </row>
    <row r="9" spans="1:10" ht="15.6">
      <c r="A9" s="3094" t="s">
        <v>2568</v>
      </c>
      <c r="B9" s="3102"/>
      <c r="C9" s="3103"/>
      <c r="D9" s="3103"/>
      <c r="E9" s="3103"/>
      <c r="F9" s="3103"/>
      <c r="G9" s="3104"/>
      <c r="H9" s="3104"/>
      <c r="I9" s="3104"/>
      <c r="J9" s="3104"/>
    </row>
    <row r="10" spans="1:10" ht="15.6">
      <c r="A10" s="3094" t="s">
        <v>2569</v>
      </c>
      <c r="B10" s="3102"/>
      <c r="C10" s="3103"/>
      <c r="D10" s="3103"/>
      <c r="E10" s="3103"/>
      <c r="F10" s="3103"/>
      <c r="G10" s="3104"/>
      <c r="H10" s="3104"/>
      <c r="I10" s="3104"/>
      <c r="J10" s="3104"/>
    </row>
    <row r="11" spans="1:10" ht="15.6">
      <c r="A11" s="3094" t="s">
        <v>2586</v>
      </c>
      <c r="B11" s="3102"/>
      <c r="C11" s="3103"/>
      <c r="D11" s="3103"/>
      <c r="E11" s="3103"/>
      <c r="F11" s="3103"/>
      <c r="G11" s="3104"/>
      <c r="H11" s="3104"/>
      <c r="I11" s="3104"/>
      <c r="J11" s="3104"/>
    </row>
    <row r="12" spans="1:10" ht="15.6">
      <c r="A12" s="3103"/>
      <c r="B12" s="3103"/>
      <c r="C12" s="3103"/>
      <c r="D12" s="3103"/>
      <c r="E12" s="3103"/>
      <c r="F12" s="3103"/>
      <c r="G12" s="3104"/>
      <c r="H12" s="3104"/>
      <c r="I12" s="3104"/>
      <c r="J12" s="3104"/>
    </row>
    <row r="13" spans="1:10" ht="31.2">
      <c r="A13" s="3097" t="s">
        <v>2585</v>
      </c>
      <c r="B13" s="3098" t="s">
        <v>2557</v>
      </c>
      <c r="C13" s="3098" t="s">
        <v>2558</v>
      </c>
      <c r="D13" s="3098" t="s">
        <v>2570</v>
      </c>
      <c r="E13" s="3094" t="s">
        <v>2584</v>
      </c>
      <c r="F13" s="3094" t="s">
        <v>2563</v>
      </c>
      <c r="G13" s="3098" t="s">
        <v>2571</v>
      </c>
      <c r="H13" s="3098" t="s">
        <v>2572</v>
      </c>
      <c r="I13" s="3098" t="s">
        <v>2573</v>
      </c>
      <c r="J13" s="3104"/>
    </row>
    <row r="14" spans="1:10" ht="15.6">
      <c r="A14" s="3099" t="s">
        <v>2583</v>
      </c>
      <c r="B14" s="3100">
        <f>结果表!L38</f>
        <v>0</v>
      </c>
      <c r="C14" s="3100" t="e">
        <f>结果表!K38</f>
        <v>#DIV/0!</v>
      </c>
      <c r="D14" s="3100" t="e">
        <f ca="1">结果表!C42</f>
        <v>#REF!</v>
      </c>
      <c r="E14" s="3100" t="e">
        <f ca="1">ROUND(D14*10000/B14,0)</f>
        <v>#REF!</v>
      </c>
      <c r="F14" s="3100" t="e">
        <f ca="1">ROUND(D14*10000/C14,0)</f>
        <v>#REF!</v>
      </c>
      <c r="G14" s="3100" t="str">
        <f>结果表!C44</f>
        <v>——</v>
      </c>
      <c r="H14" s="3100" t="str">
        <f>结果表!C45</f>
        <v>——</v>
      </c>
      <c r="I14" s="3100" t="str">
        <f>结果表!C46</f>
        <v>——</v>
      </c>
      <c r="J14" s="3104"/>
    </row>
    <row r="15" spans="1:10" ht="15.6">
      <c r="A15" s="3099" t="s">
        <v>2574</v>
      </c>
      <c r="B15" s="3101"/>
      <c r="C15" s="3101"/>
      <c r="D15" s="3101"/>
      <c r="E15" s="3100" t="e">
        <f t="shared" ref="E15:E23" si="2">ROUND(D15*10000/B15,0)</f>
        <v>#DIV/0!</v>
      </c>
      <c r="F15" s="3100" t="e">
        <f t="shared" ref="F15:F23" si="3">ROUND(D15*10000/C15,0)</f>
        <v>#DIV/0!</v>
      </c>
      <c r="G15" s="2676"/>
      <c r="H15" s="2676"/>
      <c r="I15" s="3101"/>
      <c r="J15" s="3104"/>
    </row>
    <row r="16" spans="1:10" ht="15.6">
      <c r="A16" s="3099" t="s">
        <v>2575</v>
      </c>
      <c r="B16" s="3101"/>
      <c r="C16" s="3101"/>
      <c r="D16" s="3101"/>
      <c r="E16" s="3100" t="e">
        <f t="shared" si="2"/>
        <v>#DIV/0!</v>
      </c>
      <c r="F16" s="3100" t="e">
        <f t="shared" si="3"/>
        <v>#DIV/0!</v>
      </c>
      <c r="G16" s="2676"/>
      <c r="H16" s="2676"/>
      <c r="I16" s="3101"/>
      <c r="J16" s="3104"/>
    </row>
    <row r="17" spans="1:10" ht="15.6">
      <c r="A17" s="3099" t="s">
        <v>2576</v>
      </c>
      <c r="B17" s="3101"/>
      <c r="C17" s="3101"/>
      <c r="D17" s="3101"/>
      <c r="E17" s="3100" t="e">
        <f t="shared" si="2"/>
        <v>#DIV/0!</v>
      </c>
      <c r="F17" s="3100" t="e">
        <f t="shared" si="3"/>
        <v>#DIV/0!</v>
      </c>
      <c r="G17" s="2676"/>
      <c r="H17" s="2676"/>
      <c r="I17" s="3101"/>
      <c r="J17" s="3104"/>
    </row>
    <row r="18" spans="1:10" ht="15.6">
      <c r="A18" s="3099" t="s">
        <v>2577</v>
      </c>
      <c r="B18" s="3101"/>
      <c r="C18" s="3101"/>
      <c r="D18" s="3101"/>
      <c r="E18" s="3100" t="e">
        <f t="shared" si="2"/>
        <v>#DIV/0!</v>
      </c>
      <c r="F18" s="3100" t="e">
        <f t="shared" si="3"/>
        <v>#DIV/0!</v>
      </c>
      <c r="G18" s="3101"/>
      <c r="H18" s="3101"/>
      <c r="I18" s="3101"/>
      <c r="J18" s="3104"/>
    </row>
    <row r="19" spans="1:10" ht="15.6">
      <c r="A19" s="3099" t="s">
        <v>2578</v>
      </c>
      <c r="B19" s="3101"/>
      <c r="C19" s="3101"/>
      <c r="D19" s="3101"/>
      <c r="E19" s="3100" t="e">
        <f t="shared" si="2"/>
        <v>#DIV/0!</v>
      </c>
      <c r="F19" s="3100" t="e">
        <f t="shared" si="3"/>
        <v>#DIV/0!</v>
      </c>
      <c r="G19" s="3101"/>
      <c r="H19" s="3101"/>
      <c r="I19" s="3101"/>
      <c r="J19" s="3104"/>
    </row>
    <row r="20" spans="1:10" ht="15.6">
      <c r="A20" s="3099" t="s">
        <v>2579</v>
      </c>
      <c r="B20" s="3101"/>
      <c r="C20" s="3101"/>
      <c r="D20" s="3101"/>
      <c r="E20" s="3100" t="e">
        <f t="shared" si="2"/>
        <v>#DIV/0!</v>
      </c>
      <c r="F20" s="3100" t="e">
        <f t="shared" si="3"/>
        <v>#DIV/0!</v>
      </c>
      <c r="G20" s="3101"/>
      <c r="H20" s="3101"/>
      <c r="I20" s="3101"/>
      <c r="J20" s="3104"/>
    </row>
    <row r="21" spans="1:10" ht="15.6">
      <c r="A21" s="3099" t="s">
        <v>2580</v>
      </c>
      <c r="B21" s="3101"/>
      <c r="C21" s="3101"/>
      <c r="D21" s="3101"/>
      <c r="E21" s="3100" t="e">
        <f t="shared" si="2"/>
        <v>#DIV/0!</v>
      </c>
      <c r="F21" s="3100" t="e">
        <f t="shared" si="3"/>
        <v>#DIV/0!</v>
      </c>
      <c r="G21" s="3101"/>
      <c r="H21" s="3101"/>
      <c r="I21" s="3101"/>
      <c r="J21" s="3104"/>
    </row>
    <row r="22" spans="1:10" ht="15.6">
      <c r="A22" s="3099" t="s">
        <v>2581</v>
      </c>
      <c r="B22" s="3101"/>
      <c r="C22" s="3101"/>
      <c r="D22" s="3101"/>
      <c r="E22" s="3100" t="e">
        <f t="shared" si="2"/>
        <v>#DIV/0!</v>
      </c>
      <c r="F22" s="3100" t="e">
        <f t="shared" si="3"/>
        <v>#DIV/0!</v>
      </c>
      <c r="G22" s="3101"/>
      <c r="H22" s="3101"/>
      <c r="I22" s="3101"/>
      <c r="J22" s="3104"/>
    </row>
    <row r="23" spans="1:10" ht="15.6">
      <c r="A23" s="3099" t="s">
        <v>2582</v>
      </c>
      <c r="B23" s="3101"/>
      <c r="C23" s="3101"/>
      <c r="D23" s="3101"/>
      <c r="E23" s="3102" t="e">
        <f t="shared" si="2"/>
        <v>#DIV/0!</v>
      </c>
      <c r="F23" s="3102" t="e">
        <f t="shared" si="3"/>
        <v>#DIV/0!</v>
      </c>
      <c r="G23" s="3101"/>
      <c r="H23" s="3101"/>
      <c r="I23" s="3101"/>
      <c r="J23" s="3104"/>
    </row>
    <row r="24" spans="1:10">
      <c r="A24" s="3104"/>
      <c r="B24" s="3104"/>
      <c r="C24" s="3104"/>
      <c r="D24" s="3104"/>
      <c r="E24" s="3104"/>
      <c r="F24" s="3104"/>
      <c r="G24" s="3104"/>
      <c r="H24" s="3104"/>
      <c r="I24" s="3104"/>
      <c r="J24" s="3104"/>
    </row>
    <row r="25" spans="1:10">
      <c r="A25" s="3104"/>
      <c r="B25" s="3104"/>
      <c r="C25" s="3104"/>
      <c r="D25" s="3104"/>
      <c r="E25" s="3104"/>
      <c r="F25" s="3104"/>
      <c r="G25" s="3104"/>
      <c r="H25" s="3104"/>
      <c r="I25" s="3104"/>
      <c r="J25" s="3104"/>
    </row>
    <row r="26" spans="1:10">
      <c r="A26" s="3104"/>
      <c r="B26" s="3104"/>
      <c r="C26" s="3104"/>
      <c r="D26" s="3104"/>
      <c r="E26" s="3104"/>
      <c r="F26" s="3104"/>
      <c r="G26" s="3104"/>
      <c r="H26" s="3104"/>
      <c r="I26" s="3104"/>
      <c r="J26" s="31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9" zoomScale="70" zoomScaleNormal="100" zoomScaleSheetLayoutView="70" zoomScalePageLayoutView="80" workbookViewId="0">
      <selection activeCell="F63" sqref="F63"/>
    </sheetView>
  </sheetViews>
  <sheetFormatPr defaultColWidth="12.6640625" defaultRowHeight="21.75" customHeight="1"/>
  <cols>
    <col min="1" max="2" width="12.77734375" style="1168" bestFit="1" customWidth="1"/>
    <col min="3" max="4" width="12.6640625" style="1168" customWidth="1"/>
    <col min="5" max="9" width="12.77734375" style="1168"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168"/>
  </cols>
  <sheetData>
    <row r="1" spans="1:22" ht="21.75" customHeight="1" thickBot="1">
      <c r="A1" s="1646" t="s">
        <v>1847</v>
      </c>
      <c r="B1" s="1647"/>
      <c r="C1" s="1675" t="s">
        <v>1848</v>
      </c>
      <c r="D1" s="1676"/>
      <c r="E1" s="1675" t="s">
        <v>1849</v>
      </c>
      <c r="F1" s="1677"/>
      <c r="G1" s="309"/>
      <c r="H1" s="309"/>
      <c r="I1" s="309"/>
      <c r="J1" s="1866"/>
      <c r="K1" s="1866"/>
      <c r="L1" s="1866"/>
      <c r="M1" s="1866"/>
      <c r="N1" s="1866"/>
      <c r="O1" s="1866"/>
      <c r="P1" s="1866"/>
      <c r="Q1" s="1866"/>
      <c r="R1" s="1866"/>
      <c r="S1" s="1866"/>
      <c r="T1" s="1866"/>
      <c r="U1" s="1866"/>
      <c r="V1" s="1866"/>
    </row>
    <row r="2" spans="1:22" ht="21.75" customHeight="1" thickBot="1">
      <c r="A2" s="3583" t="str">
        <f>项目基本情况!K2</f>
        <v>国有建设用地使用权</v>
      </c>
      <c r="B2" s="3584"/>
      <c r="C2" s="3585"/>
      <c r="D2" s="3585"/>
      <c r="E2" s="3585"/>
      <c r="F2" s="3585"/>
      <c r="G2" s="3584"/>
      <c r="H2" s="3584"/>
      <c r="I2" s="3586"/>
      <c r="J2" s="1867"/>
      <c r="K2" s="1866"/>
      <c r="L2" s="1866"/>
      <c r="M2" s="1866"/>
      <c r="N2" s="1866"/>
      <c r="O2" s="1866"/>
      <c r="P2" s="1866"/>
      <c r="Q2" s="1866"/>
      <c r="R2" s="1866"/>
      <c r="S2" s="1866"/>
      <c r="T2" s="1866"/>
      <c r="U2" s="1866"/>
      <c r="V2" s="1866"/>
    </row>
    <row r="3" spans="1:22" ht="13.8">
      <c r="A3" s="3576" t="s">
        <v>298</v>
      </c>
      <c r="B3" s="3577"/>
      <c r="C3" s="3577"/>
      <c r="D3" s="3577"/>
      <c r="E3" s="3577"/>
      <c r="F3" s="3577"/>
      <c r="G3" s="3577"/>
      <c r="H3" s="3577"/>
      <c r="I3" s="3577"/>
      <c r="J3" s="1867"/>
      <c r="K3" s="1866"/>
      <c r="L3" s="1866"/>
      <c r="M3" s="1866"/>
      <c r="N3" s="1866"/>
      <c r="O3" s="1866"/>
      <c r="P3" s="1866"/>
      <c r="Q3" s="1866"/>
      <c r="R3" s="1866"/>
      <c r="S3" s="1866"/>
      <c r="T3" s="1866"/>
      <c r="U3" s="1866"/>
      <c r="V3" s="1866"/>
    </row>
    <row r="4" spans="1:22" ht="14.4">
      <c r="A4" s="256" t="s">
        <v>299</v>
      </c>
      <c r="B4" s="257" t="s">
        <v>300</v>
      </c>
      <c r="C4" s="258"/>
      <c r="D4" s="258"/>
      <c r="E4" s="3542" t="s">
        <v>301</v>
      </c>
      <c r="F4" s="3543"/>
      <c r="G4" s="3543"/>
      <c r="H4" s="3543"/>
      <c r="I4" s="3578"/>
      <c r="J4" s="1867"/>
      <c r="K4" s="1866"/>
      <c r="L4" s="3105" t="str">
        <f>IF(ISNUMBER(FIND("比较法",C4)),"比较法",IF(ISNUMBER(FIND("成本法",C4)),"成本法",IF(ISNUMBER(FIND("剩余法",C4)),"剩余法",IF(ISNUMBER(FIND("收益法",C4)),"收益法","基准地价系数修正法"))))</f>
        <v>基准地价系数修正法</v>
      </c>
      <c r="M4" s="920" t="str">
        <f>IF(ISNUMBER(FIND("比较法",D4)),"比较法",IF(ISNUMBER(FIND("成本法",D4)),"成本法",IF(ISNUMBER(FIND("剩余法",D4)),"剩余法",IF(ISNUMBER(FIND("收益法",D4)),"收益法","基准地价系数修正法"))))</f>
        <v>基准地价系数修正法</v>
      </c>
      <c r="N4" s="1866"/>
      <c r="O4" s="1866"/>
      <c r="P4" s="1866"/>
      <c r="Q4" s="1866"/>
      <c r="R4" s="1866"/>
      <c r="S4" s="1866"/>
      <c r="T4" s="1866"/>
      <c r="U4" s="1866"/>
      <c r="V4" s="1866"/>
    </row>
    <row r="5" spans="1:22" ht="13.8">
      <c r="A5" s="3541" t="s">
        <v>302</v>
      </c>
      <c r="B5" s="3570">
        <v>25</v>
      </c>
      <c r="C5" s="3568"/>
      <c r="D5" s="3572"/>
      <c r="E5" s="259" t="s">
        <v>303</v>
      </c>
      <c r="F5" s="260"/>
      <c r="G5" s="260"/>
      <c r="H5" s="260"/>
      <c r="I5" s="261"/>
      <c r="J5" s="1867"/>
      <c r="K5" s="1866"/>
      <c r="L5" s="1866"/>
      <c r="M5" s="1866"/>
      <c r="N5" s="1866"/>
      <c r="O5" s="1866"/>
      <c r="P5" s="1866"/>
      <c r="Q5" s="1866"/>
      <c r="R5" s="1866"/>
      <c r="S5" s="1866"/>
      <c r="T5" s="1866"/>
      <c r="U5" s="1866"/>
      <c r="V5" s="1866"/>
    </row>
    <row r="6" spans="1:22" ht="13.8">
      <c r="A6" s="3541"/>
      <c r="B6" s="3570"/>
      <c r="C6" s="3571"/>
      <c r="D6" s="3572"/>
      <c r="E6" s="259" t="s">
        <v>304</v>
      </c>
      <c r="F6" s="260"/>
      <c r="G6" s="260"/>
      <c r="H6" s="260"/>
      <c r="I6" s="261"/>
      <c r="J6" s="1867"/>
      <c r="K6" s="1866"/>
      <c r="L6" s="1866"/>
      <c r="M6" s="1866"/>
      <c r="N6" s="1866"/>
      <c r="O6" s="1866"/>
      <c r="P6" s="1866"/>
      <c r="Q6" s="1866"/>
      <c r="R6" s="1866"/>
      <c r="S6" s="1866"/>
      <c r="T6" s="1866"/>
      <c r="U6" s="1866"/>
      <c r="V6" s="1866"/>
    </row>
    <row r="7" spans="1:22" ht="13.8">
      <c r="A7" s="3541"/>
      <c r="B7" s="3570"/>
      <c r="C7" s="3569"/>
      <c r="D7" s="3572"/>
      <c r="E7" s="259" t="s">
        <v>305</v>
      </c>
      <c r="F7" s="260"/>
      <c r="G7" s="260"/>
      <c r="H7" s="260"/>
      <c r="I7" s="261"/>
      <c r="J7" s="1867"/>
      <c r="K7" s="1866"/>
      <c r="L7" s="1866"/>
      <c r="M7" s="1866"/>
      <c r="N7" s="1866"/>
      <c r="O7" s="1866"/>
      <c r="P7" s="1866"/>
      <c r="Q7" s="1866"/>
      <c r="R7" s="1866"/>
      <c r="S7" s="1866"/>
      <c r="T7" s="1866"/>
      <c r="U7" s="1866"/>
      <c r="V7" s="1866"/>
    </row>
    <row r="8" spans="1:22" ht="13.8">
      <c r="A8" s="3541" t="s">
        <v>306</v>
      </c>
      <c r="B8" s="3570">
        <v>15</v>
      </c>
      <c r="C8" s="3568"/>
      <c r="D8" s="3572"/>
      <c r="E8" s="259" t="s">
        <v>307</v>
      </c>
      <c r="F8" s="260"/>
      <c r="G8" s="260"/>
      <c r="H8" s="260"/>
      <c r="I8" s="261"/>
      <c r="J8" s="1867"/>
      <c r="K8" s="1866"/>
      <c r="L8" s="1866"/>
      <c r="M8" s="1866"/>
      <c r="N8" s="1866"/>
      <c r="O8" s="1866"/>
      <c r="P8" s="1866"/>
      <c r="Q8" s="1866"/>
      <c r="R8" s="1866"/>
      <c r="S8" s="1866"/>
      <c r="T8" s="1866"/>
      <c r="U8" s="1866"/>
      <c r="V8" s="1866"/>
    </row>
    <row r="9" spans="1:22" ht="13.8">
      <c r="A9" s="3541"/>
      <c r="B9" s="3570"/>
      <c r="C9" s="3569"/>
      <c r="D9" s="3572"/>
      <c r="E9" s="259" t="s">
        <v>308</v>
      </c>
      <c r="F9" s="260"/>
      <c r="G9" s="260"/>
      <c r="H9" s="260"/>
      <c r="I9" s="261"/>
      <c r="J9" s="1867"/>
      <c r="K9" s="1866"/>
      <c r="L9" s="1866"/>
      <c r="M9" s="1866"/>
      <c r="N9" s="1866"/>
      <c r="O9" s="1866"/>
      <c r="P9" s="1866"/>
      <c r="Q9" s="1866"/>
      <c r="R9" s="1866"/>
      <c r="S9" s="1866"/>
      <c r="T9" s="1866"/>
      <c r="U9" s="1866"/>
      <c r="V9" s="1866"/>
    </row>
    <row r="10" spans="1:22" ht="13.8">
      <c r="A10" s="3541" t="s">
        <v>309</v>
      </c>
      <c r="B10" s="3570">
        <v>15</v>
      </c>
      <c r="C10" s="3568"/>
      <c r="D10" s="3572"/>
      <c r="E10" s="259" t="s">
        <v>310</v>
      </c>
      <c r="F10" s="260"/>
      <c r="G10" s="260"/>
      <c r="H10" s="260"/>
      <c r="I10" s="261"/>
      <c r="J10" s="1867"/>
      <c r="K10" s="1866"/>
      <c r="L10" s="1866"/>
      <c r="M10" s="1866"/>
      <c r="N10" s="1866"/>
      <c r="O10" s="1866"/>
      <c r="P10" s="1866"/>
      <c r="Q10" s="1866"/>
      <c r="R10" s="1866"/>
      <c r="S10" s="1866"/>
      <c r="T10" s="1866"/>
      <c r="U10" s="1866"/>
      <c r="V10" s="1866"/>
    </row>
    <row r="11" spans="1:22" ht="13.8">
      <c r="A11" s="3541"/>
      <c r="B11" s="3570"/>
      <c r="C11" s="3569"/>
      <c r="D11" s="3572"/>
      <c r="E11" s="259" t="s">
        <v>311</v>
      </c>
      <c r="F11" s="260"/>
      <c r="G11" s="260"/>
      <c r="H11" s="260"/>
      <c r="I11" s="261"/>
      <c r="J11" s="1867"/>
      <c r="K11" s="1866"/>
      <c r="L11" s="1866"/>
      <c r="M11" s="1866"/>
      <c r="N11" s="1866"/>
      <c r="O11" s="1866"/>
      <c r="P11" s="1866"/>
      <c r="Q11" s="1866"/>
      <c r="R11" s="1866"/>
      <c r="S11" s="1866"/>
      <c r="T11" s="1866"/>
      <c r="U11" s="1866"/>
      <c r="V11" s="1866"/>
    </row>
    <row r="12" spans="1:22" ht="13.8">
      <c r="A12" s="3541" t="s">
        <v>312</v>
      </c>
      <c r="B12" s="3570">
        <v>15</v>
      </c>
      <c r="C12" s="3568"/>
      <c r="D12" s="3572"/>
      <c r="E12" s="259" t="s">
        <v>313</v>
      </c>
      <c r="F12" s="260"/>
      <c r="G12" s="260"/>
      <c r="H12" s="260"/>
      <c r="I12" s="261"/>
      <c r="J12" s="1867"/>
      <c r="K12" s="1866"/>
      <c r="L12" s="1866"/>
      <c r="M12" s="1866"/>
      <c r="N12" s="1866"/>
      <c r="O12" s="1866"/>
      <c r="P12" s="1866"/>
      <c r="Q12" s="1866"/>
      <c r="R12" s="1866"/>
      <c r="S12" s="1866"/>
      <c r="T12" s="1866"/>
      <c r="U12" s="1866"/>
      <c r="V12" s="1866"/>
    </row>
    <row r="13" spans="1:22" ht="13.8">
      <c r="A13" s="3541"/>
      <c r="B13" s="3570"/>
      <c r="C13" s="3569"/>
      <c r="D13" s="3572"/>
      <c r="E13" s="259" t="s">
        <v>314</v>
      </c>
      <c r="F13" s="260"/>
      <c r="G13" s="260"/>
      <c r="H13" s="260"/>
      <c r="I13" s="261"/>
      <c r="J13" s="1867"/>
      <c r="K13" s="1866"/>
      <c r="L13" s="1866"/>
      <c r="M13" s="1866"/>
      <c r="N13" s="1866"/>
      <c r="O13" s="1866"/>
      <c r="P13" s="1866"/>
      <c r="Q13" s="1866"/>
      <c r="R13" s="1866"/>
      <c r="S13" s="1866"/>
      <c r="T13" s="1866"/>
      <c r="U13" s="1866"/>
      <c r="V13" s="1866"/>
    </row>
    <row r="14" spans="1:22" ht="13.8">
      <c r="A14" s="3541" t="s">
        <v>315</v>
      </c>
      <c r="B14" s="3570">
        <v>30</v>
      </c>
      <c r="C14" s="3568"/>
      <c r="D14" s="3572"/>
      <c r="E14" s="259" t="s">
        <v>316</v>
      </c>
      <c r="F14" s="260"/>
      <c r="G14" s="260"/>
      <c r="H14" s="260"/>
      <c r="I14" s="261"/>
      <c r="J14" s="1867"/>
      <c r="K14" s="1866"/>
      <c r="L14" s="1866"/>
      <c r="M14" s="1866"/>
      <c r="N14" s="1866"/>
      <c r="O14" s="1866"/>
      <c r="P14" s="1866"/>
      <c r="Q14" s="1866"/>
      <c r="R14" s="1866"/>
      <c r="S14" s="1866"/>
      <c r="T14" s="1866"/>
      <c r="U14" s="1866"/>
      <c r="V14" s="1866"/>
    </row>
    <row r="15" spans="1:22" ht="13.8">
      <c r="A15" s="3541"/>
      <c r="B15" s="3570"/>
      <c r="C15" s="3571"/>
      <c r="D15" s="3572"/>
      <c r="E15" s="259" t="s">
        <v>317</v>
      </c>
      <c r="F15" s="260"/>
      <c r="G15" s="260"/>
      <c r="H15" s="260"/>
      <c r="I15" s="261"/>
      <c r="J15" s="1867"/>
      <c r="K15" s="1866"/>
      <c r="L15" s="1866"/>
      <c r="M15" s="1866"/>
      <c r="N15" s="1866"/>
      <c r="O15" s="1866"/>
      <c r="P15" s="1866"/>
      <c r="Q15" s="1866"/>
      <c r="R15" s="1866"/>
      <c r="S15" s="1866"/>
      <c r="T15" s="1866"/>
      <c r="U15" s="1866"/>
      <c r="V15" s="1866"/>
    </row>
    <row r="16" spans="1:22" ht="13.8">
      <c r="A16" s="3541"/>
      <c r="B16" s="3570"/>
      <c r="C16" s="3569"/>
      <c r="D16" s="3572"/>
      <c r="E16" s="259" t="s">
        <v>318</v>
      </c>
      <c r="F16" s="260"/>
      <c r="G16" s="260"/>
      <c r="H16" s="260"/>
      <c r="I16" s="261"/>
      <c r="J16" s="1867"/>
      <c r="K16" s="1866"/>
      <c r="L16" s="1866"/>
      <c r="M16" s="1866"/>
      <c r="N16" s="1866"/>
      <c r="O16" s="1866"/>
      <c r="P16" s="1866"/>
      <c r="Q16" s="1866"/>
      <c r="R16" s="1866"/>
      <c r="S16" s="1866"/>
      <c r="T16" s="1866"/>
      <c r="U16" s="1866"/>
      <c r="V16" s="1866"/>
    </row>
    <row r="17" spans="1:26" ht="14.4">
      <c r="A17" s="262" t="s">
        <v>319</v>
      </c>
      <c r="B17" s="142"/>
      <c r="C17" s="263">
        <f>SUM(C5:C16)</f>
        <v>0</v>
      </c>
      <c r="D17" s="263">
        <f>SUM(D5:D16)</f>
        <v>0</v>
      </c>
      <c r="E17" s="309"/>
      <c r="F17" s="309"/>
      <c r="G17" s="309"/>
      <c r="H17" s="309"/>
      <c r="I17" s="309"/>
      <c r="J17" s="1867"/>
      <c r="K17" s="1866"/>
      <c r="L17" s="1866"/>
      <c r="M17" s="1866"/>
      <c r="N17" s="1866"/>
      <c r="O17" s="1866"/>
      <c r="P17" s="1866"/>
      <c r="Q17" s="1866"/>
      <c r="R17" s="1866"/>
      <c r="S17" s="1866"/>
      <c r="T17" s="1866"/>
      <c r="U17" s="1866"/>
      <c r="V17" s="1866"/>
    </row>
    <row r="18" spans="1:26" ht="32.4" customHeight="1" thickBot="1">
      <c r="A18" s="264" t="s">
        <v>320</v>
      </c>
      <c r="B18" s="105"/>
      <c r="C18" s="265" t="e">
        <f>ROUND(C17/SUM(C17:D17),2)</f>
        <v>#DIV/0!</v>
      </c>
      <c r="D18" s="265" t="e">
        <f>1-C18</f>
        <v>#DIV/0!</v>
      </c>
      <c r="E18" s="3573" t="s">
        <v>2695</v>
      </c>
      <c r="F18" s="3574"/>
      <c r="G18" s="3574"/>
      <c r="H18" s="3574"/>
      <c r="I18" s="3574"/>
      <c r="J18" s="1866"/>
      <c r="K18" s="1866"/>
      <c r="L18" s="1866"/>
      <c r="M18" s="1866"/>
      <c r="N18" s="1866"/>
      <c r="O18" s="1866"/>
      <c r="P18" s="1866"/>
      <c r="Q18" s="1866"/>
      <c r="R18" s="1866"/>
      <c r="S18" s="1866"/>
      <c r="T18" s="1866"/>
      <c r="U18" s="1866"/>
      <c r="V18" s="1866"/>
    </row>
    <row r="19" spans="1:26" ht="14.4">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66"/>
      <c r="K19" s="1866"/>
      <c r="L19" s="1866"/>
      <c r="M19" s="1866"/>
      <c r="N19" s="1866"/>
      <c r="O19" s="1866"/>
      <c r="P19" s="1866"/>
      <c r="Q19" s="1866"/>
      <c r="R19" s="1866"/>
      <c r="S19" s="1866"/>
      <c r="T19" s="1866"/>
      <c r="U19" s="1866"/>
      <c r="V19" s="1866"/>
    </row>
    <row r="20" spans="1:26" ht="14.4">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66"/>
      <c r="K20" s="1866"/>
      <c r="L20" s="1866"/>
      <c r="M20" s="1866"/>
      <c r="N20" s="1866"/>
      <c r="O20" s="1866"/>
      <c r="P20" s="1866"/>
      <c r="Q20" s="1866"/>
      <c r="R20" s="1866"/>
      <c r="S20" s="1866"/>
      <c r="T20" s="1866"/>
      <c r="U20" s="1866"/>
      <c r="V20" s="1866"/>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69" t="s">
        <v>326</v>
      </c>
      <c r="I21" s="309"/>
      <c r="J21" s="1866"/>
      <c r="K21" s="1866"/>
      <c r="L21" s="1866"/>
      <c r="M21" s="1866"/>
      <c r="N21" s="1866"/>
      <c r="O21" s="1866"/>
      <c r="P21" s="1866"/>
      <c r="Q21" s="1866"/>
      <c r="R21" s="1866"/>
      <c r="S21" s="1866"/>
      <c r="T21" s="1866"/>
      <c r="U21" s="1866"/>
      <c r="V21" s="1866"/>
    </row>
    <row r="22" spans="1:26" ht="15" thickBot="1">
      <c r="A22" s="126" t="s">
        <v>328</v>
      </c>
      <c r="B22" s="1170"/>
      <c r="C22" s="1171"/>
      <c r="D22" s="281" t="e">
        <f ca="1">IF(C19&lt;D19,D19/C19-1,C19/D19-1)</f>
        <v>#REF!</v>
      </c>
      <c r="E22" s="282"/>
      <c r="F22" s="283"/>
      <c r="G22" s="284" t="e">
        <f ca="1">ROUND(G19/('数据-汇总表'!D3/666.67),0)</f>
        <v>#REF!</v>
      </c>
      <c r="H22" s="285" t="s">
        <v>329</v>
      </c>
      <c r="I22" s="309"/>
      <c r="J22" s="1866"/>
      <c r="K22" s="1866"/>
      <c r="L22" s="1866"/>
      <c r="M22" s="1866"/>
      <c r="N22" s="1866"/>
      <c r="O22" s="1866"/>
      <c r="P22" s="1866"/>
      <c r="Q22" s="1866"/>
      <c r="R22" s="1866"/>
      <c r="S22" s="1866"/>
      <c r="T22" s="1866"/>
      <c r="U22" s="1866"/>
      <c r="V22" s="1866"/>
    </row>
    <row r="23" spans="1:26" ht="13.8"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47"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7.399999999999999">
      <c r="A25" s="3548"/>
      <c r="B25" s="1239" t="s">
        <v>331</v>
      </c>
      <c r="C25" s="288">
        <f>IF(B30=0,0,C30)</f>
        <v>0</v>
      </c>
      <c r="D25" s="289"/>
      <c r="E25" s="309"/>
      <c r="F25" s="309"/>
      <c r="G25" s="309"/>
      <c r="H25" s="309"/>
      <c r="I25" s="309"/>
      <c r="J25" s="1866"/>
      <c r="K25" s="1173" t="e">
        <f ca="1">项目基本情况!B16&amp;"国有建设用地使用权价格："&amp;O38&amp;"万元"</f>
        <v>#REF!</v>
      </c>
      <c r="L25" s="1174"/>
      <c r="M25" s="1174"/>
      <c r="N25" s="1174"/>
      <c r="O25" s="1175"/>
      <c r="P25" s="1866"/>
      <c r="Q25" s="1866"/>
      <c r="R25" s="1866"/>
      <c r="S25" s="1866"/>
      <c r="T25" s="1866"/>
      <c r="U25" s="1866"/>
      <c r="V25" s="1866"/>
    </row>
    <row r="26" spans="1:26" s="1172" customFormat="1" ht="17.399999999999999">
      <c r="A26" s="291" t="s">
        <v>332</v>
      </c>
      <c r="B26" s="292" t="s">
        <v>333</v>
      </c>
      <c r="C26" s="292" t="s">
        <v>334</v>
      </c>
      <c r="D26" s="293" t="s">
        <v>335</v>
      </c>
      <c r="E26" s="309"/>
      <c r="F26" s="309"/>
      <c r="G26" s="309"/>
      <c r="H26" s="309"/>
      <c r="I26" s="309"/>
      <c r="J26" s="1866"/>
      <c r="K26" s="1176" t="e">
        <f ca="1">"大写金额：人民币"&amp;NUMBERSTRING(INT(O38*10000),2)&amp;"元整"</f>
        <v>#REF!</v>
      </c>
      <c r="L26" s="1170"/>
      <c r="M26" s="1170"/>
      <c r="N26" s="1170"/>
      <c r="O26" s="1169"/>
      <c r="P26" s="1866"/>
      <c r="Q26" s="1866"/>
      <c r="R26" s="1866"/>
      <c r="S26" s="1866"/>
      <c r="T26" s="1866"/>
      <c r="U26" s="1866"/>
      <c r="V26" s="1866"/>
      <c r="W26" s="290"/>
      <c r="X26" s="290"/>
      <c r="Y26" s="290"/>
      <c r="Z26" s="290"/>
    </row>
    <row r="27" spans="1:26" ht="17.399999999999999">
      <c r="A27" s="291"/>
      <c r="B27" s="292"/>
      <c r="C27" s="292"/>
      <c r="D27" s="293"/>
      <c r="E27" s="309"/>
      <c r="F27" s="309"/>
      <c r="G27" s="309"/>
      <c r="H27" s="309"/>
      <c r="I27" s="309"/>
      <c r="J27" s="1866"/>
      <c r="K27" s="1176" t="e">
        <f ca="1">"单位面积地价："&amp;M38&amp;"元/平方米"</f>
        <v>#REF!</v>
      </c>
      <c r="L27" s="1170"/>
      <c r="M27" s="1170"/>
      <c r="N27" s="1170"/>
      <c r="O27" s="1169"/>
      <c r="P27" s="1866"/>
      <c r="Q27" s="1866"/>
      <c r="R27" s="1866"/>
      <c r="S27" s="1866"/>
      <c r="T27" s="1866"/>
      <c r="U27" s="1866"/>
      <c r="V27" s="1866"/>
    </row>
    <row r="28" spans="1:26" ht="18.75" customHeight="1">
      <c r="A28" s="291"/>
      <c r="B28" s="292"/>
      <c r="C28" s="292"/>
      <c r="D28" s="293"/>
      <c r="E28" s="309"/>
      <c r="F28" s="309"/>
      <c r="G28" s="309"/>
      <c r="H28" s="309"/>
      <c r="I28" s="309"/>
      <c r="J28" s="1866"/>
      <c r="K28" s="1176" t="e">
        <f ca="1">"楼面地价："&amp;N38&amp;"元/平方米"</f>
        <v>#REF!</v>
      </c>
      <c r="L28" s="1170"/>
      <c r="M28" s="1170"/>
      <c r="N28" s="1170"/>
      <c r="O28" s="1169"/>
      <c r="P28" s="1866"/>
      <c r="V28" s="1866"/>
    </row>
    <row r="29" spans="1:26" ht="17.399999999999999">
      <c r="A29" s="291"/>
      <c r="B29" s="292"/>
      <c r="C29" s="292"/>
      <c r="D29" s="293"/>
      <c r="E29" s="309"/>
      <c r="F29" s="309"/>
      <c r="G29" s="309"/>
      <c r="H29" s="309"/>
      <c r="I29" s="309"/>
      <c r="J29" s="1866"/>
      <c r="K29" s="1176" t="str">
        <f>IF(OR(项目基本情况!E8="抵押价格",项目基本情况!E8="已注销及未注销"),"抵押价格："&amp;O39&amp;"万元","——")</f>
        <v>——</v>
      </c>
      <c r="L29" s="1170"/>
      <c r="M29" s="1170"/>
      <c r="N29" s="1170"/>
      <c r="O29" s="1169"/>
      <c r="P29" s="1866"/>
      <c r="V29" s="1866"/>
    </row>
    <row r="30" spans="1:26" ht="18" thickBot="1">
      <c r="A30" s="2719" t="s">
        <v>336</v>
      </c>
      <c r="B30" s="307"/>
      <c r="C30" s="307"/>
      <c r="D30" s="308"/>
      <c r="E30" s="2912" t="s">
        <v>2696</v>
      </c>
      <c r="F30" s="309"/>
      <c r="G30" s="309"/>
      <c r="H30" s="309"/>
      <c r="I30" s="309"/>
      <c r="J30" s="1866"/>
      <c r="K30" s="1176" t="str">
        <f>IF(K29="——","——","大写金额：人民币"&amp;NUMBERSTRING(INT(O39*10000),2)&amp;"元整")</f>
        <v>——</v>
      </c>
      <c r="L30" s="1170"/>
      <c r="M30" s="1170"/>
      <c r="N30" s="1170"/>
      <c r="O30" s="1169"/>
      <c r="P30" s="1866"/>
      <c r="V30" s="1866"/>
    </row>
    <row r="31" spans="1:26" ht="24" customHeight="1" thickBot="1">
      <c r="A31" s="3575" t="s">
        <v>2697</v>
      </c>
      <c r="B31" s="3575"/>
      <c r="C31" s="3575"/>
      <c r="D31" s="3575"/>
      <c r="E31" s="3575"/>
      <c r="F31" s="3575"/>
      <c r="G31" s="3575"/>
      <c r="H31" s="3575"/>
      <c r="I31" s="3575"/>
      <c r="J31" s="1866"/>
      <c r="K31" s="2277" t="str">
        <f>IF(项目基本情况!E8="抵押价格","——","抵押担保权已注销时的抵押价格："&amp;O40&amp;"万元")</f>
        <v>抵押担保权已注销时的抵押价格：——万元</v>
      </c>
      <c r="L31" s="2273"/>
      <c r="M31" s="2273"/>
      <c r="N31" s="2273"/>
      <c r="O31" s="2274"/>
      <c r="P31" s="1866"/>
      <c r="V31" s="1866"/>
    </row>
    <row r="32" spans="1:26" ht="18.600000000000001" thickTop="1" thickBot="1">
      <c r="A32" s="272" t="s">
        <v>337</v>
      </c>
      <c r="B32" s="2913" t="s">
        <v>1488</v>
      </c>
      <c r="C32" s="264" t="e">
        <f ca="1">G19-C24</f>
        <v>#REF!</v>
      </c>
      <c r="D32" s="2914" t="s">
        <v>1489</v>
      </c>
      <c r="E32" s="309"/>
      <c r="F32" s="309"/>
      <c r="G32" s="309"/>
      <c r="H32" s="309"/>
      <c r="I32" s="309"/>
      <c r="J32" s="1866"/>
      <c r="K32" s="2272" t="e">
        <f>IF(K31="——","——","大写金额：人民币"&amp;NUMBERSTRING(INT(O40*10000),2)&amp;"元整")</f>
        <v>#VALUE!</v>
      </c>
      <c r="L32" s="2275"/>
      <c r="M32" s="2275"/>
      <c r="N32" s="2275"/>
      <c r="O32" s="2276"/>
      <c r="P32" s="1866"/>
      <c r="V32" s="1866"/>
    </row>
    <row r="33" spans="1:26" ht="18" thickBot="1">
      <c r="A33" s="296" t="s">
        <v>340</v>
      </c>
      <c r="B33" s="1289" t="s">
        <v>1490</v>
      </c>
      <c r="C33" s="262" t="e">
        <f ca="1">ROUND(C32*10000/'数据-汇总表'!E3,0)</f>
        <v>#REF!</v>
      </c>
      <c r="D33" s="1290" t="s">
        <v>1491</v>
      </c>
      <c r="E33" s="3547" t="s">
        <v>338</v>
      </c>
      <c r="F33" s="294" t="s">
        <v>339</v>
      </c>
      <c r="G33" s="295"/>
      <c r="H33" s="951"/>
      <c r="I33" s="1177"/>
      <c r="J33" s="1866"/>
      <c r="K33" s="1176" t="str">
        <f>IF(项目基本情况!E9="——","——","抵押净值："&amp;C46&amp;"万元")</f>
        <v>抵押净值：——万元</v>
      </c>
      <c r="L33" s="1170"/>
      <c r="M33" s="1170"/>
      <c r="N33" s="1170"/>
      <c r="O33" s="1169"/>
      <c r="P33" s="1866"/>
      <c r="V33" s="1866"/>
    </row>
    <row r="34" spans="1:26" s="1172" customFormat="1" ht="18" thickBot="1">
      <c r="A34" s="298"/>
      <c r="B34" s="1291" t="s">
        <v>1492</v>
      </c>
      <c r="C34" s="262" t="e">
        <f ca="1">ROUND(C32*10000/'数据-汇总表'!D3,0)</f>
        <v>#REF!</v>
      </c>
      <c r="D34" s="1292" t="s">
        <v>1491</v>
      </c>
      <c r="E34" s="3591"/>
      <c r="F34" s="127" t="s">
        <v>341</v>
      </c>
      <c r="G34" s="297"/>
      <c r="H34" s="105"/>
      <c r="I34" s="309"/>
      <c r="J34" s="1866"/>
      <c r="K34" s="1179" t="e">
        <f>IF(K33="——","——","大写金额：人民币"&amp;NUMBERSTRING(INT(O41*10000),2)&amp;"元整")</f>
        <v>#VALUE!</v>
      </c>
      <c r="L34" s="1180"/>
      <c r="M34" s="1180"/>
      <c r="N34" s="1180"/>
      <c r="O34" s="1181"/>
      <c r="P34" s="1866"/>
      <c r="Q34" s="290"/>
      <c r="R34" s="290"/>
      <c r="S34" s="290"/>
      <c r="T34" s="290"/>
      <c r="U34" s="290"/>
      <c r="V34" s="1866"/>
      <c r="W34" s="290"/>
      <c r="X34" s="290"/>
      <c r="Y34" s="290"/>
      <c r="Z34" s="290"/>
    </row>
    <row r="35" spans="1:26" ht="15" thickBot="1">
      <c r="A35" s="282"/>
      <c r="B35" s="1293"/>
      <c r="C35" s="1294" t="e">
        <f ca="1">ROUND(C32/('数据-汇总表'!D3/666.67),0)</f>
        <v>#REF!</v>
      </c>
      <c r="D35" s="1295" t="s">
        <v>1493</v>
      </c>
      <c r="E35" s="3592"/>
      <c r="F35" s="299" t="s">
        <v>342</v>
      </c>
      <c r="G35" s="953"/>
      <c r="H35" s="952" t="s">
        <v>343</v>
      </c>
      <c r="I35" s="309"/>
      <c r="J35" s="1866"/>
      <c r="K35" s="3565" t="s">
        <v>350</v>
      </c>
      <c r="L35" s="3565" t="s">
        <v>351</v>
      </c>
      <c r="M35" s="1182" t="s">
        <v>352</v>
      </c>
      <c r="N35" s="3565" t="s">
        <v>353</v>
      </c>
      <c r="O35" s="3565" t="s">
        <v>354</v>
      </c>
      <c r="P35" s="1866"/>
      <c r="V35" s="1866"/>
    </row>
    <row r="36" spans="1:26" ht="16.5" customHeight="1">
      <c r="A36" s="301" t="s">
        <v>344</v>
      </c>
      <c r="B36" s="302" t="s">
        <v>333</v>
      </c>
      <c r="C36" s="303" t="s">
        <v>345</v>
      </c>
      <c r="D36" s="303" t="s">
        <v>346</v>
      </c>
      <c r="E36" s="304" t="s">
        <v>347</v>
      </c>
      <c r="F36" s="309"/>
      <c r="G36" s="309"/>
      <c r="H36" s="309"/>
      <c r="I36" s="309"/>
      <c r="J36" s="1868"/>
      <c r="K36" s="3566"/>
      <c r="L36" s="3566"/>
      <c r="M36" s="1184" t="s">
        <v>355</v>
      </c>
      <c r="N36" s="3566"/>
      <c r="O36" s="3566"/>
      <c r="P36" s="1866"/>
      <c r="V36" s="1866"/>
    </row>
    <row r="37" spans="1:26" ht="16.5" customHeight="1" thickBot="1">
      <c r="A37" s="1178" t="s">
        <v>348</v>
      </c>
      <c r="B37" s="305"/>
      <c r="C37" s="292"/>
      <c r="D37" s="292"/>
      <c r="E37" s="293"/>
      <c r="F37" s="309"/>
      <c r="G37" s="309"/>
      <c r="H37" s="309"/>
      <c r="I37" s="309"/>
      <c r="J37" s="1868"/>
      <c r="K37" s="3567"/>
      <c r="L37" s="3567"/>
      <c r="M37" s="1185"/>
      <c r="N37" s="3567"/>
      <c r="O37" s="3567"/>
      <c r="P37" s="1866"/>
      <c r="V37" s="1866"/>
    </row>
    <row r="38" spans="1:26" ht="16.5" customHeight="1" thickBot="1">
      <c r="A38" s="1178" t="s">
        <v>349</v>
      </c>
      <c r="B38" s="305"/>
      <c r="C38" s="292"/>
      <c r="D38" s="292"/>
      <c r="E38" s="293"/>
      <c r="F38" s="309"/>
      <c r="G38" s="309"/>
      <c r="H38" s="309"/>
      <c r="I38" s="309"/>
      <c r="J38" s="1868"/>
      <c r="K38" s="1186" t="e">
        <f>'数据-汇总表'!D3</f>
        <v>#DIV/0!</v>
      </c>
      <c r="L38" s="1187">
        <f>'数据-汇总表'!E3</f>
        <v>0</v>
      </c>
      <c r="M38" s="1187" t="e">
        <f ca="1">C34</f>
        <v>#REF!</v>
      </c>
      <c r="N38" s="1187" t="e">
        <f ca="1">C33</f>
        <v>#REF!</v>
      </c>
      <c r="O38" s="1188" t="e">
        <f ca="1">C32</f>
        <v>#REF!</v>
      </c>
      <c r="P38" s="1866"/>
      <c r="V38" s="1866"/>
    </row>
    <row r="39" spans="1:26" ht="16.5" customHeight="1" thickBot="1">
      <c r="A39" s="1183"/>
      <c r="B39" s="306"/>
      <c r="C39" s="307"/>
      <c r="D39" s="307"/>
      <c r="E39" s="308"/>
      <c r="F39" s="309"/>
      <c r="G39" s="309"/>
      <c r="H39" s="309"/>
      <c r="I39" s="309"/>
      <c r="J39" s="1868"/>
      <c r="K39" s="3605" t="str">
        <f>MID(A44,3,LEN(A44)-2)</f>
        <v/>
      </c>
      <c r="L39" s="3606"/>
      <c r="M39" s="3606"/>
      <c r="N39" s="3607"/>
      <c r="O39" s="1297" t="str">
        <f>C44</f>
        <v>——</v>
      </c>
      <c r="P39" s="1866"/>
      <c r="V39" s="1866"/>
    </row>
    <row r="40" spans="1:26" ht="18" thickBot="1">
      <c r="A40" s="104" t="s">
        <v>852</v>
      </c>
      <c r="B40" s="309"/>
      <c r="C40" s="309"/>
      <c r="D40" s="309"/>
      <c r="E40" s="309"/>
      <c r="F40" s="309"/>
      <c r="G40" s="309"/>
      <c r="H40" s="309"/>
      <c r="I40" s="309"/>
      <c r="J40" s="1868"/>
      <c r="K40" s="3605" t="str">
        <f t="shared" ref="K40:K41" si="0">MID(A45,3,LEN(A45)-2)</f>
        <v/>
      </c>
      <c r="L40" s="3606"/>
      <c r="M40" s="3606"/>
      <c r="N40" s="3607"/>
      <c r="O40" s="1297" t="str">
        <f>C45</f>
        <v>——</v>
      </c>
      <c r="P40" s="1866"/>
      <c r="V40" s="1866"/>
    </row>
    <row r="41" spans="1:26" ht="16.2" thickBot="1">
      <c r="A41" s="310" t="s">
        <v>356</v>
      </c>
      <c r="B41" s="311"/>
      <c r="C41" s="312" t="s">
        <v>357</v>
      </c>
      <c r="D41" s="313" t="s">
        <v>358</v>
      </c>
      <c r="E41" s="313" t="s">
        <v>359</v>
      </c>
      <c r="F41" s="314" t="s">
        <v>360</v>
      </c>
      <c r="G41" s="309"/>
      <c r="H41" s="309"/>
      <c r="I41" s="309"/>
      <c r="J41" s="1868"/>
      <c r="K41" s="3605" t="str">
        <f t="shared" si="0"/>
        <v/>
      </c>
      <c r="L41" s="3606"/>
      <c r="M41" s="3606"/>
      <c r="N41" s="3607"/>
      <c r="O41" s="1297" t="str">
        <f>C46</f>
        <v>——</v>
      </c>
      <c r="P41" s="1866"/>
      <c r="V41" s="1866"/>
    </row>
    <row r="42" spans="1:26" ht="31.2">
      <c r="A42" s="3549" t="s">
        <v>1859</v>
      </c>
      <c r="B42" s="3550"/>
      <c r="C42" s="262" t="e">
        <f ca="1">C32</f>
        <v>#REF!</v>
      </c>
      <c r="D42" s="315" t="e">
        <f ca="1">C33</f>
        <v>#REF!</v>
      </c>
      <c r="E42" s="315" t="e">
        <f ca="1">C34</f>
        <v>#REF!</v>
      </c>
      <c r="F42" s="316" t="e">
        <f ca="1">C35</f>
        <v>#REF!</v>
      </c>
      <c r="G42" s="309"/>
      <c r="H42" s="309"/>
      <c r="I42" s="317"/>
      <c r="J42" s="1868"/>
      <c r="K42" s="1189" t="s">
        <v>361</v>
      </c>
      <c r="L42" s="1885" t="s">
        <v>362</v>
      </c>
      <c r="M42" s="1190" t="s">
        <v>363</v>
      </c>
      <c r="N42" s="1886" t="s">
        <v>364</v>
      </c>
      <c r="O42" s="1887" t="s">
        <v>365</v>
      </c>
      <c r="P42" s="1866"/>
      <c r="V42" s="1866"/>
    </row>
    <row r="43" spans="1:26" ht="17.399999999999999">
      <c r="A43" s="3560" t="s">
        <v>2447</v>
      </c>
      <c r="B43" s="3561"/>
      <c r="C43" s="262">
        <f>IF(H33="正常操作",G33+G34+G35,G34+G35)</f>
        <v>0</v>
      </c>
      <c r="D43" s="315" t="s">
        <v>43</v>
      </c>
      <c r="E43" s="315" t="s">
        <v>44</v>
      </c>
      <c r="F43" s="316" t="s">
        <v>44</v>
      </c>
      <c r="G43" s="2506" t="s">
        <v>931</v>
      </c>
      <c r="H43" s="309"/>
      <c r="I43" s="317"/>
      <c r="J43" s="1868"/>
      <c r="K43" s="1191">
        <f>C4</f>
        <v>0</v>
      </c>
      <c r="L43" s="1192" t="e">
        <f ca="1">IF(L42="估价结果/万元",C19,C20)</f>
        <v>#REF!</v>
      </c>
      <c r="M43" s="1193" t="e">
        <f>C18</f>
        <v>#DIV/0!</v>
      </c>
      <c r="N43" s="1194" t="e">
        <f ca="1">IF(N42="测算结果/万元",G19,G20)</f>
        <v>#REF!</v>
      </c>
      <c r="O43" s="1195" t="e">
        <f ca="1">IF(O42="最终结果/万元",C32,C33)</f>
        <v>#REF!</v>
      </c>
      <c r="P43" s="1866"/>
      <c r="V43" s="1866"/>
    </row>
    <row r="44" spans="1:26" ht="18" thickBot="1">
      <c r="A44" s="3549" t="str">
        <f>IF(OR(项目基本情况!E8="抵押价格",项目基本情况!E8="已注销及未注销"),"3.抵押价格","——")</f>
        <v>——</v>
      </c>
      <c r="B44" s="3550"/>
      <c r="C44" s="262" t="str">
        <f>IF(A44="——","——",C42-C43)</f>
        <v>——</v>
      </c>
      <c r="D44" s="315" t="e">
        <f>ROUND(C44*10000/'数据-汇总表'!E3,0)</f>
        <v>#VALUE!</v>
      </c>
      <c r="E44" s="315" t="e">
        <f>ROUND(C44*10000/'数据-汇总表'!D3,0)</f>
        <v>#VALUE!</v>
      </c>
      <c r="F44" s="316" t="e">
        <f>ROUND(C44/('数据-汇总表'!D3/666.67),0)</f>
        <v>#VALUE!</v>
      </c>
      <c r="G44" s="309"/>
      <c r="H44" s="309"/>
      <c r="I44" s="317"/>
      <c r="J44" s="1868"/>
      <c r="K44" s="1196">
        <f>D4</f>
        <v>0</v>
      </c>
      <c r="L44" s="1197" t="e">
        <f ca="1">IF(L42="估价结果/万元",D19,D20)</f>
        <v>#REF!</v>
      </c>
      <c r="M44" s="1198" t="e">
        <f>D18</f>
        <v>#DIV/0!</v>
      </c>
      <c r="N44" s="1199"/>
      <c r="O44" s="1200"/>
      <c r="P44" s="1866"/>
      <c r="V44" s="1866"/>
    </row>
    <row r="45" spans="1:26" ht="13.8">
      <c r="A45" s="3555" t="str">
        <f>IF(项目基本情况!E8="已注销及未注销","4.抵押担保权已注销时的抵押价格",IF(项目基本情况!E8="已注销","3.抵押担保权已注销时的抵押价格","——"))</f>
        <v>——</v>
      </c>
      <c r="B45" s="3556"/>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4.4" thickBot="1">
      <c r="A46" s="3551" t="str">
        <f>IF(项目基本情况!E9="抵押净值",IF(A45="——","4.抵押净值","5.抵押净值"),"——")</f>
        <v>——</v>
      </c>
      <c r="B46" s="3552"/>
      <c r="C46" s="318" t="str">
        <f>IF(A46="——","——",O79)</f>
        <v>——</v>
      </c>
      <c r="D46" s="315" t="e">
        <f>ROUND(C46*10000/'数据-汇总表'!E3,0)</f>
        <v>#VALUE!</v>
      </c>
      <c r="E46" s="315" t="e">
        <f>ROUND(C46*10000/'数据-汇总表'!D3,0)</f>
        <v>#VALUE!</v>
      </c>
      <c r="F46" s="316" t="e">
        <f>ROUND(C46/('数据-汇总表'!D3/666.67),0)</f>
        <v>#VALUE!</v>
      </c>
      <c r="G46" s="309"/>
      <c r="H46" s="309"/>
      <c r="I46" s="317"/>
      <c r="J46" s="1868"/>
      <c r="K46" s="1866"/>
      <c r="L46" s="1866"/>
      <c r="M46" s="1866"/>
      <c r="N46" s="1866"/>
      <c r="O46" s="1866"/>
      <c r="P46" s="1866"/>
      <c r="Q46" s="1866"/>
      <c r="R46" s="1866"/>
      <c r="S46" s="1866"/>
      <c r="T46" s="1866"/>
      <c r="U46" s="1866"/>
      <c r="V46" s="1866"/>
    </row>
    <row r="47" spans="1:26" ht="15.6">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本次评估不存在估价师知悉的法定优先受偿款</v>
      </c>
      <c r="L47" s="1866"/>
      <c r="M47" s="1866"/>
      <c r="N47" s="1866"/>
      <c r="O47" s="1866"/>
      <c r="P47" s="1866"/>
      <c r="Q47" s="1866"/>
      <c r="R47" s="1866"/>
      <c r="S47" s="1866"/>
      <c r="T47" s="1866"/>
      <c r="U47" s="1866"/>
      <c r="V47" s="1866"/>
    </row>
    <row r="48" spans="1:26" ht="13.2">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3.2">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3.2">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3.2">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3.2">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3.2">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3.2">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3.2">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3.2">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3.2">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3.2">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3.2">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3.2">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3.2">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7.399999999999999">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599" t="s">
        <v>374</v>
      </c>
      <c r="B63" s="3600"/>
      <c r="C63" s="3601"/>
      <c r="D63" s="339" t="e">
        <f ca="1">ROUND(C42*F63,0)</f>
        <v>#REF!</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557" t="s">
        <v>378</v>
      </c>
      <c r="B64" s="3558"/>
      <c r="C64" s="3558"/>
      <c r="D64" s="3558"/>
      <c r="E64" s="3558"/>
      <c r="F64" s="3558"/>
      <c r="G64" s="3559"/>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6.4">
      <c r="A66" s="3553" t="s">
        <v>386</v>
      </c>
      <c r="B66" s="3554"/>
      <c r="C66" s="3554"/>
      <c r="D66" s="259" t="b">
        <f>IF(H66="情况1",0,IF(H66="情况2",D70,IF(H66="情况3",D71,IF(H66="情况4",D72))))</f>
        <v>0</v>
      </c>
      <c r="E66" s="964" t="str">
        <f>IF(H66="情况4","(销售额-原购置价)×税（费）率","销售额×税（费）率")</f>
        <v>销售额×税（费）率</v>
      </c>
      <c r="F66" s="348">
        <f>IF(H66="情况1","免征",'数据-取费表'!B41)</f>
        <v>0</v>
      </c>
      <c r="G66" s="349" t="s">
        <v>387</v>
      </c>
      <c r="H66" s="189"/>
      <c r="I66" s="1206"/>
      <c r="J66" s="1872"/>
      <c r="K66" s="1209">
        <v>1</v>
      </c>
      <c r="L66" s="3614" t="s">
        <v>385</v>
      </c>
      <c r="M66" s="3615"/>
      <c r="N66" s="2267"/>
      <c r="O66" s="2268"/>
      <c r="P66" s="2269"/>
      <c r="Q66" s="1866"/>
      <c r="R66" s="1866"/>
      <c r="S66" s="1866"/>
      <c r="T66" s="1866"/>
      <c r="U66" s="1866"/>
      <c r="V66" s="1866"/>
    </row>
    <row r="67" spans="1:22" ht="25.5" customHeight="1">
      <c r="A67" s="350" t="s">
        <v>389</v>
      </c>
      <c r="B67" s="3544" t="s">
        <v>390</v>
      </c>
      <c r="C67" s="3544"/>
      <c r="D67" s="351">
        <v>0</v>
      </c>
      <c r="E67" s="41" t="s">
        <v>391</v>
      </c>
      <c r="F67" s="62" t="s">
        <v>21</v>
      </c>
      <c r="G67" s="3602"/>
      <c r="H67" s="2915" t="s">
        <v>2698</v>
      </c>
      <c r="I67" s="2917"/>
      <c r="J67" s="1873"/>
      <c r="K67" s="1845">
        <v>2</v>
      </c>
      <c r="L67" s="3608" t="s">
        <v>388</v>
      </c>
      <c r="M67" s="3608"/>
      <c r="N67" s="1243">
        <f>'数据-取费表'!B2</f>
        <v>0</v>
      </c>
      <c r="O67" s="1243"/>
      <c r="P67" s="1243"/>
      <c r="Q67" s="1866"/>
      <c r="R67" s="1866"/>
      <c r="S67" s="1866"/>
      <c r="T67" s="1866"/>
      <c r="U67" s="1866"/>
      <c r="V67" s="1866"/>
    </row>
    <row r="68" spans="1:22" ht="25.5" customHeight="1">
      <c r="A68" s="352"/>
      <c r="B68" s="3544" t="s">
        <v>393</v>
      </c>
      <c r="C68" s="3544"/>
      <c r="D68" s="353"/>
      <c r="E68" s="77"/>
      <c r="F68" s="354"/>
      <c r="G68" s="3603"/>
      <c r="H68" s="2916" t="s">
        <v>2699</v>
      </c>
      <c r="I68" s="2917"/>
      <c r="J68" s="1873"/>
      <c r="K68" s="1845">
        <v>3</v>
      </c>
      <c r="L68" s="3608" t="s">
        <v>392</v>
      </c>
      <c r="M68" s="3608"/>
      <c r="N68" s="1211" t="e">
        <f ca="1">C42</f>
        <v>#REF!</v>
      </c>
      <c r="O68" s="1211"/>
      <c r="P68" s="1211"/>
      <c r="Q68" s="1866"/>
      <c r="R68" s="1866"/>
      <c r="S68" s="1866"/>
      <c r="T68" s="1866"/>
      <c r="U68" s="1866"/>
      <c r="V68" s="1866"/>
    </row>
    <row r="69" spans="1:22" ht="23.4" customHeight="1">
      <c r="A69" s="355"/>
      <c r="B69" s="3544" t="s">
        <v>394</v>
      </c>
      <c r="C69" s="3544"/>
      <c r="D69" s="356"/>
      <c r="E69" s="73"/>
      <c r="F69" s="354"/>
      <c r="G69" s="3604"/>
      <c r="H69" s="2916" t="s">
        <v>2700</v>
      </c>
      <c r="I69" s="2917"/>
      <c r="J69" s="1873"/>
      <c r="K69" s="1212">
        <v>4</v>
      </c>
      <c r="L69" s="3618" t="s">
        <v>2596</v>
      </c>
      <c r="M69" s="3619"/>
      <c r="N69" s="1213" t="str">
        <f>C44</f>
        <v>——</v>
      </c>
      <c r="O69" s="1213"/>
      <c r="P69" s="1213"/>
      <c r="Q69" s="1866"/>
      <c r="R69" s="1866"/>
      <c r="S69" s="1866"/>
      <c r="T69" s="1866"/>
      <c r="U69" s="1866"/>
      <c r="V69" s="1866"/>
    </row>
    <row r="70" spans="1:22" ht="24" customHeight="1">
      <c r="A70" s="357" t="s">
        <v>395</v>
      </c>
      <c r="B70" s="3544" t="s">
        <v>396</v>
      </c>
      <c r="C70" s="3544"/>
      <c r="D70" s="356" t="e">
        <f ca="1">ROUND(D63*'数据-取费表'!B41/(1+'数据-取费表'!C42),0)</f>
        <v>#REF!</v>
      </c>
      <c r="E70" s="17" t="s">
        <v>397</v>
      </c>
      <c r="F70" s="358">
        <f>'数据-取费表'!B41</f>
        <v>0</v>
      </c>
      <c r="G70" s="359"/>
      <c r="H70" s="309"/>
      <c r="I70" s="1210"/>
      <c r="J70" s="1873"/>
      <c r="K70" s="2684"/>
      <c r="L70" s="2685"/>
      <c r="M70" s="2685"/>
      <c r="N70" s="2686" t="s">
        <v>2600</v>
      </c>
      <c r="O70" s="2685"/>
      <c r="P70" s="2687"/>
      <c r="Q70" s="1866"/>
      <c r="R70" s="1866"/>
      <c r="S70" s="1866"/>
      <c r="T70" s="1866"/>
      <c r="U70" s="1866"/>
      <c r="V70" s="1866"/>
    </row>
    <row r="71" spans="1:22" ht="12" customHeight="1">
      <c r="A71" s="357" t="s">
        <v>403</v>
      </c>
      <c r="B71" s="3545" t="s">
        <v>2728</v>
      </c>
      <c r="C71" s="3546"/>
      <c r="D71" s="356" t="e">
        <f ca="1">ROUND(D63*'数据-取费表'!B41/(1+'数据-取费表'!C42),0)</f>
        <v>#REF!</v>
      </c>
      <c r="E71" s="17" t="s">
        <v>397</v>
      </c>
      <c r="F71" s="358">
        <f>'数据-取费表'!B41</f>
        <v>0</v>
      </c>
      <c r="G71" s="359"/>
      <c r="H71" s="309"/>
      <c r="I71" s="1210"/>
      <c r="J71" s="1873"/>
      <c r="K71" s="2683" t="s">
        <v>398</v>
      </c>
      <c r="L71" s="3620" t="s">
        <v>399</v>
      </c>
      <c r="M71" s="3620"/>
      <c r="N71" s="2683" t="s">
        <v>400</v>
      </c>
      <c r="O71" s="2683" t="s">
        <v>401</v>
      </c>
      <c r="P71" s="2683" t="s">
        <v>402</v>
      </c>
      <c r="Q71" s="1866"/>
      <c r="R71" s="1866"/>
      <c r="S71" s="1866"/>
      <c r="T71" s="1866"/>
      <c r="U71" s="1866"/>
      <c r="V71" s="1866"/>
    </row>
    <row r="72" spans="1:22" ht="12" customHeight="1">
      <c r="A72" s="357" t="s">
        <v>405</v>
      </c>
      <c r="B72" s="3545" t="s">
        <v>2729</v>
      </c>
      <c r="C72" s="3546"/>
      <c r="D72" s="356" t="e">
        <f ca="1">C86</f>
        <v>#REF!</v>
      </c>
      <c r="E72" s="73" t="s">
        <v>406</v>
      </c>
      <c r="F72" s="358">
        <f>'数据-取费表'!B41</f>
        <v>0</v>
      </c>
      <c r="G72" s="359"/>
      <c r="H72" s="1216"/>
      <c r="I72" s="1210"/>
      <c r="J72" s="1873"/>
      <c r="K72" s="1845">
        <v>1</v>
      </c>
      <c r="L72" s="3595" t="s">
        <v>404</v>
      </c>
      <c r="M72" s="3595"/>
      <c r="N72" s="1214" t="b">
        <f>D66</f>
        <v>0</v>
      </c>
      <c r="O72" s="1729" t="str">
        <f>E66</f>
        <v>销售额×税（费）率</v>
      </c>
      <c r="P72" s="1215">
        <f>F66</f>
        <v>0</v>
      </c>
      <c r="Q72" s="1866"/>
      <c r="R72" s="1866"/>
      <c r="S72" s="1866"/>
      <c r="T72" s="1866"/>
      <c r="U72" s="1866"/>
      <c r="V72" s="1866"/>
    </row>
    <row r="73" spans="1:22" ht="24" customHeight="1">
      <c r="A73" s="3590" t="s">
        <v>408</v>
      </c>
      <c r="B73" s="3554"/>
      <c r="C73" s="3554"/>
      <c r="D73" s="360" t="e">
        <f ca="1">IF(H73="个人住宅",0,ROUND(D63*I73,0))</f>
        <v>#REF!</v>
      </c>
      <c r="E73" s="17" t="s">
        <v>409</v>
      </c>
      <c r="F73" s="358" t="str">
        <f>IF(H73="正常",I73,"免征")</f>
        <v>免征</v>
      </c>
      <c r="G73" s="359"/>
      <c r="H73" s="189"/>
      <c r="I73" s="358">
        <f>'数据-取费表'!B49</f>
        <v>0</v>
      </c>
      <c r="J73" s="1873"/>
      <c r="K73" s="1845">
        <v>2</v>
      </c>
      <c r="L73" s="3595" t="s">
        <v>407</v>
      </c>
      <c r="M73" s="3595"/>
      <c r="N73" s="1214" t="e">
        <f t="shared" ref="N73:P74" ca="1" si="1">D73</f>
        <v>#REF!</v>
      </c>
      <c r="O73" s="1729" t="str">
        <f t="shared" si="1"/>
        <v>销售额×税（费）率</v>
      </c>
      <c r="P73" s="1215" t="str">
        <f t="shared" si="1"/>
        <v>免征</v>
      </c>
      <c r="Q73" s="1866"/>
      <c r="R73" s="1866"/>
      <c r="S73" s="1866"/>
      <c r="T73" s="1866"/>
      <c r="U73" s="1866"/>
      <c r="V73" s="1866"/>
    </row>
    <row r="74" spans="1:22" ht="25.2">
      <c r="A74" s="3590" t="s">
        <v>411</v>
      </c>
      <c r="B74" s="3554"/>
      <c r="C74" s="3554"/>
      <c r="D74" s="360" t="e">
        <f ca="1">IF(H74="个人住宅",D75,D76)</f>
        <v>#REF!</v>
      </c>
      <c r="E74" s="17" t="s">
        <v>412</v>
      </c>
      <c r="F74" s="358" t="str">
        <f>IF(H74="正常",F76,"免征")</f>
        <v>免征</v>
      </c>
      <c r="G74" s="954" t="s">
        <v>413</v>
      </c>
      <c r="H74" s="361"/>
      <c r="I74" s="42"/>
      <c r="J74" s="1873"/>
      <c r="K74" s="1845">
        <v>3</v>
      </c>
      <c r="L74" s="3595" t="s">
        <v>410</v>
      </c>
      <c r="M74" s="3595"/>
      <c r="N74" s="1214" t="e">
        <f t="shared" ca="1" si="1"/>
        <v>#REF!</v>
      </c>
      <c r="O74" s="1729" t="str">
        <f t="shared" si="1"/>
        <v>增值额×税（费）率</v>
      </c>
      <c r="P74" s="1217" t="str">
        <f t="shared" si="1"/>
        <v>免征</v>
      </c>
      <c r="Q74" s="1866"/>
      <c r="R74" s="1866"/>
      <c r="S74" s="1866"/>
      <c r="T74" s="1866"/>
      <c r="U74" s="1866"/>
      <c r="V74" s="1866"/>
    </row>
    <row r="75" spans="1:22" ht="13.2">
      <c r="A75" s="357" t="s">
        <v>414</v>
      </c>
      <c r="B75" s="3542" t="s">
        <v>415</v>
      </c>
      <c r="C75" s="3578"/>
      <c r="D75" s="362">
        <v>0</v>
      </c>
      <c r="E75" s="41" t="s">
        <v>416</v>
      </c>
      <c r="F75" s="363"/>
      <c r="G75" s="359"/>
      <c r="H75" s="42"/>
      <c r="I75" s="42"/>
      <c r="J75" s="1873"/>
      <c r="K75" s="2677">
        <f>IF(H77="非个人房产","",4)</f>
        <v>4</v>
      </c>
      <c r="L75" s="3595" t="str">
        <f>IF(H77="非个人房产","——","个人所得税")</f>
        <v>个人所得税</v>
      </c>
      <c r="M75" s="3595"/>
      <c r="N75" s="1218">
        <f>D77</f>
        <v>0</v>
      </c>
      <c r="O75" s="1742" t="str">
        <f>E77</f>
        <v>差额计税</v>
      </c>
      <c r="P75" s="1219">
        <f>F77</f>
        <v>0.01</v>
      </c>
      <c r="Q75" s="1866"/>
      <c r="R75" s="1866"/>
      <c r="S75" s="1866"/>
      <c r="T75" s="1866"/>
      <c r="U75" s="1866"/>
      <c r="V75" s="1866"/>
    </row>
    <row r="76" spans="1:22" ht="25.2">
      <c r="A76" s="357" t="s">
        <v>395</v>
      </c>
      <c r="B76" s="3542" t="s">
        <v>418</v>
      </c>
      <c r="C76" s="3543"/>
      <c r="D76" s="360" t="e">
        <f ca="1">IF(H76="转让取得",C99,C115)</f>
        <v>#REF!</v>
      </c>
      <c r="E76" s="17" t="s">
        <v>419</v>
      </c>
      <c r="F76" s="53" t="s">
        <v>21</v>
      </c>
      <c r="G76" s="359"/>
      <c r="H76" s="361"/>
      <c r="I76" s="42"/>
      <c r="J76" s="1873"/>
      <c r="K76" s="2677" t="str">
        <f>IF(项目基本情况!K6="上海银行",IF(K75="",4,K75+1),"")</f>
        <v/>
      </c>
      <c r="L76" s="3610" t="str">
        <f>IF(项目基本情况!K6="上海银行","其他处置费用","")</f>
        <v/>
      </c>
      <c r="M76" s="3611"/>
      <c r="N76" s="1214" t="str">
        <f>IF(项目基本情况!K6="上海银行",N89,"")</f>
        <v/>
      </c>
      <c r="O76" s="3612" t="str">
        <f>IF(项目基本情况!K6="上海银行","包含处置中涉及的律师、诉讼、拍卖、评估等费用","")</f>
        <v/>
      </c>
      <c r="P76" s="3613"/>
      <c r="Q76" s="1866"/>
      <c r="R76" s="1866"/>
      <c r="S76" s="1866"/>
      <c r="T76" s="1866"/>
      <c r="U76" s="1866"/>
      <c r="V76" s="1866"/>
    </row>
    <row r="77" spans="1:22" ht="24.6" thickBot="1">
      <c r="A77" s="3597" t="s">
        <v>421</v>
      </c>
      <c r="B77" s="3598"/>
      <c r="C77" s="3598"/>
      <c r="D77" s="2920">
        <f>IF(H77="非个人房产","——",IF(H77="个人住宅（满五唯一有凭证）",0,IF(H77="个人其他（无凭证）",ROUND(D63*F77,0),ROUND(C84*F77,0))))</f>
        <v>0</v>
      </c>
      <c r="E77" s="2921" t="str">
        <f>IF(H77="非个人房产","——",IF(H77="个人其他（无凭证）","销售额×税（费）率",IF(H77="个人住宅（满五唯一有凭证）","免征","差额计税")))</f>
        <v>差额计税</v>
      </c>
      <c r="F77" s="2922">
        <f>IF(OR(H77="非个人房产",H77="个人住宅（满五唯一有凭证）"),"——",IF(H77="个人其他（有凭证）",20%,1%))</f>
        <v>0.01</v>
      </c>
      <c r="G77" s="955" t="s">
        <v>413</v>
      </c>
      <c r="H77" s="2919"/>
      <c r="I77" s="2918" t="s">
        <v>2701</v>
      </c>
      <c r="J77" s="1873"/>
      <c r="K77" s="3596">
        <f>IF(AND(K75="",K76=""),4,IF(项目基本情况!K6="上海银行",K76+1,K75+1))</f>
        <v>5</v>
      </c>
      <c r="L77" s="3595" t="s">
        <v>2597</v>
      </c>
      <c r="M77" s="2682" t="s">
        <v>417</v>
      </c>
      <c r="N77" s="1220"/>
      <c r="O77" s="1221">
        <f ca="1">SUMIF(N72:N76,"&lt;9e307")</f>
        <v>0</v>
      </c>
      <c r="P77" s="1222"/>
      <c r="Q77" s="2680" t="e">
        <f ca="1">O77/N69</f>
        <v>#VALUE!</v>
      </c>
      <c r="R77" s="1866"/>
      <c r="S77" s="1866"/>
      <c r="T77" s="1866"/>
      <c r="U77" s="1866"/>
      <c r="V77" s="1866"/>
    </row>
    <row r="78" spans="1:22" ht="12" customHeight="1">
      <c r="A78" s="1223"/>
      <c r="B78" s="309"/>
      <c r="C78" s="309"/>
      <c r="D78" s="309"/>
      <c r="E78" s="42"/>
      <c r="F78" s="42"/>
      <c r="G78" s="42"/>
      <c r="H78" s="974"/>
      <c r="I78" s="309"/>
      <c r="J78" s="1873"/>
      <c r="K78" s="3596"/>
      <c r="L78" s="3595"/>
      <c r="M78" s="2682" t="s">
        <v>420</v>
      </c>
      <c r="N78" s="1220"/>
      <c r="O78" s="1221" t="str">
        <f ca="1">NUMBERSTRING(INT(O77*10000),2)&amp;"元整"</f>
        <v>零元整</v>
      </c>
      <c r="P78" s="1222"/>
      <c r="Q78" s="1866"/>
      <c r="R78" s="1866"/>
      <c r="S78" s="1866"/>
      <c r="T78" s="1866"/>
      <c r="U78" s="1866"/>
      <c r="V78" s="1866"/>
    </row>
    <row r="79" spans="1:22" ht="13.8" thickBot="1">
      <c r="A79" s="3562" t="s">
        <v>422</v>
      </c>
      <c r="B79" s="3562"/>
      <c r="C79" s="3562"/>
      <c r="D79" s="3562"/>
      <c r="E79" s="3562"/>
      <c r="F79" s="42"/>
      <c r="G79" s="42"/>
      <c r="H79" s="974"/>
      <c r="I79" s="309"/>
      <c r="J79" s="1873"/>
      <c r="K79" s="3616">
        <f>K77+1</f>
        <v>6</v>
      </c>
      <c r="L79" s="3595" t="s">
        <v>2598</v>
      </c>
      <c r="M79" s="2682" t="s">
        <v>417</v>
      </c>
      <c r="N79" s="1220"/>
      <c r="O79" s="1221" t="e">
        <f ca="1">N69-O77</f>
        <v>#VALUE!</v>
      </c>
      <c r="P79" s="1222"/>
      <c r="Q79" s="1866"/>
      <c r="R79" s="1866"/>
      <c r="S79" s="1866"/>
      <c r="T79" s="1866"/>
      <c r="U79" s="1866"/>
      <c r="V79" s="1866"/>
    </row>
    <row r="80" spans="1:22" ht="13.2">
      <c r="A80" s="3563" t="s">
        <v>423</v>
      </c>
      <c r="B80" s="3564"/>
      <c r="C80" s="965"/>
      <c r="D80" s="965" t="s">
        <v>424</v>
      </c>
      <c r="E80" s="364" t="s">
        <v>425</v>
      </c>
      <c r="F80" s="42"/>
      <c r="G80" s="42"/>
      <c r="H80" s="974"/>
      <c r="I80" s="309"/>
      <c r="J80" s="1866"/>
      <c r="K80" s="3617"/>
      <c r="L80" s="3595"/>
      <c r="M80" s="2682" t="s">
        <v>420</v>
      </c>
      <c r="N80" s="1220"/>
      <c r="O80" s="1221" t="e">
        <f ca="1">NUMBERSTRING(INT(O79*10000),2)&amp;"元整"</f>
        <v>#VALUE!</v>
      </c>
      <c r="P80" s="1222"/>
      <c r="Q80" s="1866"/>
      <c r="R80" s="1866"/>
      <c r="S80" s="1866"/>
      <c r="T80" s="1866"/>
      <c r="U80" s="1866"/>
      <c r="V80" s="1866"/>
    </row>
    <row r="81" spans="1:26" ht="13.8" thickBot="1">
      <c r="A81" s="375" t="s">
        <v>1623</v>
      </c>
      <c r="B81" s="365" t="s">
        <v>426</v>
      </c>
      <c r="C81" s="366" t="e">
        <f ca="1">ROUND((C82+C83)/(1+'数据-取费表'!C42),0)</f>
        <v>#REF!</v>
      </c>
      <c r="D81" s="367"/>
      <c r="E81" s="368"/>
      <c r="F81" s="42"/>
      <c r="G81" s="42"/>
      <c r="H81" s="974"/>
      <c r="I81" s="309"/>
      <c r="J81" s="1866"/>
      <c r="K81" s="2677">
        <f>K79+1</f>
        <v>7</v>
      </c>
      <c r="L81" s="3593" t="s">
        <v>2599</v>
      </c>
      <c r="M81" s="3594"/>
      <c r="N81" s="1224"/>
      <c r="O81" s="1225" t="e">
        <f ca="1">ROUND(O79*10000/'数据-汇总表'!E3,0)</f>
        <v>#VALUE!</v>
      </c>
      <c r="P81" s="1226"/>
      <c r="Q81" s="1866"/>
      <c r="R81" s="1866"/>
      <c r="S81" s="1866"/>
      <c r="T81" s="1866"/>
      <c r="U81" s="1866"/>
      <c r="V81" s="1866"/>
    </row>
    <row r="82" spans="1:26" ht="13.8" thickTop="1">
      <c r="A82" s="369" t="s">
        <v>1624</v>
      </c>
      <c r="B82" s="370" t="s">
        <v>427</v>
      </c>
      <c r="C82" s="371" t="e">
        <f ca="1">D63</f>
        <v>#REF!</v>
      </c>
      <c r="D82" s="372" t="s">
        <v>19</v>
      </c>
      <c r="E82" s="373"/>
      <c r="F82" s="42"/>
      <c r="G82" s="42"/>
      <c r="H82" s="974"/>
      <c r="I82" s="309"/>
      <c r="J82" s="1866"/>
      <c r="K82" s="1866"/>
      <c r="L82" s="1866"/>
      <c r="M82" s="1866"/>
      <c r="N82" s="1866"/>
      <c r="O82" s="1866"/>
      <c r="P82" s="1866"/>
      <c r="Q82" s="1866"/>
      <c r="R82" s="1866"/>
      <c r="S82" s="1866"/>
      <c r="T82" s="1866"/>
      <c r="U82" s="1866"/>
      <c r="V82" s="1866"/>
    </row>
    <row r="83" spans="1:26" ht="13.2">
      <c r="A83" s="369" t="s">
        <v>1625</v>
      </c>
      <c r="B83" s="370" t="s">
        <v>428</v>
      </c>
      <c r="C83" s="374"/>
      <c r="D83" s="372"/>
      <c r="E83" s="373"/>
      <c r="F83" s="42"/>
      <c r="G83" s="42"/>
      <c r="H83" s="974"/>
      <c r="I83" s="309"/>
      <c r="J83" s="1866"/>
      <c r="K83" s="3609" t="s">
        <v>2587</v>
      </c>
      <c r="L83" s="2688" t="s">
        <v>2588</v>
      </c>
      <c r="M83" s="2678" t="e">
        <f>IF(N69&gt;10000,N69*0.5%,IF(AND(N69&gt;1000,N69&lt;=10000),N69*1%,IF(AND(N69&gt;100,N69&lt;=1000),N69*3%,IF(AND(N69&gt;10,N69&lt;=100),N69*5%,N69*8%))))</f>
        <v>#VALUE!</v>
      </c>
      <c r="N83" s="53" t="e">
        <f>ROUND(M83,1)</f>
        <v>#VALUE!</v>
      </c>
      <c r="O83" s="2681"/>
      <c r="P83" s="1866"/>
      <c r="Q83" s="1866"/>
      <c r="R83" s="1866"/>
      <c r="S83" s="1866"/>
      <c r="T83" s="1866"/>
      <c r="U83" s="1866"/>
      <c r="V83" s="1866"/>
    </row>
    <row r="84" spans="1:26" ht="25.2">
      <c r="A84" s="375" t="s">
        <v>1626</v>
      </c>
      <c r="B84" s="376" t="s">
        <v>429</v>
      </c>
      <c r="C84" s="377"/>
      <c r="D84" s="378" t="s">
        <v>19</v>
      </c>
      <c r="E84" s="2706" t="s">
        <v>2642</v>
      </c>
      <c r="F84" s="42"/>
      <c r="G84" s="42"/>
      <c r="H84" s="974"/>
      <c r="I84" s="309"/>
      <c r="J84" s="1866"/>
      <c r="K84" s="3609"/>
      <c r="L84" s="2688" t="s">
        <v>2589</v>
      </c>
      <c r="M84" s="267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6" t="s">
        <v>2590</v>
      </c>
      <c r="P84" s="1866"/>
      <c r="Q84" s="1866"/>
      <c r="R84" s="1866"/>
      <c r="S84" s="1866"/>
      <c r="T84" s="1866"/>
      <c r="U84" s="1866"/>
      <c r="V84" s="1866"/>
    </row>
    <row r="85" spans="1:26" ht="13.2">
      <c r="A85" s="375" t="s">
        <v>1627</v>
      </c>
      <c r="B85" s="376" t="s">
        <v>430</v>
      </c>
      <c r="C85" s="379" t="e">
        <f ca="1">C81-C84</f>
        <v>#REF!</v>
      </c>
      <c r="D85" s="372" t="s">
        <v>19</v>
      </c>
      <c r="E85" s="373"/>
      <c r="F85" s="42"/>
      <c r="G85" s="42"/>
      <c r="H85" s="974"/>
      <c r="I85" s="309"/>
      <c r="J85" s="1866"/>
      <c r="K85" s="3609"/>
      <c r="L85" s="2688" t="s">
        <v>2591</v>
      </c>
      <c r="M85" s="2678" t="e">
        <f>IF(N69&gt;1000,N69*0.1%,IF(AND(N69&gt;500,N69&lt;=1000),N69*0.5%,IF(AND(N69&gt;50,N69&lt;=500),N69*1%,IF(AND(N69&gt;1,N69&lt;=50),N69*1.5%))))</f>
        <v>#VALUE!</v>
      </c>
      <c r="N85" s="53" t="e">
        <f t="shared" si="2"/>
        <v>#VALUE!</v>
      </c>
      <c r="O85" s="1866" t="s">
        <v>2590</v>
      </c>
      <c r="P85" s="1866"/>
      <c r="Q85" s="1866"/>
      <c r="R85" s="1866"/>
      <c r="S85" s="1866"/>
      <c r="T85" s="1866"/>
      <c r="U85" s="1866"/>
      <c r="V85" s="1866"/>
    </row>
    <row r="86" spans="1:26" ht="13.8" thickBot="1">
      <c r="A86" s="380" t="s">
        <v>1628</v>
      </c>
      <c r="B86" s="381" t="s">
        <v>431</v>
      </c>
      <c r="C86" s="382" t="e">
        <f ca="1">IF(C85&lt;=0,0,ROUND(C85*D86,0))</f>
        <v>#REF!</v>
      </c>
      <c r="D86" s="383">
        <f>'数据-取费表'!B41</f>
        <v>0</v>
      </c>
      <c r="E86" s="384"/>
      <c r="F86" s="42"/>
      <c r="G86" s="42"/>
      <c r="H86" s="974"/>
      <c r="I86" s="309"/>
      <c r="J86" s="1866"/>
      <c r="K86" s="3609"/>
      <c r="L86" s="2688" t="s">
        <v>2592</v>
      </c>
      <c r="M86" s="2678" t="e">
        <f>N69*0.5%</f>
        <v>#VALUE!</v>
      </c>
      <c r="N86" s="53" t="e">
        <f>IF(M86&gt;0.5,0.5,ROUND(M86,0))</f>
        <v>#VALUE!</v>
      </c>
      <c r="O86" s="1866" t="s">
        <v>2593</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609"/>
      <c r="L87" s="2688" t="s">
        <v>2594</v>
      </c>
      <c r="M87" s="26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1"/>
      <c r="P87" s="1866"/>
      <c r="Q87" s="1866"/>
      <c r="R87" s="1866"/>
      <c r="S87" s="1866"/>
      <c r="T87" s="1866"/>
      <c r="U87" s="1866"/>
      <c r="V87" s="1866"/>
      <c r="W87" s="290"/>
      <c r="X87" s="290"/>
      <c r="Y87" s="290"/>
      <c r="Z87" s="290"/>
    </row>
    <row r="88" spans="1:26" s="1232" customFormat="1" ht="14.4" thickBot="1">
      <c r="A88" s="3588" t="s">
        <v>432</v>
      </c>
      <c r="B88" s="3589"/>
      <c r="C88" s="3589"/>
      <c r="D88" s="3589"/>
      <c r="E88" s="3589"/>
      <c r="F88" s="3589"/>
      <c r="G88" s="3589"/>
      <c r="H88" s="3589"/>
      <c r="I88" s="1233"/>
      <c r="J88" s="1874"/>
      <c r="K88" s="3609"/>
      <c r="L88" s="2688" t="s">
        <v>2595</v>
      </c>
      <c r="M88" s="2678" t="e">
        <f>IF(N69&gt;10000,N69*0.5%,IF(AND(N69&gt;5000,N69&lt;=10000),N69*1%,IF(AND(N69&gt;1000,N69&lt;=5000),N69*2%,IF(AND(N69&gt;200,N69&lt;=1000),N69*3%,N69*5%))))</f>
        <v>#VALUE!</v>
      </c>
      <c r="N88" s="53" t="e">
        <f>ROUND(M88,1)</f>
        <v>#VALUE!</v>
      </c>
      <c r="O88" s="2681"/>
      <c r="P88" s="1871"/>
      <c r="Q88" s="1871"/>
      <c r="R88" s="1871"/>
      <c r="S88" s="1871"/>
      <c r="T88" s="1871"/>
      <c r="U88" s="1871"/>
      <c r="V88" s="1871"/>
      <c r="W88" s="1875"/>
      <c r="X88" s="1875"/>
      <c r="Y88" s="1875"/>
      <c r="Z88" s="1875"/>
    </row>
    <row r="89" spans="1:26" s="1232" customFormat="1" ht="13.8">
      <c r="A89" s="3563" t="s">
        <v>423</v>
      </c>
      <c r="B89" s="3564"/>
      <c r="C89" s="965"/>
      <c r="D89" s="965" t="s">
        <v>424</v>
      </c>
      <c r="E89" s="385" t="s">
        <v>433</v>
      </c>
      <c r="F89" s="386"/>
      <c r="G89" s="386"/>
      <c r="H89" s="387"/>
      <c r="I89" s="1234"/>
      <c r="J89" s="1876"/>
      <c r="K89" s="3609"/>
      <c r="L89" s="2688" t="s">
        <v>27</v>
      </c>
      <c r="M89" s="2679"/>
      <c r="N89" s="53" t="e">
        <f>ROUND(SUM(N83:N88),0)</f>
        <v>#VALUE!</v>
      </c>
      <c r="O89" s="2689" t="e">
        <f>N89/N69</f>
        <v>#VALUE!</v>
      </c>
      <c r="P89" s="1871"/>
      <c r="Q89" s="1871"/>
      <c r="R89" s="1871"/>
      <c r="S89" s="1871"/>
      <c r="T89" s="1871"/>
      <c r="U89" s="1871"/>
      <c r="V89" s="1871"/>
      <c r="W89" s="1875"/>
      <c r="X89" s="1875"/>
      <c r="Y89" s="1875"/>
      <c r="Z89" s="1875"/>
    </row>
    <row r="90" spans="1:26" s="1232" customFormat="1" ht="13.8">
      <c r="A90" s="375" t="s">
        <v>1623</v>
      </c>
      <c r="B90" s="376" t="s">
        <v>434</v>
      </c>
      <c r="C90" s="379" t="e">
        <f ca="1">ROUND(D63/(1+'数据-取费表'!C42),0)</f>
        <v>#REF!</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3.8">
      <c r="A91" s="375" t="s">
        <v>1629</v>
      </c>
      <c r="B91" s="346" t="s">
        <v>435</v>
      </c>
      <c r="C91" s="379" t="e">
        <f ca="1">C92+C96</f>
        <v>#REF!</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4">
      <c r="A93" s="389" t="s">
        <v>1631</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1632</v>
      </c>
      <c r="B94" s="394" t="s">
        <v>440</v>
      </c>
      <c r="C94" s="372">
        <f>IF(F93="购房发票",ROUND(C93*H93*5%,0),0)</f>
        <v>0</v>
      </c>
      <c r="D94" s="395">
        <v>0.05</v>
      </c>
      <c r="E94" s="3545" t="s">
        <v>441</v>
      </c>
      <c r="F94" s="3544"/>
      <c r="G94" s="3544"/>
      <c r="H94" s="3587"/>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1633</v>
      </c>
      <c r="B95" s="370" t="s">
        <v>442</v>
      </c>
      <c r="C95" s="372">
        <f>ROUND(IF(G95="个人买卖住房",0,IF(G95="2016年5月1日前购买",C93*D95,C93*D95/(1+'数据-取费表'!C42))),0)</f>
        <v>0</v>
      </c>
      <c r="D95" s="396">
        <f>'数据-取费表'!B48+'数据-取费表'!B49</f>
        <v>0</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1634</v>
      </c>
      <c r="B96" s="370" t="s">
        <v>444</v>
      </c>
      <c r="C96" s="399" t="e">
        <f ca="1">ROUND(D63*D96/(1+'数据-取费表'!C42),0)</f>
        <v>#REF!</v>
      </c>
      <c r="D96" s="400">
        <f>'数据-取费表'!B43</f>
        <v>0</v>
      </c>
      <c r="E96" s="3579" t="s">
        <v>2215</v>
      </c>
      <c r="F96" s="3580"/>
      <c r="G96" s="3580"/>
      <c r="H96" s="3581"/>
      <c r="I96" s="1235"/>
      <c r="J96" s="1877"/>
      <c r="K96" s="1871"/>
      <c r="L96" s="1871"/>
      <c r="M96" s="1871"/>
      <c r="N96" s="1871"/>
      <c r="O96" s="1871"/>
      <c r="P96" s="1871"/>
      <c r="Q96" s="1871"/>
      <c r="R96" s="1871"/>
      <c r="S96" s="1871"/>
      <c r="T96" s="1871"/>
      <c r="U96" s="1871"/>
      <c r="V96" s="1871"/>
      <c r="W96" s="1875"/>
      <c r="X96" s="1875"/>
      <c r="Y96" s="1875"/>
      <c r="Z96" s="1875"/>
    </row>
    <row r="97" spans="1:26" s="1232" customFormat="1" ht="13.8">
      <c r="A97" s="1502" t="s">
        <v>1635</v>
      </c>
      <c r="B97" s="376" t="s">
        <v>445</v>
      </c>
      <c r="C97" s="379" t="e">
        <f ca="1">C90-C91</f>
        <v>#REF!</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1636</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6" thickBot="1">
      <c r="A99" s="1503" t="s">
        <v>1637</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4.4" thickBot="1">
      <c r="A101" s="3588" t="s">
        <v>448</v>
      </c>
      <c r="B101" s="3589"/>
      <c r="C101" s="3589"/>
      <c r="D101" s="3589"/>
      <c r="E101" s="3589"/>
      <c r="F101" s="3589"/>
      <c r="G101" s="3589"/>
      <c r="H101" s="3589"/>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3.8">
      <c r="A102" s="3563" t="s">
        <v>423</v>
      </c>
      <c r="B102" s="3564"/>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3.8">
      <c r="A103" s="375" t="s">
        <v>1623</v>
      </c>
      <c r="B103" s="376" t="s">
        <v>434</v>
      </c>
      <c r="C103" s="379" t="e">
        <f ca="1">ROUND(D63/(1+'数据-取费表'!C42),0)</f>
        <v>#REF!</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3.8">
      <c r="A104" s="375" t="s">
        <v>1629</v>
      </c>
      <c r="B104" s="346" t="s">
        <v>435</v>
      </c>
      <c r="C104" s="379" t="e">
        <f ca="1">IF(H106="仅含出让金",C105+C108+C109+C110+C111+C112,C105+C109+C110+C111+C112)</f>
        <v>#REF!</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3.8">
      <c r="A105" s="389" t="s">
        <v>1630</v>
      </c>
      <c r="B105" s="370" t="s">
        <v>449</v>
      </c>
      <c r="C105" s="399">
        <f>C106+C107</f>
        <v>0</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4">
      <c r="A106" s="389" t="s">
        <v>1631</v>
      </c>
      <c r="B106" s="370" t="s">
        <v>450</v>
      </c>
      <c r="C106" s="410"/>
      <c r="D106" s="400"/>
      <c r="E106" s="411" t="s">
        <v>451</v>
      </c>
      <c r="F106" s="957"/>
      <c r="G106" s="412" t="s">
        <v>452</v>
      </c>
      <c r="H106" s="413"/>
      <c r="I106" s="11"/>
      <c r="J106" s="1871"/>
      <c r="K106" s="3153" t="s">
        <v>2721</v>
      </c>
      <c r="L106" s="1871"/>
      <c r="M106" s="1871"/>
      <c r="N106" s="1871"/>
      <c r="O106" s="1871"/>
      <c r="P106" s="1871"/>
      <c r="Q106" s="1871"/>
      <c r="R106" s="1871"/>
      <c r="S106" s="1871"/>
      <c r="T106" s="1871"/>
      <c r="U106" s="1871"/>
      <c r="V106" s="1871"/>
      <c r="W106" s="1875"/>
      <c r="X106" s="1875"/>
      <c r="Y106" s="1875"/>
      <c r="Z106" s="1875"/>
    </row>
    <row r="107" spans="1:26" s="1232" customFormat="1" ht="13.8">
      <c r="A107" s="389" t="s">
        <v>1632</v>
      </c>
      <c r="B107" s="370" t="s">
        <v>442</v>
      </c>
      <c r="C107" s="399">
        <f>ROUND(C106*D107,0)</f>
        <v>0</v>
      </c>
      <c r="D107" s="400">
        <f>'数据-取费表'!B48+'数据-取费表'!B49</f>
        <v>0</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4">
      <c r="A108" s="389" t="s">
        <v>1634</v>
      </c>
      <c r="B108" s="370" t="s">
        <v>454</v>
      </c>
      <c r="C108" s="410"/>
      <c r="D108" s="400"/>
      <c r="E108" s="411" t="str">
        <f>IF(H106="-","土地取得成本中已包含该笔费用"," ")</f>
        <v xml:space="preserve"> </v>
      </c>
      <c r="F108" s="957"/>
      <c r="G108" s="3539" t="s">
        <v>2693</v>
      </c>
      <c r="H108" s="3540"/>
      <c r="I108" s="2778"/>
      <c r="J108" s="1871"/>
      <c r="K108" s="3153" t="s">
        <v>2722</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1638</v>
      </c>
      <c r="B109" s="370" t="s">
        <v>455</v>
      </c>
      <c r="C109" s="399">
        <f>IF(H109="——",IF(F1="现房",'剩余法-现房'!C18,0),I109)</f>
        <v>0</v>
      </c>
      <c r="D109" s="400"/>
      <c r="E109" s="3582" t="s">
        <v>456</v>
      </c>
      <c r="F109" s="3580"/>
      <c r="G109" s="3580"/>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1639</v>
      </c>
      <c r="B110" s="370" t="s">
        <v>457</v>
      </c>
      <c r="C110" s="399">
        <f>ROUND((C105+C108+C109)*D110,0)</f>
        <v>0</v>
      </c>
      <c r="D110" s="3184">
        <v>0</v>
      </c>
      <c r="E110" s="3582" t="s">
        <v>458</v>
      </c>
      <c r="F110" s="3580"/>
      <c r="G110" s="3580"/>
      <c r="H110" s="3581"/>
      <c r="I110" s="11"/>
      <c r="J110" s="1871"/>
      <c r="K110" s="3154" t="s">
        <v>2723</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1640</v>
      </c>
      <c r="B111" s="370" t="s">
        <v>444</v>
      </c>
      <c r="C111" s="399" t="e">
        <f ca="1">ROUND(D63*D111/(1+'数据-取费表'!C42),0)</f>
        <v>#REF!</v>
      </c>
      <c r="D111" s="400">
        <f>'数据-取费表'!B43</f>
        <v>0</v>
      </c>
      <c r="E111" s="3579" t="s">
        <v>2215</v>
      </c>
      <c r="F111" s="3580"/>
      <c r="G111" s="3580"/>
      <c r="H111" s="3581"/>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1641</v>
      </c>
      <c r="B112" s="370" t="s">
        <v>459</v>
      </c>
      <c r="C112" s="399">
        <f>ROUND(C108*D112,0)</f>
        <v>0</v>
      </c>
      <c r="D112" s="400">
        <v>0.2</v>
      </c>
      <c r="E112" s="3582" t="s">
        <v>2234</v>
      </c>
      <c r="F112" s="3580"/>
      <c r="G112" s="3580"/>
      <c r="H112" s="3581"/>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3.8">
      <c r="A113" s="1502" t="s">
        <v>1635</v>
      </c>
      <c r="B113" s="376" t="s">
        <v>445</v>
      </c>
      <c r="C113" s="379" t="e">
        <f ca="1">ROUND(C103-C104,0)</f>
        <v>#REF!</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1636</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6" thickBot="1">
      <c r="A115" s="1503" t="s">
        <v>1637</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640625" defaultRowHeight="13.2"/>
  <cols>
    <col min="1" max="1" width="9.77734375" style="1961" customWidth="1"/>
    <col min="2" max="2" width="25.77734375" style="1951" customWidth="1"/>
    <col min="3" max="3" width="10.33203125" style="1962" customWidth="1"/>
    <col min="4" max="4" width="12" style="1951" customWidth="1"/>
    <col min="5" max="5" width="9.44140625" style="1961" customWidth="1"/>
    <col min="6" max="6" width="10.109375" style="1951" customWidth="1"/>
    <col min="7" max="7" width="11.6640625" style="1951" customWidth="1"/>
    <col min="8" max="8" width="10" style="1951" customWidth="1"/>
    <col min="9" max="11" width="9.44140625" style="1951" customWidth="1"/>
    <col min="12" max="12" width="9" style="1952" customWidth="1"/>
    <col min="13" max="13" width="10.44140625" style="1952" bestFit="1" customWidth="1"/>
    <col min="14" max="26" width="9" style="1952" customWidth="1"/>
    <col min="27" max="254" width="9" style="1951" customWidth="1"/>
    <col min="255" max="16384" width="6.6640625" style="1951"/>
  </cols>
  <sheetData>
    <row r="1" spans="1:31" s="1879" customFormat="1" ht="21">
      <c r="A1" s="1940" t="s">
        <v>460</v>
      </c>
      <c r="B1" s="2449"/>
      <c r="C1" s="1941"/>
      <c r="D1" s="1941"/>
      <c r="E1" s="1941"/>
      <c r="F1" s="1941"/>
      <c r="G1" s="1941"/>
      <c r="H1" s="1941"/>
      <c r="I1" s="1941"/>
      <c r="J1" s="1941"/>
      <c r="K1" s="416">
        <f>MATCH(B1,'数据-取费表'!A6:A16,0)+5</f>
        <v>6</v>
      </c>
      <c r="L1" s="290"/>
      <c r="M1" s="290"/>
      <c r="N1" s="290"/>
      <c r="O1" s="290"/>
      <c r="P1" s="290"/>
      <c r="Q1" s="290"/>
      <c r="R1" s="290"/>
      <c r="S1" s="290"/>
      <c r="T1" s="290"/>
      <c r="U1" s="290"/>
      <c r="V1" s="290"/>
      <c r="W1" s="290"/>
      <c r="X1" s="290"/>
      <c r="Y1" s="290"/>
      <c r="Z1" s="290"/>
    </row>
    <row r="2" spans="1:31" s="1879" customFormat="1" ht="18" customHeight="1">
      <c r="A2" s="1938" t="s">
        <v>461</v>
      </c>
      <c r="B2" s="1942" t="e">
        <f ca="1">C36</f>
        <v>#DIV/0!</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1484</v>
      </c>
      <c r="B3" s="1944" t="e">
        <f ca="1">ROUND(B2*10000/IF(B1="",'数据-汇总表'!E3,INDIRECT("'数据-取费表'!K"&amp;$K$1)),0)</f>
        <v>#DIV/0!</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31" s="1879"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1642</v>
      </c>
      <c r="B6" s="2469"/>
      <c r="C6" s="2470">
        <f>SUM(C10:K10)</f>
        <v>0</v>
      </c>
      <c r="D6" s="2469"/>
      <c r="E6" s="2469"/>
      <c r="F6" s="2469"/>
      <c r="G6" s="2469"/>
      <c r="H6" s="2469"/>
      <c r="I6" s="2469"/>
      <c r="J6" s="2469"/>
      <c r="K6" s="2471"/>
      <c r="L6" s="3106"/>
      <c r="M6" s="3106"/>
      <c r="N6" s="3106"/>
      <c r="O6" s="3106"/>
      <c r="P6" s="3106"/>
      <c r="Q6" s="3106"/>
      <c r="R6" s="3106"/>
      <c r="S6" s="3106"/>
      <c r="T6" s="3106"/>
      <c r="U6" s="3106"/>
      <c r="V6" s="3106"/>
      <c r="W6" s="3106"/>
      <c r="X6" s="3106"/>
      <c r="Y6" s="3106"/>
      <c r="Z6" s="3106"/>
    </row>
    <row r="7" spans="1:31" s="1950" customFormat="1" ht="14.4">
      <c r="A7" s="2472" t="s">
        <v>464</v>
      </c>
      <c r="B7" s="2473" t="s">
        <v>465</v>
      </c>
      <c r="C7" s="430"/>
      <c r="D7" s="430"/>
      <c r="E7" s="430"/>
      <c r="F7" s="430"/>
      <c r="G7" s="430"/>
      <c r="H7" s="430"/>
      <c r="I7" s="430"/>
      <c r="J7" s="430"/>
      <c r="K7" s="431"/>
      <c r="AA7" s="1949"/>
      <c r="AB7" s="1949"/>
      <c r="AC7" s="1949"/>
      <c r="AD7" s="1949"/>
      <c r="AE7" s="1949"/>
    </row>
    <row r="8" spans="1:31" s="1952" customFormat="1" ht="13.5" customHeight="1">
      <c r="A8" s="776" t="s">
        <v>1645</v>
      </c>
      <c r="B8" s="259" t="s">
        <v>466</v>
      </c>
      <c r="C8" s="2474"/>
      <c r="D8" s="2474"/>
      <c r="E8" s="2474"/>
      <c r="F8" s="2474"/>
      <c r="G8" s="2474"/>
      <c r="H8" s="2474"/>
      <c r="I8" s="2474"/>
      <c r="J8" s="2474"/>
      <c r="K8" s="2475"/>
      <c r="AA8" s="1951"/>
      <c r="AB8" s="1951"/>
      <c r="AC8" s="1951"/>
      <c r="AD8" s="1951"/>
      <c r="AE8" s="1951"/>
    </row>
    <row r="9" spans="1:31" s="1952" customFormat="1" ht="13.5" customHeight="1">
      <c r="A9" s="776" t="s">
        <v>1646</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1"/>
      <c r="AB9" s="1951"/>
      <c r="AC9" s="1951"/>
      <c r="AD9" s="1951"/>
      <c r="AE9" s="1951"/>
    </row>
    <row r="10" spans="1:31" s="1952" customFormat="1" ht="13.5" customHeight="1" thickBot="1">
      <c r="A10" s="2476" t="s">
        <v>1647</v>
      </c>
      <c r="B10" s="2462" t="s">
        <v>468</v>
      </c>
      <c r="C10" s="2664"/>
      <c r="D10" s="2664"/>
      <c r="E10" s="2664"/>
      <c r="F10" s="2477"/>
      <c r="G10" s="2477"/>
      <c r="H10" s="2477"/>
      <c r="I10" s="2477"/>
      <c r="J10" s="2477"/>
      <c r="K10" s="2478"/>
      <c r="AA10" s="1951"/>
      <c r="AB10" s="1951"/>
      <c r="AC10" s="1951"/>
      <c r="AD10" s="1951"/>
      <c r="AE10" s="1951"/>
    </row>
    <row r="11" spans="1:31" s="1948" customFormat="1" ht="16.5" customHeight="1">
      <c r="A11" s="2479" t="s">
        <v>1643</v>
      </c>
      <c r="B11" s="2469"/>
      <c r="C11" s="2469"/>
      <c r="D11" s="2469"/>
      <c r="E11" s="2469"/>
      <c r="F11" s="2469"/>
      <c r="G11" s="2469"/>
      <c r="H11" s="2469"/>
      <c r="I11" s="2469"/>
      <c r="J11" s="2469"/>
      <c r="K11" s="2471"/>
      <c r="L11" s="3106"/>
      <c r="M11" s="3106"/>
      <c r="N11" s="3106"/>
      <c r="O11" s="3106"/>
      <c r="P11" s="3106"/>
      <c r="Q11" s="3106"/>
      <c r="R11" s="3106"/>
      <c r="S11" s="3106"/>
      <c r="T11" s="3106"/>
      <c r="U11" s="3106"/>
      <c r="V11" s="3106"/>
      <c r="W11" s="3106"/>
      <c r="X11" s="3106"/>
      <c r="Y11" s="3106"/>
      <c r="Z11" s="3106"/>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7"/>
      <c r="M12" s="3107"/>
      <c r="N12" s="3107"/>
      <c r="O12" s="3107"/>
      <c r="P12" s="3107"/>
      <c r="Q12" s="3107"/>
      <c r="R12" s="3107"/>
      <c r="S12" s="3107"/>
      <c r="T12" s="3107"/>
      <c r="U12" s="3107"/>
      <c r="V12" s="3107"/>
      <c r="W12" s="3107"/>
      <c r="X12" s="3107"/>
      <c r="Y12" s="3107"/>
      <c r="Z12" s="3107"/>
    </row>
    <row r="13" spans="1:31" s="1953" customFormat="1" ht="13.5" customHeight="1">
      <c r="A13" s="2482" t="s">
        <v>1648</v>
      </c>
      <c r="B13" s="2483" t="s">
        <v>473</v>
      </c>
      <c r="C13" s="443">
        <f ca="1">IF(B1="",'数据-取费表'!P16,INDIRECT("'数据-取费表'!p"&amp;$K$1)+INDIRECT("'数据-取费表'!t"&amp;$K$1))</f>
        <v>0</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1649</v>
      </c>
      <c r="B14" s="2483" t="s">
        <v>474</v>
      </c>
      <c r="C14" s="53">
        <f ca="1">ROUND(C13*F14,0)</f>
        <v>0</v>
      </c>
      <c r="D14" s="2484"/>
      <c r="E14" s="2485"/>
      <c r="F14" s="2487">
        <f>'数据-取费表'!B33</f>
        <v>0</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1650</v>
      </c>
      <c r="B15" s="2483" t="s">
        <v>476</v>
      </c>
      <c r="C15" s="53">
        <f ca="1">ROUND(IF(B1="",SUMIF('数据-取费表'!C:C,"住宅",'数据-取费表'!P:P)*F15,IF(INDIRECT("'数据-取费表'!c"&amp;$K$1)="住宅",INDIRECT("'数据-取费表'!P"&amp;$K$1)*F15,0)),0)</f>
        <v>0</v>
      </c>
      <c r="D15" s="2484"/>
      <c r="E15" s="2485"/>
      <c r="F15" s="2487">
        <f>'数据-取费表'!B34</f>
        <v>0</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1651</v>
      </c>
      <c r="B16" s="2483" t="s">
        <v>478</v>
      </c>
      <c r="C16" s="53">
        <f ca="1">ROUND(D16*E16/10000,0)</f>
        <v>0</v>
      </c>
      <c r="D16" s="2484">
        <f ca="1">IF(B1="",'数据-汇总表'!E3,INDIRECT("'数据-取费表'!K"&amp;$K$1)+INDIRECT("'数据-取费表'!S"&amp;$K$1))</f>
        <v>0</v>
      </c>
      <c r="E16" s="53">
        <f>'数据-取费表'!B35</f>
        <v>0</v>
      </c>
      <c r="F16" s="2487"/>
      <c r="G16" s="2452"/>
      <c r="H16" s="2453"/>
      <c r="I16" s="2453"/>
      <c r="J16" s="2453"/>
      <c r="K16" s="2454"/>
      <c r="AA16" s="1953"/>
      <c r="AB16" s="1953"/>
      <c r="AC16" s="1953"/>
      <c r="AD16" s="1953"/>
      <c r="AE16" s="1953"/>
    </row>
    <row r="17" spans="1:26" s="1953" customFormat="1" ht="13.5" customHeight="1">
      <c r="A17" s="2482" t="s">
        <v>1652</v>
      </c>
      <c r="B17" s="2483" t="s">
        <v>479</v>
      </c>
      <c r="C17" s="2488">
        <f ca="1">ROUND(C13*F17,0)</f>
        <v>0</v>
      </c>
      <c r="D17" s="468"/>
      <c r="E17" s="2488"/>
      <c r="F17" s="2489">
        <f>'数据-取费表'!B36</f>
        <v>0</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1653</v>
      </c>
      <c r="B18" s="2491" t="s">
        <v>481</v>
      </c>
      <c r="C18" s="2492">
        <f ca="1">SUM(C13:C17)</f>
        <v>0</v>
      </c>
      <c r="D18" s="2493"/>
      <c r="E18" s="461"/>
      <c r="F18" s="461"/>
      <c r="G18" s="2456" t="s">
        <v>2216</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1654</v>
      </c>
      <c r="B19" s="2491" t="s">
        <v>482</v>
      </c>
      <c r="C19" s="2448">
        <f ca="1">ROUND(D19*E19/10000,0)</f>
        <v>0</v>
      </c>
      <c r="D19" s="2494">
        <f ca="1">D16</f>
        <v>0</v>
      </c>
      <c r="E19" s="2448">
        <f>'数据-取费表'!B32</f>
        <v>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1655</v>
      </c>
      <c r="B20" s="2491" t="s">
        <v>484</v>
      </c>
      <c r="C20" s="2448">
        <f ca="1">C21+C22-IF(B1="",'数据-取费表'!B29,IF(G20="已全部缴纳",C21+C22,H20))</f>
        <v>0</v>
      </c>
      <c r="D20" s="2494"/>
      <c r="E20" s="2448"/>
      <c r="F20" s="2495"/>
      <c r="G20" s="2695"/>
      <c r="H20" s="2450"/>
      <c r="I20" s="2451" t="s">
        <v>2368</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1656</v>
      </c>
      <c r="B21" s="2483" t="s">
        <v>485</v>
      </c>
      <c r="C21" s="53">
        <f ca="1">ROUND(D21*E21/10000,0)</f>
        <v>0</v>
      </c>
      <c r="D21" s="2484">
        <f ca="1">IF(B1="",'数据-汇总表'!E5,IF(INDIRECT("'数据-取费表'!c"&amp;$K$1)="住宅",INDIRECT("'数据-取费表'!k"&amp;$K$1),0))</f>
        <v>0</v>
      </c>
      <c r="E21" s="53">
        <f>'数据-取费表'!B27</f>
        <v>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1657</v>
      </c>
      <c r="B22" s="2483" t="s">
        <v>486</v>
      </c>
      <c r="C22" s="53">
        <f ca="1">ROUND(D22*E22/10000,0)</f>
        <v>0</v>
      </c>
      <c r="D22" s="2484">
        <f ca="1">IF(B1="",'数据-汇总表'!E6,IF(INDIRECT("'数据-取费表'!c"&amp;$K$1)="住宅",INDIRECT("'数据-取费表'!s"&amp;$K$1),INDIRECT("'数据-取费表'!k"&amp;$K$1)+INDIRECT("'数据-取费表'!s"&amp;$K$1)))</f>
        <v>0</v>
      </c>
      <c r="E22" s="53">
        <f>'数据-取费表'!B28</f>
        <v>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1658</v>
      </c>
      <c r="B23" s="2668" t="s">
        <v>2548</v>
      </c>
      <c r="C23" s="2492">
        <f ca="1">ROUND((C18+C19+C20)*F23,0)</f>
        <v>0</v>
      </c>
      <c r="D23" s="461"/>
      <c r="E23" s="461"/>
      <c r="F23" s="2496">
        <f>'数据-取费表'!B37</f>
        <v>0</v>
      </c>
      <c r="G23" s="2452" t="s">
        <v>2217</v>
      </c>
      <c r="H23" s="2453"/>
      <c r="I23" s="2453"/>
      <c r="J23" s="2453"/>
      <c r="K23" s="2454"/>
      <c r="L23" s="3108"/>
      <c r="M23" s="3108"/>
      <c r="N23" s="3108"/>
      <c r="O23" s="1954"/>
      <c r="P23" s="1954"/>
      <c r="Q23" s="1954"/>
      <c r="R23" s="1954"/>
      <c r="S23" s="1954"/>
      <c r="T23" s="1954"/>
      <c r="U23" s="1954"/>
      <c r="V23" s="1954"/>
      <c r="W23" s="1954"/>
      <c r="X23" s="1954"/>
      <c r="Y23" s="1954"/>
      <c r="Z23" s="1954"/>
    </row>
    <row r="24" spans="1:26" s="1953" customFormat="1" ht="13.5" customHeight="1">
      <c r="A24" s="2490" t="s">
        <v>1659</v>
      </c>
      <c r="B24" s="2668" t="s">
        <v>2551</v>
      </c>
      <c r="C24" s="2492">
        <f>ROUND(C6*F24,0)</f>
        <v>0</v>
      </c>
      <c r="D24" s="468"/>
      <c r="E24" s="466"/>
      <c r="F24" s="2496">
        <f>'数据-取费表'!B38</f>
        <v>0</v>
      </c>
      <c r="G24" s="2461" t="s">
        <v>493</v>
      </c>
      <c r="H24" s="2455"/>
      <c r="I24" s="2455"/>
      <c r="J24" s="2455"/>
      <c r="K24" s="277"/>
      <c r="L24" s="3108"/>
      <c r="M24" s="3108"/>
      <c r="N24" s="3108"/>
      <c r="O24" s="1954"/>
      <c r="P24" s="1954"/>
      <c r="Q24" s="1954"/>
      <c r="R24" s="1954"/>
      <c r="S24" s="1954"/>
      <c r="T24" s="1954"/>
      <c r="U24" s="1954"/>
      <c r="V24" s="1954"/>
      <c r="W24" s="1954"/>
      <c r="X24" s="1954"/>
      <c r="Y24" s="1954"/>
      <c r="Z24" s="1954"/>
    </row>
    <row r="25" spans="1:26" s="1956" customFormat="1" ht="13.5" customHeight="1">
      <c r="A25" s="2490" t="s">
        <v>1660</v>
      </c>
      <c r="B25" s="2668" t="s">
        <v>2549</v>
      </c>
      <c r="C25" s="460">
        <f>ROUND(F25/(1+'数据-取费表'!C42),4)</f>
        <v>0</v>
      </c>
      <c r="D25" s="455" t="s">
        <v>2544</v>
      </c>
      <c r="E25" s="462"/>
      <c r="F25" s="2496">
        <f>IF(项目基本情况!B8="出让",0,'数据-取费表'!B48+'数据-取费表'!B49)</f>
        <v>0</v>
      </c>
      <c r="G25" s="2460" t="s">
        <v>2080</v>
      </c>
      <c r="H25" s="2453"/>
      <c r="I25" s="2453"/>
      <c r="J25" s="2453"/>
      <c r="K25" s="2454"/>
      <c r="L25" s="3109"/>
      <c r="M25" s="3109"/>
      <c r="N25" s="3109"/>
      <c r="O25" s="3109"/>
      <c r="P25" s="3109"/>
      <c r="Q25" s="3109"/>
      <c r="R25" s="3109"/>
      <c r="S25" s="3109"/>
      <c r="T25" s="3109"/>
      <c r="U25" s="3109"/>
      <c r="V25" s="3109"/>
      <c r="W25" s="3109"/>
      <c r="X25" s="3109"/>
      <c r="Y25" s="3109"/>
      <c r="Z25" s="3109"/>
    </row>
    <row r="26" spans="1:26" s="1955" customFormat="1" ht="13.5" customHeight="1">
      <c r="A26" s="2490" t="s">
        <v>1661</v>
      </c>
      <c r="B26" s="2669" t="s">
        <v>2550</v>
      </c>
      <c r="C26" s="2497">
        <f ca="1">C28</f>
        <v>0</v>
      </c>
      <c r="D26" s="460">
        <f ca="1">C27</f>
        <v>0</v>
      </c>
      <c r="E26" s="462" t="s">
        <v>489</v>
      </c>
      <c r="F26" s="464">
        <f ca="1">'数据-取费表'!B40</f>
        <v>0</v>
      </c>
      <c r="G26" s="2347" t="str">
        <f>IF('数据-取费表'!B22&lt;=1,"单利计息。","复利计息。")&amp;"后续开发成本、管理费用及销售费用产生的利息。"</f>
        <v>单利计息。后续开发成本、管理费用及销售费用产生的利息。</v>
      </c>
      <c r="H26" s="2457"/>
      <c r="I26" s="2457"/>
      <c r="J26" s="2457"/>
      <c r="K26" s="2458"/>
      <c r="L26" s="3108"/>
      <c r="M26" s="3108"/>
      <c r="N26" s="3108"/>
      <c r="O26" s="3108"/>
      <c r="P26" s="3108"/>
      <c r="Q26" s="3108"/>
      <c r="R26" s="3108"/>
      <c r="S26" s="3108"/>
      <c r="T26" s="3108"/>
      <c r="U26" s="3108"/>
      <c r="V26" s="3108"/>
      <c r="W26" s="3108"/>
      <c r="X26" s="3108"/>
      <c r="Y26" s="3108"/>
      <c r="Z26" s="3108"/>
    </row>
    <row r="27" spans="1:26" s="1957" customFormat="1" ht="13.5" customHeight="1">
      <c r="A27" s="776" t="s">
        <v>1656</v>
      </c>
      <c r="B27" s="2498" t="s">
        <v>490</v>
      </c>
      <c r="C27" s="2499">
        <f ca="1">ROUND(IF('数据-取费表'!B22&lt;=1,(1+C25)*F26*'数据-取费表'!B24,(1+C25)*(POWER((1+F26),'数据-取费表'!B24)-1)),4)</f>
        <v>0</v>
      </c>
      <c r="D27" s="465"/>
      <c r="E27" s="466"/>
      <c r="F27" s="467"/>
      <c r="G27" s="2347" t="str">
        <f>IF('数据-取费表'!B22&lt;=1,"（1+取得税费率/(1+5%)）×年利率×建设期","（1+取得税费率）/(1+5%)×((1+年利率)^建设期-1)")</f>
        <v>（1+取得税费率/(1+5%)）×年利率×建设期</v>
      </c>
      <c r="H27" s="2455"/>
      <c r="I27" s="2455"/>
      <c r="J27" s="2455"/>
      <c r="K27" s="277"/>
      <c r="L27" s="3110"/>
      <c r="M27" s="3110"/>
      <c r="N27" s="3110"/>
      <c r="O27" s="3110"/>
      <c r="P27" s="3110"/>
      <c r="Q27" s="3110"/>
      <c r="R27" s="3110"/>
      <c r="S27" s="3110"/>
      <c r="T27" s="3110"/>
      <c r="U27" s="3110"/>
      <c r="V27" s="3110"/>
      <c r="W27" s="3110"/>
      <c r="X27" s="3110"/>
      <c r="Y27" s="3110"/>
      <c r="Z27" s="3110"/>
    </row>
    <row r="28" spans="1:26" s="1957" customFormat="1" ht="13.5" customHeight="1">
      <c r="A28" s="776" t="s">
        <v>1657</v>
      </c>
      <c r="B28" s="2498" t="s">
        <v>2552</v>
      </c>
      <c r="C28" s="2500">
        <f ca="1">ROUND(IF('数据-取费表'!B22&lt;=1,(C18+C19+C20+C23+C24)*F26*'数据-取费表'!B24/2,(C18+C19+C20+C23+C24)*(POWER((1+F26),'数据-取费表'!B24/2)-1)),0)</f>
        <v>0</v>
      </c>
      <c r="D28" s="465"/>
      <c r="E28" s="466"/>
      <c r="F28" s="467"/>
      <c r="G28" s="2347" t="str">
        <f>IF('数据-取费表'!B22&lt;=1,"（1）-（4）项×年利率×建设期÷2","（1）-（4）项×((1+年利率)^(建设期÷2)-1)")</f>
        <v>（1）-（4）项×年利率×建设期÷2</v>
      </c>
      <c r="H28" s="2455"/>
      <c r="I28" s="2455"/>
      <c r="J28" s="2455"/>
      <c r="K28" s="277"/>
      <c r="L28" s="3110"/>
      <c r="M28" s="3110"/>
      <c r="N28" s="3110"/>
      <c r="O28" s="3110"/>
      <c r="P28" s="3110"/>
      <c r="Q28" s="3110"/>
      <c r="R28" s="3110"/>
      <c r="S28" s="3110"/>
      <c r="T28" s="3110"/>
      <c r="U28" s="3110"/>
      <c r="V28" s="3110"/>
      <c r="W28" s="3110"/>
      <c r="X28" s="3110"/>
      <c r="Y28" s="3110"/>
      <c r="Z28" s="3110"/>
    </row>
    <row r="29" spans="1:26" s="1957" customFormat="1" ht="13.5" customHeight="1">
      <c r="A29" s="2501" t="s">
        <v>1662</v>
      </c>
      <c r="B29" s="2491" t="s">
        <v>491</v>
      </c>
      <c r="C29" s="2492">
        <f>ROUND(C6*F29/(1+'数据-取费表'!C42),0)</f>
        <v>0</v>
      </c>
      <c r="D29" s="461"/>
      <c r="E29" s="461"/>
      <c r="F29" s="2670">
        <f>'数据-取费表'!B41</f>
        <v>0</v>
      </c>
      <c r="G29" s="2461" t="s">
        <v>492</v>
      </c>
      <c r="H29" s="2453"/>
      <c r="I29" s="2453"/>
      <c r="J29" s="2453"/>
      <c r="K29" s="2454"/>
      <c r="L29" s="3110"/>
      <c r="M29" s="3110"/>
      <c r="N29" s="3110"/>
      <c r="O29" s="3110"/>
      <c r="P29" s="3110"/>
      <c r="Q29" s="3110"/>
      <c r="R29" s="3110"/>
      <c r="S29" s="3110"/>
      <c r="T29" s="3110"/>
      <c r="U29" s="3110"/>
      <c r="V29" s="3110"/>
      <c r="W29" s="3110"/>
      <c r="X29" s="3110"/>
      <c r="Y29" s="3110"/>
      <c r="Z29" s="3110"/>
    </row>
    <row r="30" spans="1:26" s="1958" customFormat="1" ht="13.5" customHeight="1">
      <c r="A30" s="1520" t="s">
        <v>1663</v>
      </c>
      <c r="B30" s="2502" t="s">
        <v>494</v>
      </c>
      <c r="C30" s="2497">
        <f ca="1">C31</f>
        <v>0</v>
      </c>
      <c r="D30" s="470">
        <f ca="1">C32</f>
        <v>0</v>
      </c>
      <c r="E30" s="462" t="s">
        <v>489</v>
      </c>
      <c r="F30" s="464"/>
      <c r="G30" s="2460" t="s">
        <v>2669</v>
      </c>
      <c r="H30" s="2453"/>
      <c r="I30" s="2453"/>
      <c r="J30" s="2453"/>
      <c r="K30" s="2454"/>
      <c r="L30" s="3111"/>
      <c r="M30" s="3111"/>
      <c r="N30" s="3111"/>
      <c r="O30" s="3111"/>
      <c r="P30" s="3111"/>
      <c r="Q30" s="3111"/>
      <c r="R30" s="3111"/>
      <c r="S30" s="3111"/>
      <c r="T30" s="3111"/>
      <c r="U30" s="3111"/>
      <c r="V30" s="3111"/>
      <c r="W30" s="3111"/>
      <c r="X30" s="3111"/>
      <c r="Y30" s="3111"/>
      <c r="Z30" s="3111"/>
    </row>
    <row r="31" spans="1:26" s="1957" customFormat="1" ht="13.5" customHeight="1">
      <c r="A31" s="776" t="s">
        <v>1656</v>
      </c>
      <c r="B31" s="2498"/>
      <c r="C31" s="443">
        <f ca="1">C18+C19+C20+C23+C24+C26+C29</f>
        <v>0</v>
      </c>
      <c r="D31" s="465"/>
      <c r="E31" s="466"/>
      <c r="F31" s="467"/>
      <c r="G31" s="259"/>
      <c r="H31" s="2455"/>
      <c r="I31" s="2455"/>
      <c r="J31" s="2455"/>
      <c r="K31" s="277"/>
      <c r="L31" s="3110"/>
      <c r="M31" s="3110"/>
      <c r="N31" s="3110"/>
      <c r="O31" s="3110"/>
      <c r="P31" s="3110"/>
      <c r="Q31" s="3110"/>
      <c r="R31" s="3110"/>
      <c r="S31" s="3110"/>
      <c r="T31" s="3110"/>
      <c r="U31" s="3110"/>
      <c r="V31" s="3110"/>
      <c r="W31" s="3110"/>
      <c r="X31" s="3110"/>
      <c r="Y31" s="3110"/>
      <c r="Z31" s="3110"/>
    </row>
    <row r="32" spans="1:26" s="1957" customFormat="1" ht="13.5" customHeight="1">
      <c r="A32" s="776" t="s">
        <v>1657</v>
      </c>
      <c r="B32" s="2498"/>
      <c r="C32" s="53">
        <f ca="1">ROUND(C25+D26,4)</f>
        <v>0</v>
      </c>
      <c r="D32" s="465"/>
      <c r="E32" s="466"/>
      <c r="F32" s="467"/>
      <c r="G32" s="259"/>
      <c r="H32" s="2455"/>
      <c r="I32" s="2455"/>
      <c r="J32" s="2455"/>
      <c r="K32" s="277"/>
      <c r="L32" s="3110"/>
      <c r="M32" s="3110"/>
      <c r="N32" s="3110"/>
      <c r="O32" s="3110"/>
      <c r="P32" s="3110"/>
      <c r="Q32" s="3110"/>
      <c r="R32" s="3110"/>
      <c r="S32" s="3110"/>
      <c r="T32" s="3110"/>
      <c r="U32" s="3110"/>
      <c r="V32" s="3110"/>
      <c r="W32" s="3110"/>
      <c r="X32" s="3110"/>
      <c r="Y32" s="3110"/>
      <c r="Z32" s="3110"/>
    </row>
    <row r="33" spans="1:26" s="1959" customFormat="1" ht="13.5" customHeight="1">
      <c r="A33" s="2667" t="s">
        <v>2547</v>
      </c>
      <c r="B33" s="2665" t="s">
        <v>2545</v>
      </c>
      <c r="C33" s="471" t="e">
        <f ca="1">C35</f>
        <v>#DIV/0!</v>
      </c>
      <c r="D33" s="460" t="e">
        <f ca="1">C34</f>
        <v>#DIV/0!</v>
      </c>
      <c r="E33" s="462" t="s">
        <v>489</v>
      </c>
      <c r="F33" s="472" t="e">
        <f ca="1">IF(B1="",'数据-取费表'!Q16,INDIRECT("'数据-取费表'!q"&amp;$K$1))</f>
        <v>#DIV/0!</v>
      </c>
      <c r="G33" s="2456"/>
      <c r="H33" s="2457"/>
      <c r="I33" s="2457"/>
      <c r="J33" s="2457"/>
      <c r="K33" s="2458"/>
      <c r="L33" s="3112"/>
      <c r="M33" s="3112"/>
      <c r="N33" s="3112"/>
      <c r="O33" s="3112"/>
      <c r="P33" s="3112"/>
      <c r="Q33" s="3112"/>
      <c r="R33" s="3112"/>
      <c r="S33" s="3112"/>
      <c r="T33" s="3112"/>
      <c r="U33" s="3112"/>
      <c r="V33" s="3112"/>
      <c r="W33" s="3112"/>
      <c r="X33" s="3112"/>
      <c r="Y33" s="3112"/>
      <c r="Z33" s="3112"/>
    </row>
    <row r="34" spans="1:26" s="1960" customFormat="1" ht="13.5" customHeight="1">
      <c r="A34" s="369" t="s">
        <v>1656</v>
      </c>
      <c r="B34" s="2503" t="s">
        <v>495</v>
      </c>
      <c r="C34" s="465" t="e">
        <f ca="1">ROUND((1+C25)*F33,4)</f>
        <v>#DIV/0!</v>
      </c>
      <c r="D34" s="465"/>
      <c r="E34" s="466"/>
      <c r="F34" s="473"/>
      <c r="G34" s="259" t="s">
        <v>2081</v>
      </c>
      <c r="H34" s="2455"/>
      <c r="I34" s="2455"/>
      <c r="J34" s="2455"/>
      <c r="K34" s="277"/>
      <c r="L34" s="3113"/>
      <c r="M34" s="3113"/>
      <c r="N34" s="3113"/>
      <c r="O34" s="3113"/>
      <c r="P34" s="3113"/>
      <c r="Q34" s="3113"/>
      <c r="R34" s="3113"/>
      <c r="S34" s="3113"/>
      <c r="T34" s="3113"/>
      <c r="U34" s="3113"/>
      <c r="V34" s="3113"/>
      <c r="W34" s="3113"/>
      <c r="X34" s="3113"/>
      <c r="Y34" s="3113"/>
      <c r="Z34" s="3113"/>
    </row>
    <row r="35" spans="1:26" s="1960" customFormat="1" ht="13.5" customHeight="1" thickBot="1">
      <c r="A35" s="1521" t="s">
        <v>1657</v>
      </c>
      <c r="B35" s="2666" t="s">
        <v>2553</v>
      </c>
      <c r="C35" s="1513" t="e">
        <f ca="1">ROUND((C18+C19+C20+C23+C24)*F33,0)</f>
        <v>#DIV/0!</v>
      </c>
      <c r="D35" s="1514"/>
      <c r="E35" s="2504"/>
      <c r="F35" s="1515"/>
      <c r="G35" s="2462"/>
      <c r="H35" s="2463"/>
      <c r="I35" s="2463"/>
      <c r="J35" s="2463"/>
      <c r="K35" s="2464"/>
      <c r="L35" s="3113"/>
      <c r="M35" s="3113"/>
      <c r="N35" s="3113"/>
      <c r="O35" s="3113"/>
      <c r="P35" s="3113"/>
      <c r="Q35" s="3113"/>
      <c r="R35" s="3113"/>
      <c r="S35" s="3113"/>
      <c r="T35" s="3113"/>
      <c r="U35" s="3113"/>
      <c r="V35" s="3113"/>
      <c r="W35" s="3113"/>
      <c r="X35" s="3113"/>
      <c r="Y35" s="3113"/>
      <c r="Z35" s="3113"/>
    </row>
    <row r="36" spans="1:26" s="1922" customFormat="1" ht="13.5" customHeight="1" thickBot="1">
      <c r="A36" s="282" t="s">
        <v>1644</v>
      </c>
      <c r="B36" s="2466"/>
      <c r="C36" s="2505" t="e">
        <f ca="1">ROUND((C6-C30-C33)/(1+D30+D33),0)</f>
        <v>#DIV/0!</v>
      </c>
      <c r="D36" s="2466"/>
      <c r="E36" s="2466"/>
      <c r="F36" s="2466"/>
      <c r="G36" s="2465" t="s">
        <v>2554</v>
      </c>
      <c r="H36" s="2466"/>
      <c r="I36" s="2466"/>
      <c r="J36" s="2466"/>
      <c r="K36" s="2467"/>
      <c r="L36" s="3107"/>
      <c r="M36" s="3107"/>
      <c r="N36" s="3107"/>
      <c r="O36" s="3107"/>
      <c r="P36" s="3107"/>
      <c r="Q36" s="3107"/>
      <c r="R36" s="3107"/>
      <c r="S36" s="3107"/>
      <c r="T36" s="3107"/>
      <c r="U36" s="3107"/>
      <c r="V36" s="3107"/>
      <c r="W36" s="3107"/>
      <c r="X36" s="3107"/>
      <c r="Y36" s="3107"/>
      <c r="Z36" s="3107"/>
    </row>
    <row r="37" spans="1:26" s="1952" customFormat="1">
      <c r="A37" s="3114"/>
      <c r="C37" s="3115"/>
      <c r="E37" s="3114"/>
    </row>
    <row r="38" spans="1:26" s="1952" customFormat="1" ht="12.75" customHeight="1">
      <c r="A38" s="3114"/>
      <c r="C38" s="3115"/>
      <c r="E38" s="3114"/>
    </row>
    <row r="39" spans="1:26" s="1952" customFormat="1">
      <c r="A39" s="3114"/>
      <c r="C39" s="3115"/>
      <c r="E39" s="3114"/>
    </row>
    <row r="40" spans="1:26" s="1952" customFormat="1">
      <c r="A40" s="3114"/>
      <c r="C40" s="3115"/>
      <c r="E40" s="3114"/>
    </row>
    <row r="41" spans="1:26" s="1952" customFormat="1">
      <c r="A41" s="3114"/>
      <c r="C41" s="3115"/>
      <c r="E41" s="3114"/>
    </row>
    <row r="42" spans="1:26" s="1952" customFormat="1">
      <c r="A42" s="3114"/>
      <c r="C42" s="3115"/>
      <c r="E42" s="3114"/>
    </row>
    <row r="43" spans="1:26" s="1952" customFormat="1">
      <c r="A43" s="3114"/>
      <c r="C43" s="3115"/>
      <c r="E43" s="3114"/>
    </row>
    <row r="44" spans="1:26" s="1952" customFormat="1">
      <c r="A44" s="3114"/>
      <c r="C44" s="3115"/>
      <c r="E44" s="3114"/>
    </row>
    <row r="45" spans="1:26" s="1952" customFormat="1">
      <c r="A45" s="3114"/>
      <c r="C45" s="3115"/>
      <c r="E45" s="3114"/>
    </row>
    <row r="46" spans="1:26" s="1952" customFormat="1">
      <c r="A46" s="3114"/>
      <c r="C46" s="3115"/>
      <c r="E46" s="3114"/>
    </row>
    <row r="47" spans="1:26" s="1952" customFormat="1">
      <c r="A47" s="3114"/>
      <c r="C47" s="3115"/>
      <c r="E47" s="3114"/>
    </row>
    <row r="48" spans="1:26"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row r="212" spans="1:5" s="1952" customFormat="1">
      <c r="A212" s="3114"/>
      <c r="C212" s="3115"/>
      <c r="E212" s="3114"/>
    </row>
    <row r="213" spans="1:5" s="1952" customFormat="1">
      <c r="A213" s="3114"/>
      <c r="C213" s="3115"/>
      <c r="E213" s="3114"/>
    </row>
    <row r="214" spans="1:5" s="1952" customFormat="1">
      <c r="A214" s="3114"/>
      <c r="C214" s="3115"/>
      <c r="E214" s="3114"/>
    </row>
    <row r="215" spans="1:5" s="1952" customFormat="1">
      <c r="A215" s="3114"/>
      <c r="C215" s="3115"/>
      <c r="E215" s="3114"/>
    </row>
    <row r="216" spans="1:5" s="1952" customFormat="1">
      <c r="A216" s="3114"/>
      <c r="C216" s="3115"/>
      <c r="E216" s="3114"/>
    </row>
    <row r="217" spans="1:5" s="1952" customFormat="1">
      <c r="A217" s="3114"/>
      <c r="C217" s="3115"/>
      <c r="E217" s="3114"/>
    </row>
    <row r="218" spans="1:5" s="1952" customFormat="1">
      <c r="A218" s="3114"/>
      <c r="C218" s="3115"/>
      <c r="E218" s="3114"/>
    </row>
    <row r="219" spans="1:5" s="1952" customFormat="1">
      <c r="A219" s="3114"/>
      <c r="C219" s="3115"/>
      <c r="E219" s="3114"/>
    </row>
    <row r="220" spans="1:5" s="1952" customFormat="1">
      <c r="A220" s="3114"/>
      <c r="C220" s="3115"/>
      <c r="E220" s="3114"/>
    </row>
    <row r="221" spans="1:5" s="1952" customFormat="1">
      <c r="A221" s="3114"/>
      <c r="C221" s="3115"/>
      <c r="E221" s="3114"/>
    </row>
    <row r="222" spans="1:5" s="1952" customFormat="1">
      <c r="A222" s="3114"/>
      <c r="C222" s="3115"/>
      <c r="E222" s="3114"/>
    </row>
    <row r="223" spans="1:5" s="1952" customFormat="1">
      <c r="A223" s="3114"/>
      <c r="C223" s="3115"/>
      <c r="E223" s="3114"/>
    </row>
    <row r="224" spans="1:5" s="1952" customFormat="1">
      <c r="A224" s="3114"/>
      <c r="C224" s="3115"/>
      <c r="E224" s="3114"/>
    </row>
    <row r="225" spans="1:5" s="1952" customFormat="1">
      <c r="A225" s="3114"/>
      <c r="C225" s="3115"/>
      <c r="E225" s="3114"/>
    </row>
    <row r="226" spans="1:5" s="1952" customFormat="1">
      <c r="A226" s="3114"/>
      <c r="C226" s="3115"/>
      <c r="E226" s="3114"/>
    </row>
    <row r="227" spans="1:5" s="1952" customFormat="1">
      <c r="A227" s="3114"/>
      <c r="C227" s="3115"/>
      <c r="E227" s="3114"/>
    </row>
    <row r="228" spans="1:5" s="1952" customFormat="1">
      <c r="A228" s="3114"/>
      <c r="C228" s="3115"/>
      <c r="E228" s="3114"/>
    </row>
    <row r="229" spans="1:5" s="1952" customFormat="1">
      <c r="A229" s="3114"/>
      <c r="C229" s="3115"/>
      <c r="E229" s="3114"/>
    </row>
    <row r="230" spans="1:5" s="1952" customFormat="1">
      <c r="A230" s="3114"/>
      <c r="C230" s="3115"/>
      <c r="E230" s="3114"/>
    </row>
    <row r="231" spans="1:5" s="1952" customFormat="1">
      <c r="A231" s="3114"/>
      <c r="C231" s="3115"/>
      <c r="E231" s="3114"/>
    </row>
    <row r="232" spans="1:5" s="1952" customFormat="1">
      <c r="A232" s="3114"/>
      <c r="C232" s="3115"/>
      <c r="E232" s="3114"/>
    </row>
    <row r="233" spans="1:5" s="1952" customFormat="1">
      <c r="A233" s="3114"/>
      <c r="C233" s="3115"/>
      <c r="E233" s="3114"/>
    </row>
    <row r="234" spans="1:5" s="1952" customFormat="1">
      <c r="A234" s="3114"/>
      <c r="C234" s="3115"/>
      <c r="E234" s="3114"/>
    </row>
    <row r="235" spans="1:5" s="1952" customFormat="1">
      <c r="A235" s="3114"/>
      <c r="C235" s="3115"/>
      <c r="E235" s="3114"/>
    </row>
    <row r="236" spans="1:5" s="1952" customFormat="1">
      <c r="A236" s="3114"/>
      <c r="C236" s="3115"/>
      <c r="E236" s="3114"/>
    </row>
    <row r="237" spans="1:5" s="1952" customFormat="1">
      <c r="A237" s="3114"/>
      <c r="C237" s="3115"/>
      <c r="E237" s="3114"/>
    </row>
    <row r="238" spans="1:5" s="1952" customFormat="1">
      <c r="A238" s="3114"/>
      <c r="C238" s="3115"/>
      <c r="E238" s="3114"/>
    </row>
    <row r="239" spans="1:5" s="1952" customFormat="1">
      <c r="A239" s="3114"/>
      <c r="C239" s="3115"/>
      <c r="E239" s="3114"/>
    </row>
    <row r="240" spans="1:5" s="1952" customFormat="1">
      <c r="A240" s="3114"/>
      <c r="C240" s="3115"/>
      <c r="E240" s="3114"/>
    </row>
    <row r="241" spans="1:5" s="1952" customFormat="1">
      <c r="A241" s="3114"/>
      <c r="C241" s="3115"/>
      <c r="E241" s="3114"/>
    </row>
    <row r="242" spans="1:5" s="1952" customFormat="1">
      <c r="A242" s="3114"/>
      <c r="C242" s="3115"/>
      <c r="E242" s="3114"/>
    </row>
    <row r="243" spans="1:5" s="1952" customFormat="1">
      <c r="A243" s="3114"/>
      <c r="C243" s="3115"/>
      <c r="E243" s="3114"/>
    </row>
    <row r="244" spans="1:5" s="1952" customFormat="1">
      <c r="A244" s="3114"/>
      <c r="C244" s="3115"/>
      <c r="E244" s="3114"/>
    </row>
    <row r="245" spans="1:5" s="1952" customFormat="1">
      <c r="A245" s="3114"/>
      <c r="C245" s="3115"/>
      <c r="E245" s="3114"/>
    </row>
    <row r="246" spans="1:5" s="1952" customFormat="1">
      <c r="A246" s="3114"/>
      <c r="C246" s="3115"/>
      <c r="E246" s="3114"/>
    </row>
    <row r="247" spans="1:5" s="1952" customFormat="1">
      <c r="A247" s="3114"/>
      <c r="C247" s="3115"/>
      <c r="E247" s="3114"/>
    </row>
    <row r="248" spans="1:5" s="1952" customFormat="1">
      <c r="A248" s="3114"/>
      <c r="C248" s="3115"/>
      <c r="E248" s="3114"/>
    </row>
    <row r="249" spans="1:5" s="1952" customFormat="1">
      <c r="A249" s="3114"/>
      <c r="C249" s="3115"/>
      <c r="E249" s="3114"/>
    </row>
    <row r="250" spans="1:5" s="1952" customFormat="1">
      <c r="A250" s="3114"/>
      <c r="C250" s="3115"/>
      <c r="E250" s="3114"/>
    </row>
    <row r="251" spans="1:5" s="1952" customFormat="1">
      <c r="A251" s="3114"/>
      <c r="C251" s="3115"/>
      <c r="E251" s="3114"/>
    </row>
    <row r="252" spans="1:5" s="1952" customFormat="1">
      <c r="A252" s="3114"/>
      <c r="C252" s="3115"/>
      <c r="E252" s="3114"/>
    </row>
    <row r="253" spans="1:5" s="1952" customFormat="1">
      <c r="A253" s="3114"/>
      <c r="C253" s="3115"/>
      <c r="E253" s="3114"/>
    </row>
    <row r="254" spans="1:5" s="1952" customFormat="1">
      <c r="A254" s="3114"/>
      <c r="C254" s="3115"/>
      <c r="E254" s="3114"/>
    </row>
    <row r="255" spans="1:5" s="1952" customFormat="1">
      <c r="A255" s="3114"/>
      <c r="C255" s="3115"/>
      <c r="E255" s="3114"/>
    </row>
    <row r="256" spans="1:5" s="1952" customFormat="1">
      <c r="A256" s="3114"/>
      <c r="C256" s="3115"/>
      <c r="E256" s="3114"/>
    </row>
    <row r="257" spans="1:5" s="1952" customFormat="1">
      <c r="A257" s="3114"/>
      <c r="C257" s="3115"/>
      <c r="E257" s="3114"/>
    </row>
    <row r="258" spans="1:5" s="1952" customFormat="1">
      <c r="A258" s="3114"/>
      <c r="C258" s="3115"/>
      <c r="E258" s="3114"/>
    </row>
    <row r="259" spans="1:5" s="1952" customFormat="1">
      <c r="A259" s="3114"/>
      <c r="C259" s="3115"/>
      <c r="E259" s="3114"/>
    </row>
    <row r="260" spans="1:5" s="1952" customFormat="1">
      <c r="A260" s="3114"/>
      <c r="C260" s="3115"/>
      <c r="E260" s="3114"/>
    </row>
    <row r="261" spans="1:5" s="1952" customFormat="1">
      <c r="A261" s="3114"/>
      <c r="C261" s="3115"/>
      <c r="E261" s="3114"/>
    </row>
    <row r="262" spans="1:5" s="1952" customFormat="1">
      <c r="A262" s="3114"/>
      <c r="C262" s="3115"/>
      <c r="E262" s="3114"/>
    </row>
    <row r="263" spans="1:5" s="1952" customFormat="1">
      <c r="A263" s="3114"/>
      <c r="C263" s="3115"/>
      <c r="E263" s="3114"/>
    </row>
    <row r="264" spans="1:5" s="1952" customFormat="1">
      <c r="A264" s="3114"/>
      <c r="C264" s="3115"/>
      <c r="E264" s="3114"/>
    </row>
    <row r="265" spans="1:5" s="1952" customFormat="1">
      <c r="A265" s="3114"/>
      <c r="C265" s="3115"/>
      <c r="E265" s="3114"/>
    </row>
    <row r="266" spans="1:5" s="1952" customFormat="1">
      <c r="A266" s="3114"/>
      <c r="C266" s="3115"/>
      <c r="E266" s="3114"/>
    </row>
    <row r="267" spans="1:5" s="1952" customFormat="1">
      <c r="A267" s="3114"/>
      <c r="C267" s="3115"/>
      <c r="E267" s="3114"/>
    </row>
    <row r="268" spans="1:5" s="1952" customFormat="1">
      <c r="A268" s="3114"/>
      <c r="C268" s="3115"/>
      <c r="E268" s="3114"/>
    </row>
    <row r="269" spans="1:5" s="1952" customFormat="1">
      <c r="A269" s="3114"/>
      <c r="C269" s="3115"/>
      <c r="E269" s="3114"/>
    </row>
    <row r="270" spans="1:5" s="1952" customFormat="1">
      <c r="A270" s="3114"/>
      <c r="C270" s="3115"/>
      <c r="E270" s="3114"/>
    </row>
    <row r="271" spans="1:5" s="1952" customFormat="1">
      <c r="A271" s="3114"/>
      <c r="C271" s="3115"/>
      <c r="E271" s="3114"/>
    </row>
    <row r="272" spans="1:5" s="1952" customFormat="1">
      <c r="A272" s="3114"/>
      <c r="C272" s="3115"/>
      <c r="E272" s="3114"/>
    </row>
    <row r="273" spans="1:5" s="1952" customFormat="1">
      <c r="A273" s="3114"/>
      <c r="C273" s="3115"/>
      <c r="E273" s="3114"/>
    </row>
    <row r="274" spans="1:5" s="1952" customFormat="1">
      <c r="A274" s="3114"/>
      <c r="C274" s="3115"/>
      <c r="E274" s="3114"/>
    </row>
    <row r="275" spans="1:5" s="1952" customFormat="1">
      <c r="A275" s="3114"/>
      <c r="C275" s="3115"/>
      <c r="E275" s="3114"/>
    </row>
    <row r="276" spans="1:5" s="1952" customFormat="1">
      <c r="A276" s="3114"/>
      <c r="C276" s="3115"/>
      <c r="E276" s="3114"/>
    </row>
    <row r="277" spans="1:5" s="1952" customFormat="1">
      <c r="A277" s="3114"/>
      <c r="C277" s="3115"/>
      <c r="E277" s="3114"/>
    </row>
    <row r="278" spans="1:5" s="1952" customFormat="1">
      <c r="A278" s="3114"/>
      <c r="C278" s="3115"/>
      <c r="E278" s="3114"/>
    </row>
    <row r="279" spans="1:5" s="1952" customFormat="1">
      <c r="A279" s="3114"/>
      <c r="C279" s="3115"/>
      <c r="E279" s="3114"/>
    </row>
    <row r="280" spans="1:5" s="1952" customFormat="1">
      <c r="A280" s="3114"/>
      <c r="C280" s="3115"/>
      <c r="E280" s="3114"/>
    </row>
    <row r="281" spans="1:5" s="1952" customFormat="1">
      <c r="A281" s="3114"/>
      <c r="C281" s="3115"/>
      <c r="E281" s="3114"/>
    </row>
    <row r="282" spans="1:5" s="1952" customFormat="1">
      <c r="A282" s="3114"/>
      <c r="C282" s="3115"/>
      <c r="E282" s="3114"/>
    </row>
    <row r="283" spans="1:5" s="1952" customFormat="1">
      <c r="A283" s="3114"/>
      <c r="C283" s="3115"/>
      <c r="E283" s="3114"/>
    </row>
    <row r="284" spans="1:5" s="1952" customFormat="1">
      <c r="A284" s="3114"/>
      <c r="C284" s="3115"/>
      <c r="E284" s="3114"/>
    </row>
    <row r="285" spans="1:5" s="1952" customFormat="1">
      <c r="A285" s="3114"/>
      <c r="C285" s="3115"/>
      <c r="E285" s="3114"/>
    </row>
    <row r="286" spans="1:5" s="1952" customFormat="1">
      <c r="A286" s="3114"/>
      <c r="C286" s="3115"/>
      <c r="E286" s="3114"/>
    </row>
    <row r="287" spans="1:5" s="1952" customFormat="1">
      <c r="A287" s="3114"/>
      <c r="C287" s="3115"/>
      <c r="E287" s="3114"/>
    </row>
    <row r="288" spans="1:5" s="1952" customFormat="1">
      <c r="A288" s="3114"/>
      <c r="C288" s="3115"/>
      <c r="E288" s="3114"/>
    </row>
    <row r="289" spans="1:5" s="1952" customFormat="1">
      <c r="A289" s="3114"/>
      <c r="C289" s="3115"/>
      <c r="E289" s="3114"/>
    </row>
    <row r="290" spans="1:5" s="1952" customFormat="1">
      <c r="A290" s="3114"/>
      <c r="C290" s="3115"/>
      <c r="E290" s="3114"/>
    </row>
    <row r="291" spans="1:5" s="1952" customFormat="1">
      <c r="A291" s="3114"/>
      <c r="C291" s="3115"/>
      <c r="E291" s="3114"/>
    </row>
    <row r="292" spans="1:5" s="1952" customFormat="1">
      <c r="A292" s="3114"/>
      <c r="C292" s="3115"/>
      <c r="E292" s="3114"/>
    </row>
    <row r="293" spans="1:5" s="1952" customFormat="1">
      <c r="A293" s="3114"/>
      <c r="C293" s="3115"/>
      <c r="E293" s="3114"/>
    </row>
    <row r="294" spans="1:5" s="1952" customFormat="1">
      <c r="A294" s="3114"/>
      <c r="C294" s="3115"/>
      <c r="E294" s="3114"/>
    </row>
    <row r="295" spans="1:5" s="1952" customFormat="1">
      <c r="A295" s="3114"/>
      <c r="C295" s="3115"/>
      <c r="E295" s="3114"/>
    </row>
    <row r="296" spans="1:5" s="1952" customFormat="1">
      <c r="A296" s="3114"/>
      <c r="C296" s="3115"/>
      <c r="E296" s="3114"/>
    </row>
    <row r="297" spans="1:5" s="1952" customFormat="1">
      <c r="A297" s="3114"/>
      <c r="C297" s="3115"/>
      <c r="E297" s="3114"/>
    </row>
    <row r="298" spans="1:5" s="1952" customFormat="1">
      <c r="A298" s="3114"/>
      <c r="C298" s="3115"/>
      <c r="E298" s="3114"/>
    </row>
    <row r="299" spans="1:5" s="1952" customFormat="1">
      <c r="A299" s="3114"/>
      <c r="C299" s="3115"/>
      <c r="E299" s="3114"/>
    </row>
    <row r="300" spans="1:5" s="1952" customFormat="1">
      <c r="A300" s="3114"/>
      <c r="C300" s="3115"/>
      <c r="E300" s="3114"/>
    </row>
    <row r="301" spans="1:5" s="1952" customFormat="1">
      <c r="A301" s="3114"/>
      <c r="C301" s="3115"/>
      <c r="E301" s="3114"/>
    </row>
    <row r="302" spans="1:5" s="1952" customFormat="1">
      <c r="A302" s="3114"/>
      <c r="C302" s="3115"/>
      <c r="E302" s="3114"/>
    </row>
    <row r="303" spans="1:5" s="1952" customFormat="1">
      <c r="A303" s="3114"/>
      <c r="C303" s="3115"/>
      <c r="E303" s="3114"/>
    </row>
    <row r="304" spans="1:5" s="1952" customFormat="1">
      <c r="A304" s="3114"/>
      <c r="C304" s="3115"/>
      <c r="E304" s="3114"/>
    </row>
    <row r="305" spans="1:5" s="1952" customFormat="1">
      <c r="A305" s="3114"/>
      <c r="C305" s="3115"/>
      <c r="E305" s="3114"/>
    </row>
    <row r="306" spans="1:5" s="1952" customFormat="1">
      <c r="A306" s="3114"/>
      <c r="C306" s="3115"/>
      <c r="E306" s="3114"/>
    </row>
    <row r="307" spans="1:5" s="1952" customFormat="1">
      <c r="A307" s="3114"/>
      <c r="C307" s="3115"/>
      <c r="E307" s="3114"/>
    </row>
    <row r="308" spans="1:5" s="1952" customFormat="1">
      <c r="A308" s="3114"/>
      <c r="C308" s="3115"/>
      <c r="E308" s="3114"/>
    </row>
    <row r="309" spans="1:5" s="1952" customFormat="1">
      <c r="A309" s="3114"/>
      <c r="C309" s="3115"/>
      <c r="E309" s="3114"/>
    </row>
    <row r="310" spans="1:5" s="1952" customFormat="1">
      <c r="A310" s="3114"/>
      <c r="C310" s="3115"/>
      <c r="E310" s="3114"/>
    </row>
    <row r="311" spans="1:5" s="1952" customFormat="1">
      <c r="A311" s="3114"/>
      <c r="C311" s="3115"/>
      <c r="E311" s="3114"/>
    </row>
    <row r="312" spans="1:5" s="1952" customFormat="1">
      <c r="A312" s="3114"/>
      <c r="C312" s="3115"/>
      <c r="E312" s="3114"/>
    </row>
    <row r="313" spans="1:5" s="1952" customFormat="1">
      <c r="A313" s="3114"/>
      <c r="C313" s="3115"/>
      <c r="E313" s="3114"/>
    </row>
    <row r="314" spans="1:5" s="1952" customFormat="1">
      <c r="A314" s="3114"/>
      <c r="C314" s="3115"/>
      <c r="E314" s="3114"/>
    </row>
    <row r="315" spans="1:5" s="1952" customFormat="1">
      <c r="A315" s="3114"/>
      <c r="C315" s="3115"/>
      <c r="E315" s="3114"/>
    </row>
    <row r="316" spans="1:5" s="1952" customFormat="1">
      <c r="A316" s="3114"/>
      <c r="C316" s="3115"/>
      <c r="E316" s="3114"/>
    </row>
    <row r="317" spans="1:5" s="1952" customFormat="1">
      <c r="A317" s="3114"/>
      <c r="C317" s="3115"/>
      <c r="E317" s="3114"/>
    </row>
    <row r="318" spans="1:5" s="1952" customFormat="1">
      <c r="A318" s="3114"/>
      <c r="C318" s="3115"/>
      <c r="E318" s="3114"/>
    </row>
    <row r="319" spans="1:5" s="1952" customFormat="1">
      <c r="A319" s="3114"/>
      <c r="C319" s="3115"/>
      <c r="E319" s="3114"/>
    </row>
    <row r="320" spans="1:5" s="1952" customFormat="1">
      <c r="A320" s="3114"/>
      <c r="C320" s="3115"/>
      <c r="E320" s="3114"/>
    </row>
    <row r="321" spans="1:5" s="1952" customFormat="1">
      <c r="A321" s="3114"/>
      <c r="C321" s="3115"/>
      <c r="E321" s="3114"/>
    </row>
    <row r="322" spans="1:5" s="1952" customFormat="1">
      <c r="A322" s="3114"/>
      <c r="C322" s="3115"/>
      <c r="E322" s="3114"/>
    </row>
    <row r="323" spans="1:5" s="1952" customFormat="1">
      <c r="A323" s="3114"/>
      <c r="C323" s="3115"/>
      <c r="E323" s="3114"/>
    </row>
    <row r="324" spans="1:5" s="1952" customFormat="1">
      <c r="A324" s="3114"/>
      <c r="C324" s="3115"/>
      <c r="E324" s="3114"/>
    </row>
    <row r="325" spans="1:5" s="1952" customFormat="1">
      <c r="A325" s="3114"/>
      <c r="C325" s="3115"/>
      <c r="E325" s="3114"/>
    </row>
    <row r="326" spans="1:5" s="1952" customFormat="1">
      <c r="A326" s="3114"/>
      <c r="C326" s="3115"/>
      <c r="E326" s="3114"/>
    </row>
    <row r="327" spans="1:5" s="1952" customFormat="1">
      <c r="A327" s="3114"/>
      <c r="C327" s="3115"/>
      <c r="E327" s="3114"/>
    </row>
    <row r="328" spans="1:5" s="1952" customFormat="1">
      <c r="A328" s="3114"/>
      <c r="C328" s="3115"/>
      <c r="E328" s="3114"/>
    </row>
    <row r="329" spans="1:5" s="1952" customFormat="1">
      <c r="A329" s="3114"/>
      <c r="C329" s="3115"/>
      <c r="E329" s="3114"/>
    </row>
    <row r="330" spans="1:5" s="1952" customFormat="1">
      <c r="A330" s="3114"/>
      <c r="C330" s="3115"/>
      <c r="E330" s="3114"/>
    </row>
    <row r="331" spans="1:5" s="1952" customFormat="1">
      <c r="A331" s="3114"/>
      <c r="C331" s="3115"/>
      <c r="E331" s="3114"/>
    </row>
    <row r="332" spans="1:5" s="1952" customFormat="1">
      <c r="A332" s="3114"/>
      <c r="C332" s="3115"/>
      <c r="E332" s="3114"/>
    </row>
    <row r="333" spans="1:5" s="1952" customFormat="1">
      <c r="A333" s="3114"/>
      <c r="C333" s="3115"/>
      <c r="E333" s="3114"/>
    </row>
    <row r="334" spans="1:5" s="1952" customFormat="1">
      <c r="A334" s="3114"/>
      <c r="C334" s="3115"/>
      <c r="E334" s="3114"/>
    </row>
    <row r="335" spans="1:5" s="1952" customFormat="1">
      <c r="A335" s="3114"/>
      <c r="C335" s="3115"/>
      <c r="E335" s="3114"/>
    </row>
    <row r="336" spans="1:5" s="1952" customFormat="1">
      <c r="A336" s="3114"/>
      <c r="C336" s="3115"/>
      <c r="E336" s="3114"/>
    </row>
    <row r="337" spans="1:5" s="1952" customFormat="1">
      <c r="A337" s="3114"/>
      <c r="C337" s="3115"/>
      <c r="E337" s="3114"/>
    </row>
    <row r="338" spans="1:5" s="1952" customFormat="1">
      <c r="A338" s="3114"/>
      <c r="C338" s="3115"/>
      <c r="E338" s="3114"/>
    </row>
    <row r="339" spans="1:5" s="1952" customFormat="1">
      <c r="A339" s="3114"/>
      <c r="C339" s="3115"/>
      <c r="E339" s="3114"/>
    </row>
    <row r="340" spans="1:5" s="1952" customFormat="1">
      <c r="A340" s="3114"/>
      <c r="C340" s="3115"/>
      <c r="E340" s="3114"/>
    </row>
    <row r="341" spans="1:5" s="1952" customFormat="1">
      <c r="A341" s="3114"/>
      <c r="C341" s="3115"/>
      <c r="E341" s="3114"/>
    </row>
    <row r="342" spans="1:5" s="1952" customFormat="1">
      <c r="A342" s="3114"/>
      <c r="C342" s="3115"/>
      <c r="E342" s="3114"/>
    </row>
    <row r="343" spans="1:5" s="1952" customFormat="1">
      <c r="A343" s="3114"/>
      <c r="C343" s="3115"/>
      <c r="E343" s="3114"/>
    </row>
    <row r="344" spans="1:5" s="1952" customFormat="1">
      <c r="A344" s="3114"/>
      <c r="C344" s="3115"/>
      <c r="E344" s="3114"/>
    </row>
    <row r="345" spans="1:5" s="1952" customFormat="1">
      <c r="A345" s="3114"/>
      <c r="C345" s="3115"/>
      <c r="E345" s="3114"/>
    </row>
    <row r="346" spans="1:5" s="1952" customFormat="1">
      <c r="A346" s="3114"/>
      <c r="C346" s="3115"/>
      <c r="E346" s="3114"/>
    </row>
    <row r="347" spans="1:5" s="1952" customFormat="1">
      <c r="A347" s="3114"/>
      <c r="C347" s="3115"/>
      <c r="E347" s="3114"/>
    </row>
    <row r="348" spans="1:5" s="1952" customFormat="1">
      <c r="A348" s="3114"/>
      <c r="C348" s="3115"/>
      <c r="E348" s="3114"/>
    </row>
    <row r="349" spans="1:5" s="1952" customFormat="1">
      <c r="A349" s="3114"/>
      <c r="C349" s="3115"/>
      <c r="E349" s="3114"/>
    </row>
    <row r="350" spans="1:5" s="1952" customFormat="1">
      <c r="A350" s="3114"/>
      <c r="C350" s="3115"/>
      <c r="E350" s="3114"/>
    </row>
    <row r="351" spans="1:5" s="1952" customFormat="1">
      <c r="A351" s="3114"/>
      <c r="C351" s="3115"/>
      <c r="E351" s="3114"/>
    </row>
    <row r="352" spans="1:5" s="1952" customFormat="1">
      <c r="A352" s="3114"/>
      <c r="C352" s="3115"/>
      <c r="E352" s="3114"/>
    </row>
    <row r="353" spans="1:5" s="1952" customFormat="1">
      <c r="A353" s="3114"/>
      <c r="C353" s="3115"/>
      <c r="E353" s="3114"/>
    </row>
    <row r="354" spans="1:5" s="1952" customFormat="1">
      <c r="A354" s="3114"/>
      <c r="C354" s="3115"/>
      <c r="E354" s="3114"/>
    </row>
    <row r="355" spans="1:5" s="1952" customFormat="1">
      <c r="A355" s="3114"/>
      <c r="C355" s="3115"/>
      <c r="E355" s="3114"/>
    </row>
    <row r="356" spans="1:5" s="1952" customFormat="1">
      <c r="A356" s="3114"/>
      <c r="C356" s="3115"/>
      <c r="E356" s="3114"/>
    </row>
    <row r="357" spans="1:5" s="1952" customFormat="1">
      <c r="A357" s="3114"/>
      <c r="C357" s="3115"/>
      <c r="E357" s="3114"/>
    </row>
    <row r="358" spans="1:5" s="1952" customFormat="1">
      <c r="A358" s="3114"/>
      <c r="C358" s="3115"/>
      <c r="E358" s="3114"/>
    </row>
    <row r="359" spans="1:5" s="1952" customFormat="1">
      <c r="A359" s="3114"/>
      <c r="C359" s="3115"/>
      <c r="E359" s="3114"/>
    </row>
    <row r="360" spans="1:5" s="1952" customFormat="1">
      <c r="A360" s="3114"/>
      <c r="C360" s="3115"/>
      <c r="E360" s="3114"/>
    </row>
    <row r="361" spans="1:5" s="1952" customFormat="1">
      <c r="A361" s="3114"/>
      <c r="C361" s="3115"/>
      <c r="E361" s="3114"/>
    </row>
    <row r="362" spans="1:5" s="1952" customFormat="1">
      <c r="A362" s="3114"/>
      <c r="C362" s="3115"/>
      <c r="E362" s="3114"/>
    </row>
    <row r="363" spans="1:5" s="1952" customFormat="1">
      <c r="A363" s="3114"/>
      <c r="C363" s="3115"/>
      <c r="E363" s="3114"/>
    </row>
    <row r="364" spans="1:5" s="1952" customFormat="1">
      <c r="A364" s="3114"/>
      <c r="C364" s="3115"/>
      <c r="E364" s="3114"/>
    </row>
    <row r="365" spans="1:5" s="1952" customFormat="1">
      <c r="A365" s="3114"/>
      <c r="C365" s="3115"/>
      <c r="E365" s="3114"/>
    </row>
    <row r="366" spans="1:5" s="1952" customFormat="1">
      <c r="A366" s="3114"/>
      <c r="C366" s="3115"/>
      <c r="E366" s="3114"/>
    </row>
    <row r="367" spans="1:5" s="1952" customFormat="1">
      <c r="A367" s="3114"/>
      <c r="C367" s="3115"/>
      <c r="E367" s="3114"/>
    </row>
    <row r="368" spans="1:5" s="1952" customFormat="1">
      <c r="A368" s="3114"/>
      <c r="C368" s="3115"/>
      <c r="E368" s="3114"/>
    </row>
    <row r="369" spans="1:5" s="1952" customFormat="1">
      <c r="A369" s="3114"/>
      <c r="C369" s="3115"/>
      <c r="E369" s="3114"/>
    </row>
    <row r="370" spans="1:5" s="1952" customFormat="1">
      <c r="A370" s="3114"/>
      <c r="C370" s="3115"/>
      <c r="E370" s="3114"/>
    </row>
    <row r="371" spans="1:5" s="1952" customFormat="1">
      <c r="A371" s="3114"/>
      <c r="C371" s="3115"/>
      <c r="E371" s="3114"/>
    </row>
    <row r="372" spans="1:5" s="1952" customFormat="1">
      <c r="A372" s="3114"/>
      <c r="C372" s="3115"/>
      <c r="E372" s="3114"/>
    </row>
    <row r="373" spans="1:5" s="1952" customFormat="1">
      <c r="A373" s="3114"/>
      <c r="C373" s="3115"/>
      <c r="E373" s="3114"/>
    </row>
    <row r="374" spans="1:5" s="1952" customFormat="1">
      <c r="A374" s="3114"/>
      <c r="C374" s="3115"/>
      <c r="E374" s="3114"/>
    </row>
    <row r="375" spans="1:5" s="1952" customFormat="1">
      <c r="A375" s="3114"/>
      <c r="C375" s="3115"/>
      <c r="E375" s="3114"/>
    </row>
    <row r="376" spans="1:5" s="1952" customFormat="1">
      <c r="A376" s="3114"/>
      <c r="C376" s="3115"/>
      <c r="E376" s="3114"/>
    </row>
    <row r="377" spans="1:5" s="1952" customFormat="1">
      <c r="A377" s="3114"/>
      <c r="C377" s="3115"/>
      <c r="E377" s="3114"/>
    </row>
    <row r="378" spans="1:5" s="1952" customFormat="1">
      <c r="A378" s="3114"/>
      <c r="C378" s="3115"/>
      <c r="E378" s="3114"/>
    </row>
    <row r="379" spans="1:5" s="1952" customFormat="1">
      <c r="A379" s="3114"/>
      <c r="C379" s="3115"/>
      <c r="E379" s="3114"/>
    </row>
    <row r="380" spans="1:5" s="1952" customFormat="1">
      <c r="A380" s="3114"/>
      <c r="C380" s="3115"/>
      <c r="E380" s="3114"/>
    </row>
    <row r="381" spans="1:5" s="1952" customFormat="1">
      <c r="A381" s="3114"/>
      <c r="C381" s="3115"/>
      <c r="E381" s="3114"/>
    </row>
    <row r="382" spans="1:5" s="1952" customFormat="1">
      <c r="A382" s="3114"/>
      <c r="C382" s="3115"/>
      <c r="E382" s="3114"/>
    </row>
    <row r="383" spans="1:5" s="1952" customFormat="1">
      <c r="A383" s="3114"/>
      <c r="C383" s="3115"/>
      <c r="E383" s="3114"/>
    </row>
    <row r="384" spans="1:5" s="1952" customFormat="1">
      <c r="A384" s="3114"/>
      <c r="C384" s="3115"/>
      <c r="E384" s="3114"/>
    </row>
    <row r="385" spans="1:5" s="1952" customFormat="1">
      <c r="A385" s="3114"/>
      <c r="C385" s="3115"/>
      <c r="E385" s="3114"/>
    </row>
    <row r="386" spans="1:5" s="1952" customFormat="1">
      <c r="A386" s="3114"/>
      <c r="C386" s="3115"/>
      <c r="E386" s="3114"/>
    </row>
    <row r="387" spans="1:5" s="1952" customFormat="1">
      <c r="A387" s="3114"/>
      <c r="C387" s="3115"/>
      <c r="E387" s="3114"/>
    </row>
    <row r="388" spans="1:5" s="1952" customFormat="1">
      <c r="A388" s="3114"/>
      <c r="C388" s="3115"/>
      <c r="E388" s="3114"/>
    </row>
    <row r="389" spans="1:5" s="1952" customFormat="1">
      <c r="A389" s="3114"/>
      <c r="C389" s="3115"/>
      <c r="E389" s="3114"/>
    </row>
    <row r="390" spans="1:5" s="1952" customFormat="1">
      <c r="A390" s="3114"/>
      <c r="C390" s="3115"/>
      <c r="E390" s="3114"/>
    </row>
    <row r="391" spans="1:5" s="1952" customFormat="1">
      <c r="A391" s="3114"/>
      <c r="C391" s="3115"/>
      <c r="E391" s="3114"/>
    </row>
    <row r="392" spans="1:5" s="1952" customFormat="1">
      <c r="A392" s="3114"/>
      <c r="C392" s="3115"/>
      <c r="E392" s="3114"/>
    </row>
    <row r="393" spans="1:5" s="1952" customFormat="1">
      <c r="A393" s="3114"/>
      <c r="C393" s="3115"/>
      <c r="E393" s="3114"/>
    </row>
    <row r="394" spans="1:5" s="1952" customFormat="1">
      <c r="A394" s="3114"/>
      <c r="C394" s="3115"/>
      <c r="E394" s="3114"/>
    </row>
    <row r="395" spans="1:5" s="1952" customFormat="1">
      <c r="A395" s="3114"/>
      <c r="C395" s="3115"/>
      <c r="E395" s="3114"/>
    </row>
    <row r="396" spans="1:5" s="1952" customFormat="1">
      <c r="A396" s="3114"/>
      <c r="C396" s="3115"/>
      <c r="E396" s="3114"/>
    </row>
    <row r="397" spans="1:5" s="1952" customFormat="1">
      <c r="A397" s="3114"/>
      <c r="C397" s="3115"/>
      <c r="E397" s="3114"/>
    </row>
    <row r="398" spans="1:5" s="1952" customFormat="1">
      <c r="A398" s="3114"/>
      <c r="C398" s="3115"/>
      <c r="E398" s="3114"/>
    </row>
    <row r="399" spans="1:5" s="1952" customFormat="1">
      <c r="A399" s="3114"/>
      <c r="C399" s="3115"/>
      <c r="E399" s="3114"/>
    </row>
    <row r="400" spans="1:5" s="1952" customFormat="1">
      <c r="A400" s="3114"/>
      <c r="C400" s="3115"/>
      <c r="E400" s="3114"/>
    </row>
    <row r="401" spans="1:5" s="1952" customFormat="1">
      <c r="A401" s="3114"/>
      <c r="C401" s="3115"/>
      <c r="E401" s="3114"/>
    </row>
    <row r="402" spans="1:5" s="1952" customFormat="1">
      <c r="A402" s="3114"/>
      <c r="C402" s="3115"/>
      <c r="E402" s="3114"/>
    </row>
    <row r="403" spans="1:5" s="1952" customFormat="1">
      <c r="A403" s="3114"/>
      <c r="C403" s="3115"/>
      <c r="E403" s="3114"/>
    </row>
    <row r="404" spans="1:5" s="1952" customFormat="1">
      <c r="A404" s="3114"/>
      <c r="C404" s="3115"/>
      <c r="E404" s="3114"/>
    </row>
    <row r="405" spans="1:5" s="1952" customFormat="1">
      <c r="A405" s="3114"/>
      <c r="C405" s="3115"/>
      <c r="E405" s="3114"/>
    </row>
    <row r="406" spans="1:5" s="1952" customFormat="1">
      <c r="A406" s="3114"/>
      <c r="C406" s="3115"/>
      <c r="E406" s="3114"/>
    </row>
    <row r="407" spans="1:5" s="1952" customFormat="1">
      <c r="A407" s="3114"/>
      <c r="C407" s="3115"/>
      <c r="E407" s="3114"/>
    </row>
    <row r="408" spans="1:5" s="1952" customFormat="1">
      <c r="A408" s="3114"/>
      <c r="C408" s="3115"/>
      <c r="E408" s="3114"/>
    </row>
    <row r="409" spans="1:5" s="1952" customFormat="1">
      <c r="A409" s="3114"/>
      <c r="C409" s="3115"/>
      <c r="E409" s="3114"/>
    </row>
    <row r="410" spans="1:5" s="1952" customFormat="1">
      <c r="A410" s="3114"/>
      <c r="C410" s="3115"/>
      <c r="E410" s="3114"/>
    </row>
    <row r="411" spans="1:5" s="1952" customFormat="1">
      <c r="A411" s="3114"/>
      <c r="C411" s="3115"/>
      <c r="E411" s="3114"/>
    </row>
    <row r="412" spans="1:5" s="1952" customFormat="1">
      <c r="A412" s="3114"/>
      <c r="C412" s="3115"/>
      <c r="E412" s="3114"/>
    </row>
    <row r="413" spans="1:5" s="1952" customFormat="1">
      <c r="A413" s="3114"/>
      <c r="C413" s="3115"/>
      <c r="E413" s="3114"/>
    </row>
    <row r="414" spans="1:5" s="1952" customFormat="1">
      <c r="A414" s="3114"/>
      <c r="C414" s="3115"/>
      <c r="E414" s="3114"/>
    </row>
    <row r="415" spans="1:5" s="1952" customFormat="1">
      <c r="A415" s="3114"/>
      <c r="C415" s="3115"/>
      <c r="E415" s="3114"/>
    </row>
    <row r="416" spans="1:5" s="1952" customFormat="1">
      <c r="A416" s="3114"/>
      <c r="C416" s="3115"/>
      <c r="E416" s="3114"/>
    </row>
    <row r="417" spans="1:5" s="1952" customFormat="1">
      <c r="A417" s="3114"/>
      <c r="C417" s="3115"/>
      <c r="E417" s="3114"/>
    </row>
    <row r="418" spans="1:5" s="1952" customFormat="1">
      <c r="A418" s="3114"/>
      <c r="C418" s="3115"/>
      <c r="E418" s="3114"/>
    </row>
    <row r="419" spans="1:5" s="1952" customFormat="1">
      <c r="A419" s="3114"/>
      <c r="C419" s="3115"/>
      <c r="E419" s="3114"/>
    </row>
    <row r="420" spans="1:5" s="1952" customFormat="1">
      <c r="A420" s="3114"/>
      <c r="C420" s="3115"/>
      <c r="E420" s="3114"/>
    </row>
    <row r="421" spans="1:5" s="1952" customFormat="1">
      <c r="A421" s="3114"/>
      <c r="C421" s="3115"/>
      <c r="E421" s="3114"/>
    </row>
    <row r="422" spans="1:5" s="1952" customFormat="1">
      <c r="A422" s="3114"/>
      <c r="C422" s="3115"/>
      <c r="E422" s="3114"/>
    </row>
    <row r="423" spans="1:5" s="1952" customFormat="1">
      <c r="A423" s="3114"/>
      <c r="C423" s="3115"/>
      <c r="E423" s="3114"/>
    </row>
    <row r="424" spans="1:5" s="1952" customFormat="1">
      <c r="A424" s="3114"/>
      <c r="C424" s="3115"/>
      <c r="E424" s="3114"/>
    </row>
    <row r="425" spans="1:5" s="1952" customFormat="1">
      <c r="A425" s="3114"/>
      <c r="C425" s="3115"/>
      <c r="E425" s="3114"/>
    </row>
    <row r="426" spans="1:5" s="1952" customFormat="1">
      <c r="A426" s="3114"/>
      <c r="C426" s="3115"/>
      <c r="E426" s="3114"/>
    </row>
    <row r="427" spans="1:5" s="1952" customFormat="1">
      <c r="A427" s="3114"/>
      <c r="C427" s="3115"/>
      <c r="E427" s="3114"/>
    </row>
    <row r="428" spans="1:5" s="1952" customFormat="1">
      <c r="A428" s="3114"/>
      <c r="C428" s="3115"/>
      <c r="E428" s="3114"/>
    </row>
    <row r="429" spans="1:5" s="1952" customFormat="1">
      <c r="A429" s="3114"/>
      <c r="C429" s="3115"/>
      <c r="E429" s="3114"/>
    </row>
    <row r="430" spans="1:5" s="1952" customFormat="1">
      <c r="A430" s="3114"/>
      <c r="C430" s="3115"/>
      <c r="E430" s="3114"/>
    </row>
    <row r="431" spans="1:5" s="1952" customFormat="1">
      <c r="A431" s="3114"/>
      <c r="C431" s="3115"/>
      <c r="E431" s="3114"/>
    </row>
    <row r="432" spans="1:5" s="1952" customFormat="1">
      <c r="A432" s="3114"/>
      <c r="C432" s="3115"/>
      <c r="E432" s="3114"/>
    </row>
    <row r="433" spans="1:5" s="1952" customFormat="1">
      <c r="A433" s="3114"/>
      <c r="C433" s="3115"/>
      <c r="E433" s="3114"/>
    </row>
    <row r="434" spans="1:5" s="1952" customFormat="1">
      <c r="A434" s="3114"/>
      <c r="C434" s="3115"/>
      <c r="E434" s="3114"/>
    </row>
    <row r="435" spans="1:5" s="1952" customFormat="1">
      <c r="A435" s="3114"/>
      <c r="C435" s="3115"/>
      <c r="E435" s="3114"/>
    </row>
    <row r="436" spans="1:5" s="1952" customFormat="1">
      <c r="A436" s="3114"/>
      <c r="C436" s="3115"/>
      <c r="E436" s="3114"/>
    </row>
    <row r="437" spans="1:5" s="1952" customFormat="1">
      <c r="A437" s="3114"/>
      <c r="C437" s="3115"/>
      <c r="E437" s="3114"/>
    </row>
    <row r="438" spans="1:5" s="1952" customFormat="1">
      <c r="A438" s="3114"/>
      <c r="C438" s="3115"/>
      <c r="E438" s="3114"/>
    </row>
    <row r="439" spans="1:5" s="1952" customFormat="1">
      <c r="A439" s="3114"/>
      <c r="C439" s="3115"/>
      <c r="E439" s="3114"/>
    </row>
    <row r="440" spans="1:5" s="1952" customFormat="1">
      <c r="A440" s="3114"/>
      <c r="C440" s="3115"/>
      <c r="E440" s="3114"/>
    </row>
    <row r="441" spans="1:5" s="1952" customFormat="1">
      <c r="A441" s="3114"/>
      <c r="C441" s="3115"/>
      <c r="E441" s="3114"/>
    </row>
    <row r="442" spans="1:5" s="1952" customFormat="1">
      <c r="A442" s="3114"/>
      <c r="C442" s="3115"/>
      <c r="E442" s="3114"/>
    </row>
    <row r="443" spans="1:5" s="1952" customFormat="1">
      <c r="A443" s="3114"/>
      <c r="C443" s="3115"/>
      <c r="E443" s="3114"/>
    </row>
    <row r="444" spans="1:5" s="1952" customFormat="1">
      <c r="A444" s="3114"/>
      <c r="C444" s="3115"/>
      <c r="E444" s="3114"/>
    </row>
    <row r="445" spans="1:5" s="1952" customFormat="1">
      <c r="A445" s="3114"/>
      <c r="C445" s="3115"/>
      <c r="E445" s="3114"/>
    </row>
    <row r="446" spans="1:5" s="1952" customFormat="1">
      <c r="A446" s="3114"/>
      <c r="C446" s="3115"/>
      <c r="E446" s="3114"/>
    </row>
    <row r="447" spans="1:5" s="1952" customFormat="1">
      <c r="A447" s="3114"/>
      <c r="C447" s="3115"/>
      <c r="E447" s="3114"/>
    </row>
    <row r="448" spans="1:5" s="1952" customFormat="1">
      <c r="A448" s="3114"/>
      <c r="C448" s="3115"/>
      <c r="E448" s="3114"/>
    </row>
    <row r="449" spans="1:5" s="1952" customFormat="1">
      <c r="A449" s="3114"/>
      <c r="C449" s="3115"/>
      <c r="E449" s="3114"/>
    </row>
    <row r="450" spans="1:5" s="1952" customFormat="1">
      <c r="A450" s="3114"/>
      <c r="C450" s="3115"/>
      <c r="E450" s="3114"/>
    </row>
    <row r="451" spans="1:5" s="1952" customFormat="1">
      <c r="A451" s="3114"/>
      <c r="C451" s="3115"/>
      <c r="E451" s="3114"/>
    </row>
    <row r="452" spans="1:5" s="1952" customFormat="1">
      <c r="A452" s="3114"/>
      <c r="C452" s="3115"/>
      <c r="E452" s="3114"/>
    </row>
    <row r="453" spans="1:5" s="1952" customFormat="1">
      <c r="A453" s="3114"/>
      <c r="C453" s="3115"/>
      <c r="E453" s="3114"/>
    </row>
    <row r="454" spans="1:5" s="1952" customFormat="1">
      <c r="A454" s="3114"/>
      <c r="C454" s="3115"/>
      <c r="E454" s="3114"/>
    </row>
    <row r="455" spans="1:5" s="1952" customFormat="1">
      <c r="A455" s="3114"/>
      <c r="C455" s="3115"/>
      <c r="E455" s="3114"/>
    </row>
    <row r="456" spans="1:5" s="1952" customFormat="1">
      <c r="A456" s="3114"/>
      <c r="C456" s="3115"/>
      <c r="E456" s="3114"/>
    </row>
    <row r="457" spans="1:5" s="1952" customFormat="1">
      <c r="A457" s="3114"/>
      <c r="C457" s="3115"/>
      <c r="E457" s="3114"/>
    </row>
    <row r="458" spans="1:5" s="1952" customFormat="1">
      <c r="A458" s="3114"/>
      <c r="C458" s="3115"/>
      <c r="E458" s="3114"/>
    </row>
    <row r="459" spans="1:5" s="1952" customFormat="1">
      <c r="A459" s="3114"/>
      <c r="C459" s="3115"/>
      <c r="E459" s="3114"/>
    </row>
    <row r="460" spans="1:5" s="1952" customFormat="1">
      <c r="A460" s="3114"/>
      <c r="C460" s="3115"/>
      <c r="E460" s="3114"/>
    </row>
    <row r="461" spans="1:5" s="1952" customFormat="1">
      <c r="A461" s="3114"/>
      <c r="C461" s="3115"/>
      <c r="E461" s="3114"/>
    </row>
    <row r="462" spans="1:5" s="1952" customFormat="1">
      <c r="A462" s="3114"/>
      <c r="C462" s="3115"/>
      <c r="E462" s="3114"/>
    </row>
    <row r="463" spans="1:5" s="1952" customFormat="1">
      <c r="A463" s="3114"/>
      <c r="C463" s="3115"/>
      <c r="E463" s="3114"/>
    </row>
    <row r="464" spans="1:5" s="1952" customFormat="1">
      <c r="A464" s="3114"/>
      <c r="C464" s="3115"/>
      <c r="E464" s="3114"/>
    </row>
    <row r="465" spans="1:5" s="1952" customFormat="1">
      <c r="A465" s="3114"/>
      <c r="C465" s="3115"/>
      <c r="E465" s="3114"/>
    </row>
    <row r="466" spans="1:5" s="1952" customFormat="1">
      <c r="A466" s="3114"/>
      <c r="C466" s="3115"/>
      <c r="E466" s="3114"/>
    </row>
    <row r="467" spans="1:5" s="1952" customFormat="1">
      <c r="A467" s="3114"/>
      <c r="C467" s="3115"/>
      <c r="E467" s="3114"/>
    </row>
    <row r="468" spans="1:5" s="1952" customFormat="1">
      <c r="A468" s="3114"/>
      <c r="C468" s="3115"/>
      <c r="E468" s="3114"/>
    </row>
    <row r="469" spans="1:5" s="1952" customFormat="1">
      <c r="A469" s="3114"/>
      <c r="C469" s="3115"/>
      <c r="E469" s="3114"/>
    </row>
    <row r="470" spans="1:5" s="1952" customFormat="1">
      <c r="A470" s="3114"/>
      <c r="C470" s="3115"/>
      <c r="E470" s="3114"/>
    </row>
    <row r="471" spans="1:5" s="1952" customFormat="1">
      <c r="A471" s="3114"/>
      <c r="C471" s="3115"/>
      <c r="E471" s="3114"/>
    </row>
    <row r="472" spans="1:5" s="1952" customFormat="1">
      <c r="A472" s="3114"/>
      <c r="C472" s="3115"/>
      <c r="E472" s="3114"/>
    </row>
    <row r="473" spans="1:5" s="1952" customFormat="1">
      <c r="A473" s="3114"/>
      <c r="C473" s="3115"/>
      <c r="E473" s="3114"/>
    </row>
    <row r="474" spans="1:5" s="1952" customFormat="1">
      <c r="A474" s="3114"/>
      <c r="C474" s="3115"/>
      <c r="E474" s="3114"/>
    </row>
    <row r="475" spans="1:5" s="1952" customFormat="1">
      <c r="A475" s="3114"/>
      <c r="C475" s="3115"/>
      <c r="E475" s="3114"/>
    </row>
    <row r="476" spans="1:5" s="1952" customFormat="1">
      <c r="A476" s="3114"/>
      <c r="C476" s="3115"/>
      <c r="E476" s="3114"/>
    </row>
    <row r="477" spans="1:5" s="1952" customFormat="1">
      <c r="A477" s="3114"/>
      <c r="C477" s="3115"/>
      <c r="E477" s="3114"/>
    </row>
    <row r="478" spans="1:5" s="1952" customFormat="1">
      <c r="A478" s="3114"/>
      <c r="C478" s="3115"/>
      <c r="E478" s="3114"/>
    </row>
    <row r="479" spans="1:5" s="1952" customFormat="1">
      <c r="A479" s="3114"/>
      <c r="C479" s="3115"/>
      <c r="E479" s="3114"/>
    </row>
    <row r="480" spans="1:5" s="1952" customFormat="1">
      <c r="A480" s="3114"/>
      <c r="C480" s="3115"/>
      <c r="E480" s="3114"/>
    </row>
    <row r="481" spans="1:5" s="1952" customFormat="1">
      <c r="A481" s="3114"/>
      <c r="C481" s="3115"/>
      <c r="E481" s="3114"/>
    </row>
    <row r="482" spans="1:5" s="1952" customFormat="1">
      <c r="A482" s="3114"/>
      <c r="C482" s="3115"/>
      <c r="E482" s="3114"/>
    </row>
    <row r="483" spans="1:5" s="1952" customFormat="1">
      <c r="A483" s="3114"/>
      <c r="C483" s="3115"/>
      <c r="E483" s="3114"/>
    </row>
    <row r="484" spans="1:5" s="1952" customFormat="1">
      <c r="A484" s="3114"/>
      <c r="C484" s="3115"/>
      <c r="E484" s="3114"/>
    </row>
    <row r="485" spans="1:5" s="1952" customFormat="1">
      <c r="A485" s="3114"/>
      <c r="C485" s="3115"/>
      <c r="E485" s="3114"/>
    </row>
    <row r="486" spans="1:5" s="1952" customFormat="1">
      <c r="A486" s="3114"/>
      <c r="C486" s="3115"/>
      <c r="E486" s="3114"/>
    </row>
    <row r="487" spans="1:5" s="1952" customFormat="1">
      <c r="A487" s="3114"/>
      <c r="C487" s="3115"/>
      <c r="E487" s="3114"/>
    </row>
    <row r="488" spans="1:5" s="1952" customFormat="1">
      <c r="A488" s="3114"/>
      <c r="C488" s="3115"/>
      <c r="E488" s="3114"/>
    </row>
    <row r="489" spans="1:5" s="1952" customFormat="1">
      <c r="A489" s="3114"/>
      <c r="C489" s="3115"/>
      <c r="E489" s="3114"/>
    </row>
    <row r="490" spans="1:5" s="1952" customFormat="1">
      <c r="A490" s="3114"/>
      <c r="C490" s="3115"/>
      <c r="E490" s="311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640625" defaultRowHeight="13.2"/>
  <cols>
    <col min="1" max="1" width="10.109375" style="1961" customWidth="1"/>
    <col min="2" max="2" width="25.77734375" style="1951" customWidth="1"/>
    <col min="3" max="3" width="11.5546875" style="1962" customWidth="1"/>
    <col min="4" max="4" width="12" style="1951" customWidth="1"/>
    <col min="5" max="5" width="9.44140625" style="1961" customWidth="1"/>
    <col min="6" max="6" width="10.109375" style="1951" customWidth="1"/>
    <col min="7" max="7" width="9.44140625" style="1951" customWidth="1"/>
    <col min="8" max="8" width="10" style="1951" customWidth="1"/>
    <col min="9" max="11" width="9.44140625" style="1951" customWidth="1"/>
    <col min="12" max="12" width="9" style="1952" customWidth="1"/>
    <col min="13" max="13" width="10.44140625" style="1952" bestFit="1" customWidth="1"/>
    <col min="14" max="26" width="9" style="1952" customWidth="1"/>
    <col min="27" max="254" width="9" style="1951" customWidth="1"/>
    <col min="255" max="16384" width="6.6640625" style="1951"/>
  </cols>
  <sheetData>
    <row r="1" spans="1:41" s="1879" customFormat="1" ht="21">
      <c r="A1" s="415" t="s">
        <v>460</v>
      </c>
      <c r="B1" s="2449"/>
      <c r="C1" s="1941"/>
      <c r="D1" s="1941"/>
      <c r="E1" s="1941"/>
      <c r="F1" s="1941"/>
      <c r="G1" s="1941"/>
      <c r="H1" s="1941"/>
      <c r="I1" s="1941"/>
      <c r="J1" s="1941"/>
      <c r="K1" s="416">
        <f>MATCH(B1,'数据-取费表'!A6:A16,0)+5</f>
        <v>6</v>
      </c>
      <c r="L1" s="290"/>
      <c r="M1" s="290"/>
      <c r="N1" s="290"/>
      <c r="O1" s="290"/>
      <c r="P1" s="290"/>
      <c r="Q1" s="290"/>
      <c r="R1" s="290"/>
      <c r="S1" s="290"/>
      <c r="T1" s="290"/>
      <c r="U1" s="290"/>
      <c r="V1" s="290"/>
      <c r="W1" s="290"/>
      <c r="X1" s="290"/>
      <c r="Y1" s="290"/>
      <c r="Z1" s="290"/>
    </row>
    <row r="2" spans="1:41" s="1879" customFormat="1" ht="18" customHeight="1">
      <c r="A2" s="417" t="s">
        <v>461</v>
      </c>
      <c r="B2" s="418" t="e">
        <f ca="1">C27</f>
        <v>#DIV/0!</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1484</v>
      </c>
      <c r="B3" s="419" t="e">
        <f ca="1">ROUND(B2*10000/IF(B1="",'数据-汇总表'!E3,INDIRECT("'数据-取费表'!K"&amp;$K$1)),0)</f>
        <v>#DIV/0!</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t="e">
        <f ca="1">ROUND(B2*10000/IF(B1="",'数据-汇总表'!D3,INDIRECT("'数据-取费表'!R"&amp;$K$1)),0)</f>
        <v>#DIV/0!</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t="e">
        <f ca="1">ROUND(B2/(IF(B1="",'数据-汇总表'!D3,INDIRECT("'数据-取费表'!R"&amp;$K$1))/666.67),0)</f>
        <v>#DIV/0!</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2369</v>
      </c>
      <c r="B6" s="427"/>
      <c r="C6" s="1508">
        <f>SUM(C10:K10)</f>
        <v>0</v>
      </c>
      <c r="D6" s="1946"/>
      <c r="E6" s="1946"/>
      <c r="F6" s="1946"/>
      <c r="G6" s="1946"/>
      <c r="H6" s="1946"/>
      <c r="I6" s="1946"/>
      <c r="J6" s="1946"/>
      <c r="K6" s="1947"/>
      <c r="L6" s="3106"/>
      <c r="M6" s="3106"/>
      <c r="N6" s="3106"/>
      <c r="O6" s="3106"/>
      <c r="P6" s="3106"/>
      <c r="Q6" s="3106"/>
      <c r="R6" s="3106"/>
      <c r="S6" s="3106"/>
      <c r="T6" s="3106"/>
      <c r="U6" s="3106"/>
      <c r="V6" s="3106"/>
      <c r="W6" s="3106"/>
      <c r="X6" s="3106"/>
      <c r="Y6" s="3106"/>
      <c r="Z6" s="3106"/>
    </row>
    <row r="7" spans="1:41" s="1950" customFormat="1" ht="14.4">
      <c r="A7" s="428" t="s">
        <v>464</v>
      </c>
      <c r="B7" s="429" t="s">
        <v>465</v>
      </c>
      <c r="C7" s="3224"/>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1645</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1647</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1664</v>
      </c>
      <c r="B11" s="1506"/>
      <c r="C11" s="1506"/>
      <c r="D11" s="1506"/>
      <c r="E11" s="1506"/>
      <c r="F11" s="1506"/>
      <c r="G11" s="1506"/>
      <c r="H11" s="1506"/>
      <c r="I11" s="1506"/>
      <c r="J11" s="1506"/>
      <c r="K11" s="1507"/>
      <c r="L11" s="3106"/>
      <c r="M11" s="3106"/>
      <c r="N11" s="3106"/>
      <c r="O11" s="3106"/>
      <c r="P11" s="3106"/>
      <c r="Q11" s="3106"/>
      <c r="R11" s="3106"/>
      <c r="S11" s="3106"/>
      <c r="T11" s="3106"/>
      <c r="U11" s="3106"/>
      <c r="V11" s="3106"/>
      <c r="W11" s="3106"/>
      <c r="X11" s="3106"/>
      <c r="Y11" s="3106"/>
      <c r="Z11" s="3106"/>
    </row>
    <row r="12" spans="1:41" s="1922" customFormat="1" ht="13.5" customHeight="1">
      <c r="A12" s="428" t="s">
        <v>464</v>
      </c>
      <c r="B12" s="437" t="s">
        <v>465</v>
      </c>
      <c r="C12" s="438" t="s">
        <v>469</v>
      </c>
      <c r="D12" s="439" t="s">
        <v>470</v>
      </c>
      <c r="E12" s="439" t="s">
        <v>471</v>
      </c>
      <c r="F12" s="439" t="s">
        <v>472</v>
      </c>
      <c r="G12" s="437"/>
      <c r="H12" s="440"/>
      <c r="I12" s="440"/>
      <c r="J12" s="440"/>
      <c r="K12" s="441"/>
      <c r="L12" s="3107"/>
      <c r="M12" s="3107"/>
      <c r="N12" s="3107"/>
      <c r="O12" s="3107"/>
      <c r="P12" s="3107"/>
      <c r="Q12" s="3107"/>
      <c r="R12" s="3107"/>
      <c r="S12" s="3107"/>
      <c r="T12" s="3107"/>
      <c r="U12" s="3107"/>
      <c r="V12" s="3107"/>
      <c r="W12" s="3107"/>
      <c r="X12" s="3107"/>
      <c r="Y12" s="3107"/>
      <c r="Z12" s="3107"/>
    </row>
    <row r="13" spans="1:41" s="1953" customFormat="1" ht="13.5" customHeight="1">
      <c r="A13" s="1518" t="s">
        <v>1648</v>
      </c>
      <c r="B13" s="442" t="s">
        <v>473</v>
      </c>
      <c r="C13" s="443">
        <f ca="1">IF(B1="",'数据-取费表'!M16,INDIRECT("'数据-取费表'!M"&amp;$K$1)+INDIRECT("'数据-取费表'!t"&amp;$K$1))</f>
        <v>0</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1649</v>
      </c>
      <c r="B14" s="442" t="s">
        <v>474</v>
      </c>
      <c r="C14" s="53">
        <f ca="1">ROUND(C13*F14,0)</f>
        <v>0</v>
      </c>
      <c r="D14" s="444"/>
      <c r="E14" s="363"/>
      <c r="F14" s="446">
        <f>'数据-取费表'!B33</f>
        <v>0</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1651</v>
      </c>
      <c r="B16" s="442" t="s">
        <v>478</v>
      </c>
      <c r="C16" s="53">
        <f ca="1">ROUND(D16*E16/10000,0)</f>
        <v>0</v>
      </c>
      <c r="D16" s="444">
        <f ca="1">IF(B1="",'数据-汇总表'!E3,INDIRECT("'数据-取费表'!K"&amp;$K$1)+INDIRECT("'数据-取费表'!S"&amp;$K$1))</f>
        <v>0</v>
      </c>
      <c r="E16" s="53">
        <f>'数据-取费表'!B35</f>
        <v>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1652</v>
      </c>
      <c r="B17" s="442" t="s">
        <v>479</v>
      </c>
      <c r="C17" s="447">
        <f ca="1">ROUND(C13*F17,0)</f>
        <v>0</v>
      </c>
      <c r="D17" s="448"/>
      <c r="E17" s="447"/>
      <c r="F17" s="449">
        <f>'数据-取费表'!B36</f>
        <v>0</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1653</v>
      </c>
      <c r="B18" s="452" t="s">
        <v>481</v>
      </c>
      <c r="C18" s="453">
        <f ca="1">SUM(C13:C17)</f>
        <v>0</v>
      </c>
      <c r="D18" s="454"/>
      <c r="E18" s="455"/>
      <c r="F18" s="455"/>
      <c r="G18" s="1244" t="s">
        <v>2218</v>
      </c>
      <c r="H18" s="440"/>
      <c r="I18" s="440"/>
      <c r="J18" s="440"/>
      <c r="K18" s="441"/>
      <c r="L18" s="3109"/>
      <c r="M18" s="3109"/>
      <c r="N18" s="3109"/>
      <c r="O18" s="3109"/>
      <c r="P18" s="3109"/>
      <c r="Q18" s="3109"/>
      <c r="R18" s="3109"/>
      <c r="S18" s="3109"/>
      <c r="T18" s="3109"/>
      <c r="U18" s="3109"/>
      <c r="V18" s="3109"/>
      <c r="W18" s="3109"/>
      <c r="X18" s="3109"/>
      <c r="Y18" s="3109"/>
      <c r="Z18" s="3109"/>
    </row>
    <row r="19" spans="1:26" s="1956" customFormat="1" ht="13.5" customHeight="1">
      <c r="A19" s="1519" t="s">
        <v>1654</v>
      </c>
      <c r="B19" s="452" t="s">
        <v>487</v>
      </c>
      <c r="C19" s="453">
        <f ca="1">ROUND(C18*F19,0)</f>
        <v>0</v>
      </c>
      <c r="D19" s="454"/>
      <c r="E19" s="455"/>
      <c r="F19" s="459">
        <f>'数据-取费表'!B37</f>
        <v>0</v>
      </c>
      <c r="G19" s="437" t="s">
        <v>497</v>
      </c>
      <c r="H19" s="440"/>
      <c r="I19" s="440"/>
      <c r="J19" s="440"/>
      <c r="K19" s="441"/>
      <c r="L19" s="3111"/>
      <c r="M19" s="3111"/>
      <c r="N19" s="3111"/>
      <c r="O19" s="3109"/>
      <c r="P19" s="3109"/>
      <c r="Q19" s="3109"/>
      <c r="R19" s="3109"/>
      <c r="S19" s="3109"/>
      <c r="T19" s="3109"/>
      <c r="U19" s="3109"/>
      <c r="V19" s="3109"/>
      <c r="W19" s="3109"/>
      <c r="X19" s="3109"/>
      <c r="Y19" s="3109"/>
      <c r="Z19" s="3109"/>
    </row>
    <row r="20" spans="1:26" s="1958" customFormat="1" ht="13.5" customHeight="1">
      <c r="A20" s="1519" t="s">
        <v>1655</v>
      </c>
      <c r="B20" s="454" t="s">
        <v>488</v>
      </c>
      <c r="C20" s="463">
        <f ca="1">ROUND(IF('数据-取费表'!B22&lt;=1,(C18+C19)*F20*'数据-取费表'!B20/2,(C18+C19)*(POWER((1+F20),'数据-取费表'!B20/2)-1)),0)</f>
        <v>0</v>
      </c>
      <c r="D20" s="455">
        <f ca="1">ROUND(((1+F20)^'数据-取费表'!B20)-1,4)</f>
        <v>0</v>
      </c>
      <c r="E20" s="455"/>
      <c r="F20" s="464">
        <f ca="1">'数据-取费表'!B40</f>
        <v>0</v>
      </c>
      <c r="G20" s="1244" t="str">
        <f>IF('数据-取费表'!B22&lt;=1,"单利计息。","复利计息。")&amp;"建造成本、管理费用产生的利息 / 地价及税费产生的利息。"</f>
        <v>单利计息。建造成本、管理费用产生的利息 / 地价及税费产生的利息。</v>
      </c>
      <c r="H20" s="440"/>
      <c r="I20" s="440"/>
      <c r="J20" s="440"/>
      <c r="K20" s="441"/>
      <c r="L20" s="3117" t="s">
        <v>2235</v>
      </c>
      <c r="M20" s="3118"/>
      <c r="N20" s="3118"/>
      <c r="O20" s="3118"/>
      <c r="P20" s="3118"/>
      <c r="Q20" s="3111"/>
      <c r="R20" s="3111"/>
      <c r="S20" s="3111"/>
      <c r="T20" s="3111"/>
      <c r="U20" s="3111"/>
      <c r="V20" s="3111"/>
      <c r="W20" s="3111"/>
      <c r="X20" s="3111"/>
      <c r="Y20" s="3111"/>
      <c r="Z20" s="3111"/>
    </row>
    <row r="21" spans="1:26" s="1957" customFormat="1" ht="13.5" customHeight="1">
      <c r="A21" s="1519" t="s">
        <v>2741</v>
      </c>
      <c r="B21" s="2665" t="s">
        <v>2546</v>
      </c>
      <c r="C21" s="471" t="e">
        <f ca="1">ROUND((C18+C19)*F21,0)</f>
        <v>#DIV/0!</v>
      </c>
      <c r="D21" s="3196"/>
      <c r="E21" s="455"/>
      <c r="F21" s="472" t="e">
        <f ca="1">IF(B1="",'数据-取费表'!Q16,INDIRECT("'数据-取费表'!q"&amp;$K$1))</f>
        <v>#DIV/0!</v>
      </c>
      <c r="G21" s="437"/>
      <c r="H21" s="440"/>
      <c r="I21" s="440"/>
      <c r="J21" s="440"/>
      <c r="K21" s="441"/>
      <c r="L21" s="3110"/>
      <c r="M21" s="3110"/>
      <c r="N21" s="3110"/>
      <c r="O21" s="3110"/>
      <c r="P21" s="3110"/>
      <c r="Q21" s="3110"/>
      <c r="R21" s="3110"/>
      <c r="S21" s="3110"/>
      <c r="T21" s="3110"/>
      <c r="U21" s="3110"/>
      <c r="V21" s="3110"/>
      <c r="W21" s="3110"/>
      <c r="X21" s="3110"/>
      <c r="Y21" s="3110"/>
      <c r="Z21" s="3110"/>
    </row>
    <row r="22" spans="1:26" s="1958" customFormat="1" ht="13.5" customHeight="1">
      <c r="A22" s="1519" t="s">
        <v>1659</v>
      </c>
      <c r="B22" s="469" t="s">
        <v>498</v>
      </c>
      <c r="C22" s="476"/>
      <c r="D22" s="476"/>
      <c r="E22" s="477"/>
      <c r="F22" s="3198" t="e">
        <f ca="1">IF(B1="",'数据-取费表'!N16,INDIRECT("'数据-取费表'!N"&amp;$K$1))</f>
        <v>#DIV/0!</v>
      </c>
      <c r="G22" s="437"/>
      <c r="H22" s="440"/>
      <c r="I22" s="440"/>
      <c r="J22" s="440"/>
      <c r="K22" s="441"/>
      <c r="L22" s="3111"/>
      <c r="M22" s="3111"/>
      <c r="N22" s="3111"/>
      <c r="O22" s="3111"/>
      <c r="P22" s="3111"/>
      <c r="Q22" s="3111"/>
      <c r="R22" s="3111"/>
      <c r="S22" s="3111"/>
      <c r="T22" s="3111"/>
      <c r="U22" s="3111"/>
      <c r="V22" s="3111"/>
      <c r="W22" s="3111"/>
      <c r="X22" s="3111"/>
      <c r="Y22" s="3111"/>
      <c r="Z22" s="3111"/>
    </row>
    <row r="23" spans="1:26" s="1958" customFormat="1" ht="13.5" customHeight="1" thickBot="1">
      <c r="A23" s="3199" t="s">
        <v>1660</v>
      </c>
      <c r="B23" s="3200" t="s">
        <v>2742</v>
      </c>
      <c r="C23" s="3201" t="e">
        <f ca="1">ROUND((C18+C19+C20+C21)*F22,0)</f>
        <v>#DIV/0!</v>
      </c>
      <c r="D23" s="3202"/>
      <c r="E23" s="3203"/>
      <c r="F23" s="478"/>
      <c r="G23" s="429"/>
      <c r="H23" s="3204"/>
      <c r="I23" s="3204"/>
      <c r="J23" s="3204"/>
      <c r="K23" s="3205"/>
      <c r="L23" s="3111"/>
      <c r="M23" s="3111"/>
      <c r="N23" s="3111"/>
      <c r="O23" s="3111"/>
      <c r="P23" s="3111"/>
      <c r="Q23" s="3111"/>
      <c r="R23" s="3111"/>
      <c r="S23" s="3111"/>
      <c r="T23" s="3111"/>
      <c r="U23" s="3111"/>
      <c r="V23" s="3111"/>
      <c r="W23" s="3111"/>
      <c r="X23" s="3111"/>
      <c r="Y23" s="3111"/>
      <c r="Z23" s="3111"/>
    </row>
    <row r="24" spans="1:26" s="1958" customFormat="1" ht="13.5" customHeight="1" thickBot="1">
      <c r="A24" s="3621" t="s">
        <v>1665</v>
      </c>
      <c r="B24" s="3622"/>
      <c r="C24" s="3206">
        <f>ROUND(C6*F24/(1+'数据-取费表'!B42),0)</f>
        <v>0</v>
      </c>
      <c r="D24" s="3207"/>
      <c r="E24" s="3208"/>
      <c r="F24" s="3209">
        <f>'数据-取费表'!B41</f>
        <v>0</v>
      </c>
      <c r="G24" s="3210"/>
      <c r="H24" s="3210"/>
      <c r="I24" s="3210"/>
      <c r="J24" s="3210"/>
      <c r="K24" s="3211"/>
      <c r="L24" s="3111"/>
      <c r="M24" s="3111"/>
      <c r="N24" s="3111"/>
      <c r="O24" s="3111"/>
      <c r="P24" s="3111"/>
      <c r="Q24" s="3111"/>
      <c r="R24" s="3111"/>
      <c r="S24" s="3111"/>
      <c r="T24" s="3111"/>
      <c r="U24" s="3111"/>
      <c r="V24" s="3111"/>
      <c r="W24" s="3111"/>
      <c r="X24" s="3111"/>
      <c r="Y24" s="3111"/>
      <c r="Z24" s="3111"/>
    </row>
    <row r="25" spans="1:26" s="1958" customFormat="1" ht="13.5" customHeight="1" thickBot="1">
      <c r="A25" s="3621" t="s">
        <v>2739</v>
      </c>
      <c r="B25" s="3622"/>
      <c r="C25" s="3206">
        <f>ROUND(C6*F25,0)</f>
        <v>0</v>
      </c>
      <c r="D25" s="3207"/>
      <c r="E25" s="3208"/>
      <c r="F25" s="3212">
        <f>'数据-取费表'!B38</f>
        <v>0</v>
      </c>
      <c r="G25" s="3213"/>
      <c r="H25" s="3210"/>
      <c r="I25" s="3210"/>
      <c r="J25" s="3210"/>
      <c r="K25" s="3211"/>
      <c r="L25" s="3111"/>
      <c r="M25" s="3111"/>
      <c r="N25" s="3111"/>
      <c r="O25" s="3111"/>
      <c r="P25" s="3111"/>
      <c r="Q25" s="3111"/>
      <c r="R25" s="3111"/>
      <c r="S25" s="3111"/>
      <c r="T25" s="3111"/>
      <c r="U25" s="3111"/>
      <c r="V25" s="3111"/>
      <c r="W25" s="3111"/>
      <c r="X25" s="3111"/>
      <c r="Y25" s="3111"/>
      <c r="Z25" s="3111"/>
    </row>
    <row r="26" spans="1:26" s="1963" customFormat="1" ht="13.5" customHeight="1" thickBot="1">
      <c r="A26" s="3621" t="s">
        <v>2740</v>
      </c>
      <c r="B26" s="3622"/>
      <c r="C26" s="3218"/>
      <c r="D26" s="3219"/>
      <c r="E26" s="3219"/>
      <c r="F26" s="3220">
        <f>'数据-取费表'!B48+'数据-取费表'!B49</f>
        <v>0</v>
      </c>
      <c r="G26" s="3221"/>
      <c r="H26" s="3221"/>
      <c r="I26" s="3221"/>
      <c r="J26" s="3222"/>
      <c r="K26" s="3223"/>
      <c r="L26" s="3116"/>
      <c r="M26" s="3116"/>
      <c r="N26" s="3116"/>
      <c r="O26" s="3116"/>
      <c r="P26" s="3116"/>
      <c r="Q26" s="3116"/>
      <c r="R26" s="3116"/>
      <c r="S26" s="3116"/>
      <c r="T26" s="3116"/>
      <c r="U26" s="3116"/>
      <c r="V26" s="3116"/>
      <c r="W26" s="3116"/>
      <c r="X26" s="3116"/>
      <c r="Y26" s="3116"/>
      <c r="Z26" s="3116"/>
    </row>
    <row r="27" spans="1:26" s="3197" customFormat="1" ht="13.5" customHeight="1" thickBot="1">
      <c r="A27" s="3623" t="s">
        <v>2738</v>
      </c>
      <c r="B27" s="3624"/>
      <c r="C27" s="3214" t="e">
        <f ca="1">(C6-C23-C24-C25)/((1+F26)*(1+D20+F21))</f>
        <v>#DIV/0!</v>
      </c>
      <c r="D27" s="3215"/>
      <c r="E27" s="3215"/>
      <c r="F27" s="3215"/>
      <c r="G27" s="3216" t="s">
        <v>2670</v>
      </c>
      <c r="H27" s="3215"/>
      <c r="I27" s="3215"/>
      <c r="J27" s="3215"/>
      <c r="K27" s="3217"/>
    </row>
    <row r="28" spans="1:26" s="1952" customFormat="1">
      <c r="A28" s="3114"/>
      <c r="C28" s="3115"/>
      <c r="E28" s="3114"/>
    </row>
    <row r="29" spans="1:26" s="1952" customFormat="1" ht="12.75" customHeight="1">
      <c r="A29" s="3114"/>
      <c r="C29" s="3115"/>
      <c r="E29" s="3114"/>
    </row>
    <row r="30" spans="1:26" s="1952" customFormat="1">
      <c r="A30" s="3114"/>
      <c r="C30" s="3115"/>
      <c r="E30" s="3114"/>
    </row>
    <row r="31" spans="1:26" s="1952" customFormat="1">
      <c r="A31" s="3114"/>
      <c r="C31" s="3115"/>
      <c r="E31" s="3114"/>
    </row>
    <row r="32" spans="1:26" s="1952" customFormat="1">
      <c r="A32" s="3114"/>
      <c r="C32" s="3115"/>
      <c r="E32" s="3114"/>
    </row>
    <row r="33" spans="1:5" s="1952" customFormat="1">
      <c r="A33" s="3114"/>
      <c r="C33" s="3115"/>
      <c r="E33" s="3114"/>
    </row>
    <row r="34" spans="1:5" s="1952" customFormat="1">
      <c r="A34" s="3114"/>
      <c r="C34" s="3115"/>
      <c r="E34" s="3114"/>
    </row>
    <row r="35" spans="1:5" s="1952" customFormat="1">
      <c r="A35" s="3114"/>
      <c r="C35" s="3115"/>
      <c r="E35" s="3114"/>
    </row>
    <row r="36" spans="1:5" s="1952" customFormat="1">
      <c r="A36" s="3114"/>
      <c r="C36" s="3115"/>
      <c r="E36" s="3114"/>
    </row>
    <row r="37" spans="1:5" s="1952" customFormat="1">
      <c r="A37" s="3114"/>
      <c r="C37" s="3115"/>
      <c r="E37" s="3114"/>
    </row>
    <row r="38" spans="1:5" s="1952" customFormat="1">
      <c r="A38" s="3114"/>
      <c r="C38" s="3115"/>
      <c r="E38" s="3114"/>
    </row>
    <row r="39" spans="1:5" s="1952" customFormat="1">
      <c r="A39" s="3114"/>
      <c r="C39" s="3115"/>
      <c r="E39" s="3114"/>
    </row>
    <row r="40" spans="1:5" s="1952" customFormat="1">
      <c r="A40" s="3114"/>
      <c r="C40" s="3115"/>
      <c r="E40" s="3114"/>
    </row>
    <row r="41" spans="1:5" s="1952" customFormat="1">
      <c r="A41" s="3114"/>
      <c r="C41" s="3115"/>
      <c r="E41" s="3114"/>
    </row>
    <row r="42" spans="1:5" s="1952" customFormat="1">
      <c r="A42" s="3114"/>
      <c r="C42" s="3115"/>
      <c r="E42" s="3114"/>
    </row>
    <row r="43" spans="1:5" s="1952" customFormat="1">
      <c r="A43" s="3114"/>
      <c r="C43" s="3115"/>
      <c r="E43" s="3114"/>
    </row>
    <row r="44" spans="1:5" s="1952" customFormat="1">
      <c r="A44" s="3114"/>
      <c r="C44" s="3115"/>
      <c r="E44" s="3114"/>
    </row>
    <row r="45" spans="1:5" s="1952" customFormat="1">
      <c r="A45" s="3114"/>
      <c r="C45" s="3115"/>
      <c r="E45" s="3114"/>
    </row>
    <row r="46" spans="1:5" s="1952" customFormat="1">
      <c r="A46" s="3114"/>
      <c r="C46" s="3115"/>
      <c r="E46" s="3114"/>
    </row>
    <row r="47" spans="1:5" s="1952" customFormat="1">
      <c r="A47" s="3114"/>
      <c r="C47" s="3115"/>
      <c r="E47" s="3114"/>
    </row>
    <row r="48" spans="1:5"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39" customWidth="1"/>
    <col min="2" max="2" width="10.77734375" style="1539" customWidth="1"/>
    <col min="3" max="4" width="11.6640625" style="1539" customWidth="1"/>
    <col min="5" max="5" width="6.6640625" style="1539" customWidth="1"/>
    <col min="6" max="16384" width="9" style="1539"/>
  </cols>
  <sheetData>
    <row r="36" spans="1:9">
      <c r="A36" s="1538" t="s">
        <v>1697</v>
      </c>
      <c r="B36" s="1538" t="s">
        <v>1698</v>
      </c>
    </row>
    <row r="37" spans="1:9" ht="28.5" customHeight="1">
      <c r="A37" s="1538"/>
      <c r="B37" s="3448" t="str">
        <f>项目基本情况!B1</f>
        <v>国有建设用地使用权预评估</v>
      </c>
      <c r="C37" s="3448"/>
      <c r="D37" s="3448"/>
      <c r="E37" s="3448"/>
      <c r="F37" s="3448"/>
      <c r="G37" s="3448"/>
      <c r="H37" s="3448"/>
      <c r="I37" s="3448"/>
    </row>
    <row r="38" spans="1:9">
      <c r="A38" s="1540"/>
      <c r="B38" s="1540"/>
    </row>
    <row r="39" spans="1:9">
      <c r="A39" s="1538" t="s">
        <v>1697</v>
      </c>
      <c r="B39" s="1538" t="s">
        <v>1838</v>
      </c>
    </row>
    <row r="40" spans="1:9">
      <c r="A40" s="1538"/>
      <c r="B40" s="1538">
        <f>项目基本情况!B5</f>
        <v>0</v>
      </c>
    </row>
    <row r="41" spans="1:9">
      <c r="A41" s="1538"/>
      <c r="B41" s="1538"/>
    </row>
    <row r="42" spans="1:9">
      <c r="A42" s="1538" t="s">
        <v>1697</v>
      </c>
      <c r="B42" s="1538" t="s">
        <v>1839</v>
      </c>
    </row>
    <row r="43" spans="1:9">
      <c r="A43" s="1538"/>
      <c r="B43" s="1538" t="s">
        <v>1699</v>
      </c>
    </row>
    <row r="44" spans="1:9">
      <c r="A44" s="1538"/>
      <c r="B44" s="1538"/>
    </row>
    <row r="45" spans="1:9">
      <c r="A45" s="1538" t="s">
        <v>1697</v>
      </c>
      <c r="B45" s="1538" t="s">
        <v>1837</v>
      </c>
    </row>
    <row r="46" spans="1:9" s="1538" customFormat="1">
      <c r="B46" s="1538" t="str">
        <f>项目基本情况!K4</f>
        <v>土地估价师、土地估价师</v>
      </c>
    </row>
    <row r="47" spans="1:9">
      <c r="A47" s="1538"/>
      <c r="B47" s="1538"/>
    </row>
    <row r="48" spans="1:9">
      <c r="A48" s="1538" t="s">
        <v>1697</v>
      </c>
      <c r="B48" s="1538" t="s">
        <v>1840</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7" zoomScale="60" zoomScaleNormal="95" workbookViewId="0">
      <selection activeCell="A62" sqref="A62:XFD62"/>
    </sheetView>
  </sheetViews>
  <sheetFormatPr defaultColWidth="9" defaultRowHeight="13.8"/>
  <cols>
    <col min="1" max="1" width="15.6640625" style="1247" customWidth="1"/>
    <col min="2" max="2" width="15.77734375" style="1247" customWidth="1"/>
    <col min="3" max="3" width="15.21875" style="1247" customWidth="1"/>
    <col min="4" max="4" width="12.21875" style="1247" customWidth="1"/>
    <col min="5" max="5" width="16.109375" style="1247" customWidth="1"/>
    <col min="6" max="6" width="12.21875" style="1247" customWidth="1"/>
    <col min="7" max="7" width="15.6640625" style="1247" customWidth="1"/>
    <col min="8" max="8" width="12.21875" style="1247" customWidth="1"/>
    <col min="9" max="9" width="15.66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9"/>
      <c r="M1" s="3120"/>
      <c r="N1" s="3120"/>
      <c r="O1" s="3120"/>
      <c r="P1" s="1969"/>
      <c r="Q1" s="1969"/>
      <c r="R1" s="1969"/>
      <c r="S1" s="1969"/>
      <c r="T1" s="1969"/>
      <c r="U1" s="1969"/>
      <c r="V1" s="1969"/>
      <c r="W1" s="1969"/>
      <c r="X1" s="1969"/>
      <c r="Y1" s="1969"/>
      <c r="Z1" s="1969"/>
      <c r="AA1" s="1969"/>
      <c r="AB1" s="1969"/>
      <c r="AC1" s="3121"/>
      <c r="AD1" s="1245"/>
    </row>
    <row r="2" spans="1:30" s="1246" customFormat="1" ht="28.5" customHeight="1">
      <c r="A2" s="417" t="s">
        <v>461</v>
      </c>
      <c r="B2" s="485" t="e">
        <f>F67</f>
        <v>#DIV/0!</v>
      </c>
      <c r="C2" s="3129"/>
      <c r="D2" s="3129"/>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c r="AD2" s="1245"/>
    </row>
    <row r="3" spans="1:30" s="1246" customFormat="1" ht="28.5" customHeight="1">
      <c r="A3" s="1287" t="s">
        <v>1484</v>
      </c>
      <c r="B3" s="487" t="e">
        <f>ROUND(B2*10000/'数据-汇总表'!E3,0)</f>
        <v>#DIV/0!</v>
      </c>
      <c r="C3" s="3130"/>
      <c r="D3" s="3134"/>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3122"/>
      <c r="AC3" s="1899"/>
    </row>
    <row r="4" spans="1:30" s="1246" customFormat="1" ht="28.5" customHeight="1">
      <c r="A4" s="488" t="s">
        <v>503</v>
      </c>
      <c r="B4" s="421" t="e">
        <f>IF(B48="单位面积地价",C50,ROUND(B2*10000/'数据-汇总表'!D3,0))</f>
        <v>#DIV/0!</v>
      </c>
      <c r="C4" s="3130"/>
      <c r="D4" s="3134"/>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1969"/>
      <c r="AC5" s="1899"/>
    </row>
    <row r="6" spans="1:30" ht="21">
      <c r="A6" s="489" t="s">
        <v>504</v>
      </c>
      <c r="B6" s="490"/>
      <c r="C6" s="3632" t="s">
        <v>505</v>
      </c>
      <c r="D6" s="3633"/>
      <c r="E6" s="3632" t="s">
        <v>506</v>
      </c>
      <c r="F6" s="3633"/>
      <c r="G6" s="3632" t="s">
        <v>507</v>
      </c>
      <c r="H6" s="3633"/>
      <c r="I6" s="3632" t="s">
        <v>508</v>
      </c>
      <c r="J6" s="3633"/>
      <c r="K6" s="491" t="s">
        <v>509</v>
      </c>
      <c r="L6" s="1970"/>
      <c r="M6" s="1969"/>
      <c r="N6" s="1969"/>
      <c r="O6" s="1971"/>
      <c r="P6" s="3634" t="s">
        <v>510</v>
      </c>
      <c r="Q6" s="3635"/>
      <c r="R6" s="3640" t="s">
        <v>506</v>
      </c>
      <c r="S6" s="3641"/>
      <c r="T6" s="3640" t="s">
        <v>507</v>
      </c>
      <c r="U6" s="3641"/>
      <c r="V6" s="3627" t="s">
        <v>508</v>
      </c>
      <c r="W6" s="3627"/>
      <c r="X6" s="1458"/>
      <c r="Y6" s="3640" t="s">
        <v>510</v>
      </c>
      <c r="Z6" s="3641"/>
      <c r="AA6" s="3629" t="s">
        <v>506</v>
      </c>
      <c r="AB6" s="3630" t="s">
        <v>507</v>
      </c>
      <c r="AC6" s="3629" t="s">
        <v>508</v>
      </c>
    </row>
    <row r="7" spans="1:30" ht="21">
      <c r="A7" s="492"/>
      <c r="B7" s="493"/>
      <c r="C7" s="3648" t="s">
        <v>2631</v>
      </c>
      <c r="D7" s="3649"/>
      <c r="E7" s="3648" t="s">
        <v>2632</v>
      </c>
      <c r="F7" s="3649"/>
      <c r="G7" s="3648" t="s">
        <v>2633</v>
      </c>
      <c r="H7" s="3649"/>
      <c r="I7" s="3648" t="s">
        <v>2634</v>
      </c>
      <c r="J7" s="3649"/>
      <c r="K7" s="491"/>
      <c r="L7" s="1970"/>
      <c r="M7" s="1969"/>
      <c r="N7" s="1969"/>
      <c r="O7" s="1971"/>
      <c r="P7" s="3636"/>
      <c r="Q7" s="3637"/>
      <c r="R7" s="3642"/>
      <c r="S7" s="3643"/>
      <c r="T7" s="3642"/>
      <c r="U7" s="3643"/>
      <c r="V7" s="3627"/>
      <c r="W7" s="3627"/>
      <c r="X7" s="1458"/>
      <c r="Y7" s="3642"/>
      <c r="Z7" s="3643"/>
      <c r="AA7" s="3630"/>
      <c r="AB7" s="3630"/>
      <c r="AC7" s="3630"/>
    </row>
    <row r="8" spans="1:30" ht="21.6" thickBot="1">
      <c r="A8" s="492"/>
      <c r="B8" s="493"/>
      <c r="C8" s="3650" t="s">
        <v>2635</v>
      </c>
      <c r="D8" s="3651"/>
      <c r="E8" s="3650" t="s">
        <v>2635</v>
      </c>
      <c r="F8" s="3651"/>
      <c r="G8" s="3646" t="s">
        <v>2635</v>
      </c>
      <c r="H8" s="3647"/>
      <c r="I8" s="3646" t="s">
        <v>2635</v>
      </c>
      <c r="J8" s="3647"/>
      <c r="K8" s="491" t="s">
        <v>511</v>
      </c>
      <c r="L8" s="1970"/>
      <c r="M8" s="1969"/>
      <c r="N8" s="1969"/>
      <c r="O8" s="1971"/>
      <c r="P8" s="3638"/>
      <c r="Q8" s="3639"/>
      <c r="R8" s="3642"/>
      <c r="S8" s="3643"/>
      <c r="T8" s="3644"/>
      <c r="U8" s="3645"/>
      <c r="V8" s="3627"/>
      <c r="W8" s="3627"/>
      <c r="X8" s="1458"/>
      <c r="Y8" s="3644"/>
      <c r="Z8" s="3645"/>
      <c r="AA8" s="3631"/>
      <c r="AB8" s="3631"/>
      <c r="AC8" s="3631"/>
    </row>
    <row r="9" spans="1:30" s="1167" customFormat="1" ht="21.6" thickBot="1">
      <c r="A9" s="2552"/>
      <c r="B9" s="2559" t="s">
        <v>512</v>
      </c>
      <c r="C9" s="2551">
        <f>'数据-取费表'!B2</f>
        <v>0</v>
      </c>
      <c r="D9" s="497">
        <v>100</v>
      </c>
      <c r="E9" s="498"/>
      <c r="F9" s="499">
        <f>SUMIF(71:71,YEAR(E9)&amp;"-"&amp;INT((MONTH(E9)+2)/3),72:72)</f>
        <v>100</v>
      </c>
      <c r="G9" s="500"/>
      <c r="H9" s="497">
        <f>SUMIF(71:71,YEAR(G9)&amp;"-"&amp;INT((MONTH(G9)+2)/3),72:72)</f>
        <v>100</v>
      </c>
      <c r="I9" s="500"/>
      <c r="J9" s="497">
        <f>SUMIF(71:71,YEAR(I9)&amp;"-"&amp;INT((MONTH(I9)+2)/3),72:72)</f>
        <v>100</v>
      </c>
      <c r="K9" s="501"/>
      <c r="L9" s="1972"/>
      <c r="M9" s="1969"/>
      <c r="N9" s="1969"/>
      <c r="O9" s="1973"/>
      <c r="P9" s="3656" t="s">
        <v>513</v>
      </c>
      <c r="Q9" s="3658"/>
      <c r="R9" s="1459" t="s">
        <v>8</v>
      </c>
      <c r="S9" s="1460">
        <f t="shared" ref="S9:S17" si="0">F9</f>
        <v>100</v>
      </c>
      <c r="T9" s="1459" t="s">
        <v>8</v>
      </c>
      <c r="U9" s="1460">
        <f t="shared" ref="U9:U17" si="1">H9</f>
        <v>100</v>
      </c>
      <c r="V9" s="1459" t="s">
        <v>8</v>
      </c>
      <c r="W9" s="1460">
        <f t="shared" ref="W9:W17" si="2">J9</f>
        <v>100</v>
      </c>
      <c r="X9" s="1461"/>
      <c r="Y9" s="3656" t="s">
        <v>513</v>
      </c>
      <c r="Z9" s="3657"/>
      <c r="AA9" s="1462">
        <f>D9/F9</f>
        <v>1</v>
      </c>
      <c r="AB9" s="1462">
        <f>D9/H9</f>
        <v>1</v>
      </c>
      <c r="AC9" s="1462">
        <f>D9/J9</f>
        <v>1</v>
      </c>
    </row>
    <row r="10" spans="1:30" s="1167" customFormat="1" ht="21.6" thickBot="1">
      <c r="A10" s="2553"/>
      <c r="B10" s="2560" t="s">
        <v>514</v>
      </c>
      <c r="C10" s="828" t="s">
        <v>515</v>
      </c>
      <c r="D10" s="497">
        <v>100</v>
      </c>
      <c r="E10" s="502"/>
      <c r="F10" s="499">
        <f>SUMIF(74:74,E10,75:75)-SUMIF(74:74,C10,75:75)+100</f>
        <v>0</v>
      </c>
      <c r="G10" s="502"/>
      <c r="H10" s="497">
        <f>SUMIF(74:74,G10,75:75)-SUMIF(74:74,C10,75:75)+100</f>
        <v>0</v>
      </c>
      <c r="I10" s="502"/>
      <c r="J10" s="497">
        <f>SUMIF(74:74,I10,75:75)-SUMIF(74:74,C10,75:75)+100</f>
        <v>0</v>
      </c>
      <c r="K10" s="501"/>
      <c r="L10" s="1972"/>
      <c r="M10" s="1969"/>
      <c r="N10" s="1969"/>
      <c r="O10" s="1973"/>
      <c r="P10" s="3656" t="s">
        <v>516</v>
      </c>
      <c r="Q10" s="3657"/>
      <c r="R10" s="1459" t="s">
        <v>8</v>
      </c>
      <c r="S10" s="1460">
        <f t="shared" si="0"/>
        <v>0</v>
      </c>
      <c r="T10" s="1459" t="s">
        <v>8</v>
      </c>
      <c r="U10" s="1460">
        <f t="shared" si="1"/>
        <v>0</v>
      </c>
      <c r="V10" s="1459" t="s">
        <v>8</v>
      </c>
      <c r="W10" s="1460">
        <f t="shared" si="2"/>
        <v>0</v>
      </c>
      <c r="X10" s="1461"/>
      <c r="Y10" s="3656" t="s">
        <v>516</v>
      </c>
      <c r="Z10" s="3657"/>
      <c r="AA10" s="1462" t="e">
        <f t="shared" ref="AA10:AA47" si="3">D10/F10</f>
        <v>#DIV/0!</v>
      </c>
      <c r="AB10" s="1462" t="e">
        <f t="shared" ref="AB10:AB47" si="4">D10/H10</f>
        <v>#DIV/0!</v>
      </c>
      <c r="AC10" s="1462" t="e">
        <f t="shared" ref="AC10:AC47" si="5">D10/J10</f>
        <v>#DIV/0!</v>
      </c>
    </row>
    <row r="11" spans="1:30" s="1167" customFormat="1" ht="21">
      <c r="A11" s="2554"/>
      <c r="B11" s="2561" t="s">
        <v>2473</v>
      </c>
      <c r="C11" s="2548"/>
      <c r="D11" s="252">
        <v>100</v>
      </c>
      <c r="E11" s="503"/>
      <c r="F11" s="252">
        <f>SUMIF(76:76,E11,77:77)-SUMIF(76:76,C11,77:77)+100</f>
        <v>100</v>
      </c>
      <c r="G11" s="503"/>
      <c r="H11" s="252">
        <f>SUMIF(76:76,G11,77:77)-SUMIF(76:76,C11,77:77)+100</f>
        <v>100</v>
      </c>
      <c r="I11" s="503"/>
      <c r="J11" s="252">
        <f>SUMIF(76:76,I11,77:77)-SUMIF(76:76,C11,77:77)+100</f>
        <v>100</v>
      </c>
      <c r="K11" s="501"/>
      <c r="L11" s="1972"/>
      <c r="M11" s="1969"/>
      <c r="N11" s="1969"/>
      <c r="O11" s="1974"/>
      <c r="P11" s="3626" t="s">
        <v>518</v>
      </c>
      <c r="Q11" s="1098" t="str">
        <f t="shared" ref="Q11:Q17" si="6">B11</f>
        <v>用途</v>
      </c>
      <c r="R11" s="1459" t="s">
        <v>8</v>
      </c>
      <c r="S11" s="1460">
        <f t="shared" si="0"/>
        <v>100</v>
      </c>
      <c r="T11" s="1459" t="s">
        <v>8</v>
      </c>
      <c r="U11" s="1460">
        <f t="shared" si="1"/>
        <v>100</v>
      </c>
      <c r="V11" s="1459" t="s">
        <v>8</v>
      </c>
      <c r="W11" s="1460">
        <f t="shared" si="2"/>
        <v>100</v>
      </c>
      <c r="X11" s="1461"/>
      <c r="Y11" s="3570" t="s">
        <v>519</v>
      </c>
      <c r="Z11" s="1097" t="str">
        <f t="shared" ref="Z11:Z17" si="7">Q11</f>
        <v>用途</v>
      </c>
      <c r="AA11" s="1462">
        <f t="shared" si="3"/>
        <v>1</v>
      </c>
      <c r="AB11" s="1462">
        <f t="shared" si="4"/>
        <v>1</v>
      </c>
      <c r="AC11" s="1462">
        <f t="shared" si="5"/>
        <v>1</v>
      </c>
    </row>
    <row r="12" spans="1:30" s="1248" customFormat="1" ht="28.8">
      <c r="A12" s="2555"/>
      <c r="B12" s="2560" t="s">
        <v>2474</v>
      </c>
      <c r="C12" s="882"/>
      <c r="D12" s="253">
        <v>100</v>
      </c>
      <c r="E12" s="506"/>
      <c r="F12" s="253" t="e">
        <f>ROUND(100/'数据-取费表'!G16,0)</f>
        <v>#DIV/0!</v>
      </c>
      <c r="G12" s="507"/>
      <c r="H12" s="253" t="e">
        <f>ROUND(100/'数据-取费表'!G16,0)</f>
        <v>#DIV/0!</v>
      </c>
      <c r="I12" s="507"/>
      <c r="J12" s="253" t="e">
        <f>ROUND(100/'数据-取费表'!G16,0)</f>
        <v>#DIV/0!</v>
      </c>
      <c r="K12" s="508"/>
      <c r="L12" s="1975"/>
      <c r="M12" s="1969"/>
      <c r="N12" s="1969"/>
      <c r="O12" s="1976"/>
      <c r="P12" s="3626"/>
      <c r="Q12" s="1098" t="str">
        <f t="shared" si="6"/>
        <v>土地使用年限（年）</v>
      </c>
      <c r="R12" s="1459" t="s">
        <v>8</v>
      </c>
      <c r="S12" s="1460" t="e">
        <f t="shared" si="0"/>
        <v>#DIV/0!</v>
      </c>
      <c r="T12" s="1459" t="s">
        <v>8</v>
      </c>
      <c r="U12" s="1460" t="e">
        <f t="shared" si="1"/>
        <v>#DIV/0!</v>
      </c>
      <c r="V12" s="1459" t="s">
        <v>8</v>
      </c>
      <c r="W12" s="1460" t="e">
        <f t="shared" si="2"/>
        <v>#DIV/0!</v>
      </c>
      <c r="X12" s="1461"/>
      <c r="Y12" s="3570"/>
      <c r="Z12" s="1097" t="str">
        <f t="shared" si="7"/>
        <v>土地使用年限（年）</v>
      </c>
      <c r="AA12" s="1462" t="e">
        <f t="shared" si="3"/>
        <v>#DIV/0!</v>
      </c>
      <c r="AB12" s="1462" t="e">
        <f t="shared" si="4"/>
        <v>#DIV/0!</v>
      </c>
      <c r="AC12" s="1462" t="e">
        <f t="shared" si="5"/>
        <v>#DIV/0!</v>
      </c>
    </row>
    <row r="13" spans="1:30" ht="21">
      <c r="A13" s="2556"/>
      <c r="B13" s="2560" t="s">
        <v>2475</v>
      </c>
      <c r="C13" s="511"/>
      <c r="D13" s="253">
        <v>100</v>
      </c>
      <c r="E13" s="510"/>
      <c r="F13" s="253" t="e">
        <f>LOOKUP(E13,81:81,82:82)-LOOKUP(C13,81:81,82:82)+100</f>
        <v>#N/A</v>
      </c>
      <c r="G13" s="511"/>
      <c r="H13" s="253" t="e">
        <f>LOOKUP(G13,81:81,82:82)-LOOKUP(C13,81:81,82:82)+100</f>
        <v>#N/A</v>
      </c>
      <c r="I13" s="510"/>
      <c r="J13" s="253" t="e">
        <f>LOOKUP(I13,81:81,82:82)-LOOKUP(C13,81:81,82:82)+100</f>
        <v>#N/A</v>
      </c>
      <c r="K13" s="512"/>
      <c r="L13" s="1977"/>
      <c r="M13" s="1969"/>
      <c r="N13" s="1969"/>
      <c r="O13" s="1978"/>
      <c r="P13" s="3626"/>
      <c r="Q13" s="1098" t="str">
        <f t="shared" si="6"/>
        <v>容积率</v>
      </c>
      <c r="R13" s="1459" t="s">
        <v>8</v>
      </c>
      <c r="S13" s="1460" t="e">
        <f t="shared" si="0"/>
        <v>#N/A</v>
      </c>
      <c r="T13" s="1459" t="s">
        <v>8</v>
      </c>
      <c r="U13" s="1460" t="e">
        <f t="shared" si="1"/>
        <v>#N/A</v>
      </c>
      <c r="V13" s="1459" t="s">
        <v>8</v>
      </c>
      <c r="W13" s="1460" t="e">
        <f t="shared" si="2"/>
        <v>#N/A</v>
      </c>
      <c r="X13" s="1461"/>
      <c r="Y13" s="3570"/>
      <c r="Z13" s="1097" t="str">
        <f t="shared" si="7"/>
        <v>容积率</v>
      </c>
      <c r="AA13" s="1462" t="e">
        <f t="shared" si="3"/>
        <v>#N/A</v>
      </c>
      <c r="AB13" s="1462" t="e">
        <f t="shared" si="4"/>
        <v>#N/A</v>
      </c>
      <c r="AC13" s="1462" t="e">
        <f t="shared" si="5"/>
        <v>#N/A</v>
      </c>
    </row>
    <row r="14" spans="1:30" s="1167" customFormat="1" ht="21">
      <c r="A14" s="2553"/>
      <c r="B14" s="2562" t="s">
        <v>2476</v>
      </c>
      <c r="C14" s="2549"/>
      <c r="D14" s="515">
        <v>100</v>
      </c>
      <c r="E14" s="1282"/>
      <c r="F14" s="253">
        <f>SUMIF(83:83,E14,84:84)-SUMIF(83:83,C14,84:84)+100</f>
        <v>100</v>
      </c>
      <c r="G14" s="507"/>
      <c r="H14" s="253">
        <f>SUMIF(83:83,G14,84:84)-SUMIF(83:83,C14,84:84)+100</f>
        <v>100</v>
      </c>
      <c r="I14" s="506"/>
      <c r="J14" s="253">
        <f>SUMIF(83:83,I14,84:84)-SUMIF(83:83,C14,84:84)+100</f>
        <v>100</v>
      </c>
      <c r="K14" s="508"/>
      <c r="L14" s="1972"/>
      <c r="M14" s="1969"/>
      <c r="N14" s="1969"/>
      <c r="O14" s="1974"/>
      <c r="P14" s="3626"/>
      <c r="Q14" s="1098" t="str">
        <f t="shared" si="6"/>
        <v>配建</v>
      </c>
      <c r="R14" s="1459" t="s">
        <v>8</v>
      </c>
      <c r="S14" s="1460">
        <f t="shared" si="0"/>
        <v>100</v>
      </c>
      <c r="T14" s="1459" t="s">
        <v>8</v>
      </c>
      <c r="U14" s="1460">
        <f t="shared" si="1"/>
        <v>100</v>
      </c>
      <c r="V14" s="1459" t="s">
        <v>8</v>
      </c>
      <c r="W14" s="1460">
        <f t="shared" si="2"/>
        <v>100</v>
      </c>
      <c r="X14" s="1461"/>
      <c r="Y14" s="3570"/>
      <c r="Z14" s="1097" t="str">
        <f t="shared" si="7"/>
        <v>配建</v>
      </c>
      <c r="AA14" s="1462">
        <f>D14/F14</f>
        <v>1</v>
      </c>
      <c r="AB14" s="1462">
        <f>D14/H14</f>
        <v>1</v>
      </c>
      <c r="AC14" s="1462">
        <f>D14/J14</f>
        <v>1</v>
      </c>
    </row>
    <row r="15" spans="1:30" ht="21">
      <c r="A15" s="2557"/>
      <c r="B15" s="2563">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26"/>
      <c r="Q15" s="1098">
        <f t="shared" si="6"/>
        <v>111</v>
      </c>
      <c r="R15" s="1459" t="s">
        <v>8</v>
      </c>
      <c r="S15" s="1460">
        <f t="shared" si="0"/>
        <v>100</v>
      </c>
      <c r="T15" s="1459" t="s">
        <v>8</v>
      </c>
      <c r="U15" s="1460">
        <f t="shared" si="1"/>
        <v>100</v>
      </c>
      <c r="V15" s="1459" t="s">
        <v>8</v>
      </c>
      <c r="W15" s="1460">
        <f t="shared" si="2"/>
        <v>100</v>
      </c>
      <c r="X15" s="1461"/>
      <c r="Y15" s="3570"/>
      <c r="Z15" s="1097">
        <f t="shared" si="7"/>
        <v>111</v>
      </c>
      <c r="AA15" s="1462">
        <f>D15/F15</f>
        <v>1</v>
      </c>
      <c r="AB15" s="1462">
        <f>D15/H15</f>
        <v>1</v>
      </c>
      <c r="AC15" s="1462">
        <f>D15/J15</f>
        <v>1</v>
      </c>
    </row>
    <row r="16" spans="1:30" ht="21.6" thickBot="1">
      <c r="A16" s="2558"/>
      <c r="B16" s="2564">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26"/>
      <c r="Q16" s="1098">
        <f t="shared" si="6"/>
        <v>111</v>
      </c>
      <c r="R16" s="1459" t="s">
        <v>8</v>
      </c>
      <c r="S16" s="1460">
        <f t="shared" si="0"/>
        <v>100</v>
      </c>
      <c r="T16" s="1459" t="s">
        <v>8</v>
      </c>
      <c r="U16" s="1460">
        <f t="shared" si="1"/>
        <v>100</v>
      </c>
      <c r="V16" s="1459" t="s">
        <v>8</v>
      </c>
      <c r="W16" s="1460">
        <f t="shared" si="2"/>
        <v>100</v>
      </c>
      <c r="X16" s="1461"/>
      <c r="Y16" s="3570"/>
      <c r="Z16" s="1097">
        <f t="shared" si="7"/>
        <v>111</v>
      </c>
      <c r="AA16" s="1462">
        <f>D16/F16</f>
        <v>1</v>
      </c>
      <c r="AB16" s="1462">
        <f>D16/H16</f>
        <v>1</v>
      </c>
      <c r="AC16" s="1462">
        <f>D16/J16</f>
        <v>1</v>
      </c>
    </row>
    <row r="17" spans="1:29" ht="96.6">
      <c r="A17" s="2550"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9"/>
      <c r="M17" s="1969"/>
      <c r="N17" s="1969"/>
      <c r="O17" s="1978"/>
      <c r="P17" s="3659" t="s">
        <v>523</v>
      </c>
      <c r="Q17" s="1463" t="str">
        <f t="shared" si="6"/>
        <v>居住社区成熟度</v>
      </c>
      <c r="R17" s="1464" t="s">
        <v>8</v>
      </c>
      <c r="S17" s="1465">
        <f t="shared" si="0"/>
        <v>100</v>
      </c>
      <c r="T17" s="1464" t="s">
        <v>8</v>
      </c>
      <c r="U17" s="1465">
        <f t="shared" si="1"/>
        <v>100</v>
      </c>
      <c r="V17" s="1464" t="s">
        <v>8</v>
      </c>
      <c r="W17" s="1465">
        <f t="shared" si="2"/>
        <v>100</v>
      </c>
      <c r="X17" s="1458"/>
      <c r="Y17" s="3659" t="s">
        <v>523</v>
      </c>
      <c r="Z17" s="1466" t="str">
        <f t="shared" si="7"/>
        <v>居住社区成熟度</v>
      </c>
      <c r="AA17" s="1467">
        <f t="shared" si="3"/>
        <v>1</v>
      </c>
      <c r="AB17" s="1467">
        <f t="shared" si="4"/>
        <v>1</v>
      </c>
      <c r="AC17" s="1467">
        <f t="shared" si="5"/>
        <v>1</v>
      </c>
    </row>
    <row r="18" spans="1:29" ht="21">
      <c r="A18" s="509"/>
      <c r="B18" s="530"/>
      <c r="C18" s="531"/>
      <c r="D18" s="534"/>
      <c r="E18" s="535"/>
      <c r="F18" s="532"/>
      <c r="G18" s="533"/>
      <c r="H18" s="536"/>
      <c r="I18" s="535"/>
      <c r="J18" s="532"/>
      <c r="K18" s="508"/>
      <c r="L18" s="1979"/>
      <c r="M18" s="1969"/>
      <c r="N18" s="1969"/>
      <c r="O18" s="1978"/>
      <c r="P18" s="3660"/>
      <c r="Q18" s="1463"/>
      <c r="R18" s="1464"/>
      <c r="S18" s="1465"/>
      <c r="T18" s="1464"/>
      <c r="U18" s="1465"/>
      <c r="V18" s="1464"/>
      <c r="W18" s="1465"/>
      <c r="X18" s="1458"/>
      <c r="Y18" s="3660"/>
      <c r="Z18" s="1466"/>
      <c r="AA18" s="1467">
        <v>1</v>
      </c>
      <c r="AB18" s="1467">
        <v>1</v>
      </c>
      <c r="AC18" s="1467">
        <v>1</v>
      </c>
    </row>
    <row r="19" spans="1:29" ht="69">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9"/>
      <c r="M19" s="1969"/>
      <c r="N19" s="1969"/>
      <c r="O19" s="1978"/>
      <c r="P19" s="3660"/>
      <c r="Q19" s="1463" t="str">
        <f>B19</f>
        <v>商业繁华度</v>
      </c>
      <c r="R19" s="1464" t="s">
        <v>8</v>
      </c>
      <c r="S19" s="1465">
        <f>F19</f>
        <v>100</v>
      </c>
      <c r="T19" s="1464" t="s">
        <v>8</v>
      </c>
      <c r="U19" s="1465">
        <f>H19</f>
        <v>100</v>
      </c>
      <c r="V19" s="1464" t="s">
        <v>8</v>
      </c>
      <c r="W19" s="1465">
        <f>J19</f>
        <v>100</v>
      </c>
      <c r="X19" s="1458"/>
      <c r="Y19" s="3660"/>
      <c r="Z19" s="1466" t="str">
        <f>Q19</f>
        <v>商业繁华度</v>
      </c>
      <c r="AA19" s="1467">
        <f t="shared" si="3"/>
        <v>1</v>
      </c>
      <c r="AB19" s="1467">
        <f t="shared" si="4"/>
        <v>1</v>
      </c>
      <c r="AC19" s="1467">
        <f t="shared" si="5"/>
        <v>1</v>
      </c>
    </row>
    <row r="20" spans="1:29" ht="21">
      <c r="A20" s="509"/>
      <c r="B20" s="543"/>
      <c r="C20" s="544"/>
      <c r="D20" s="540"/>
      <c r="E20" s="546"/>
      <c r="F20" s="536"/>
      <c r="G20" s="545"/>
      <c r="H20" s="532"/>
      <c r="I20" s="546"/>
      <c r="J20" s="532"/>
      <c r="K20" s="508"/>
      <c r="L20" s="1979"/>
      <c r="M20" s="1969"/>
      <c r="N20" s="1969"/>
      <c r="O20" s="1978"/>
      <c r="P20" s="3660"/>
      <c r="Q20" s="1463"/>
      <c r="R20" s="1464"/>
      <c r="S20" s="1465"/>
      <c r="T20" s="1464"/>
      <c r="U20" s="1465"/>
      <c r="V20" s="1464"/>
      <c r="W20" s="1465"/>
      <c r="X20" s="1458"/>
      <c r="Y20" s="3660"/>
      <c r="Z20" s="1466"/>
      <c r="AA20" s="1467">
        <v>1</v>
      </c>
      <c r="AB20" s="1467">
        <v>1</v>
      </c>
      <c r="AC20" s="1467">
        <v>1</v>
      </c>
    </row>
    <row r="21" spans="1:29" ht="69">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9"/>
      <c r="M21" s="1969"/>
      <c r="N21" s="1969"/>
      <c r="O21" s="1978"/>
      <c r="P21" s="3660"/>
      <c r="Q21" s="1463" t="str">
        <f>B21</f>
        <v>办公集聚程度</v>
      </c>
      <c r="R21" s="1464" t="s">
        <v>8</v>
      </c>
      <c r="S21" s="1465">
        <f>F21</f>
        <v>100</v>
      </c>
      <c r="T21" s="1464" t="s">
        <v>8</v>
      </c>
      <c r="U21" s="1465">
        <f>H21</f>
        <v>100</v>
      </c>
      <c r="V21" s="1464" t="s">
        <v>8</v>
      </c>
      <c r="W21" s="1465">
        <f>J21</f>
        <v>100</v>
      </c>
      <c r="X21" s="1458"/>
      <c r="Y21" s="3660"/>
      <c r="Z21" s="1466" t="str">
        <f>Q21</f>
        <v>办公集聚程度</v>
      </c>
      <c r="AA21" s="1467">
        <f t="shared" si="3"/>
        <v>1</v>
      </c>
      <c r="AB21" s="1467">
        <f t="shared" si="4"/>
        <v>1</v>
      </c>
      <c r="AC21" s="1467">
        <f t="shared" si="5"/>
        <v>1</v>
      </c>
    </row>
    <row r="22" spans="1:29" ht="21">
      <c r="A22" s="509"/>
      <c r="B22" s="543"/>
      <c r="C22" s="531"/>
      <c r="D22" s="534"/>
      <c r="E22" s="535"/>
      <c r="F22" s="532"/>
      <c r="G22" s="533"/>
      <c r="H22" s="532"/>
      <c r="I22" s="535"/>
      <c r="J22" s="532"/>
      <c r="K22" s="508"/>
      <c r="L22" s="1979"/>
      <c r="M22" s="1969"/>
      <c r="N22" s="1969"/>
      <c r="O22" s="1978"/>
      <c r="P22" s="3660"/>
      <c r="Q22" s="1463"/>
      <c r="R22" s="1464"/>
      <c r="S22" s="1465"/>
      <c r="T22" s="1464"/>
      <c r="U22" s="1465"/>
      <c r="V22" s="1464"/>
      <c r="W22" s="1465"/>
      <c r="X22" s="1458"/>
      <c r="Y22" s="3660"/>
      <c r="Z22" s="1466"/>
      <c r="AA22" s="1467">
        <v>1</v>
      </c>
      <c r="AB22" s="1467">
        <v>1</v>
      </c>
      <c r="AC22" s="1467">
        <v>1</v>
      </c>
    </row>
    <row r="23" spans="1:29" ht="82.8">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9"/>
      <c r="M23" s="1969"/>
      <c r="N23" s="1969"/>
      <c r="O23" s="1978"/>
      <c r="P23" s="3660"/>
      <c r="Q23" s="1463" t="str">
        <f>B23</f>
        <v>交通便捷度</v>
      </c>
      <c r="R23" s="1464" t="s">
        <v>8</v>
      </c>
      <c r="S23" s="1465">
        <f>F23</f>
        <v>100</v>
      </c>
      <c r="T23" s="1464" t="s">
        <v>8</v>
      </c>
      <c r="U23" s="1465">
        <f>H23</f>
        <v>100</v>
      </c>
      <c r="V23" s="1464" t="s">
        <v>8</v>
      </c>
      <c r="W23" s="1465">
        <f>J23</f>
        <v>100</v>
      </c>
      <c r="X23" s="1458"/>
      <c r="Y23" s="3660"/>
      <c r="Z23" s="1466" t="str">
        <f>Q23</f>
        <v>交通便捷度</v>
      </c>
      <c r="AA23" s="1467">
        <f t="shared" si="3"/>
        <v>1</v>
      </c>
      <c r="AB23" s="1467">
        <f t="shared" si="4"/>
        <v>1</v>
      </c>
      <c r="AC23" s="1467">
        <f t="shared" si="5"/>
        <v>1</v>
      </c>
    </row>
    <row r="24" spans="1:29" ht="21">
      <c r="A24" s="509"/>
      <c r="B24" s="555"/>
      <c r="C24" s="531"/>
      <c r="D24" s="534"/>
      <c r="E24" s="535"/>
      <c r="F24" s="532"/>
      <c r="G24" s="533"/>
      <c r="H24" s="532"/>
      <c r="I24" s="535"/>
      <c r="J24" s="532"/>
      <c r="K24" s="508"/>
      <c r="L24" s="1979"/>
      <c r="M24" s="1969"/>
      <c r="N24" s="1969"/>
      <c r="O24" s="1978"/>
      <c r="P24" s="3660"/>
      <c r="Q24" s="1463"/>
      <c r="R24" s="1464"/>
      <c r="S24" s="1465"/>
      <c r="T24" s="1464"/>
      <c r="U24" s="1465"/>
      <c r="V24" s="1464"/>
      <c r="W24" s="1465"/>
      <c r="X24" s="1458"/>
      <c r="Y24" s="3660"/>
      <c r="Z24" s="1466"/>
      <c r="AA24" s="1467">
        <v>1</v>
      </c>
      <c r="AB24" s="1467">
        <v>1</v>
      </c>
      <c r="AC24" s="1467">
        <v>1</v>
      </c>
    </row>
    <row r="25" spans="1:29" ht="28.8">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9"/>
      <c r="M25" s="1969"/>
      <c r="N25" s="1969"/>
      <c r="O25" s="1978"/>
      <c r="P25" s="3660"/>
      <c r="Q25" s="1463" t="str">
        <f t="shared" ref="Q25:Q39" si="8">B25</f>
        <v>区域土地利用方向</v>
      </c>
      <c r="R25" s="1464" t="s">
        <v>8</v>
      </c>
      <c r="S25" s="1465">
        <f>F25</f>
        <v>100</v>
      </c>
      <c r="T25" s="1464" t="s">
        <v>8</v>
      </c>
      <c r="U25" s="1465">
        <f>H25</f>
        <v>100</v>
      </c>
      <c r="V25" s="1464" t="s">
        <v>8</v>
      </c>
      <c r="W25" s="1465">
        <f>J25</f>
        <v>100</v>
      </c>
      <c r="X25" s="1458"/>
      <c r="Y25" s="3660"/>
      <c r="Z25" s="1466" t="str">
        <f>Q25</f>
        <v>区域土地利用方向</v>
      </c>
      <c r="AA25" s="1467">
        <f t="shared" si="3"/>
        <v>1</v>
      </c>
      <c r="AB25" s="1467">
        <f t="shared" si="4"/>
        <v>1</v>
      </c>
      <c r="AC25" s="1467">
        <f t="shared" si="5"/>
        <v>1</v>
      </c>
    </row>
    <row r="26" spans="1:29" ht="21">
      <c r="A26" s="492"/>
      <c r="B26" s="977"/>
      <c r="C26" s="531"/>
      <c r="D26" s="534"/>
      <c r="E26" s="535"/>
      <c r="F26" s="532"/>
      <c r="G26" s="533"/>
      <c r="H26" s="532"/>
      <c r="I26" s="535"/>
      <c r="J26" s="532"/>
      <c r="K26" s="508"/>
      <c r="L26" s="1979"/>
      <c r="M26" s="1969"/>
      <c r="N26" s="1969"/>
      <c r="O26" s="1978"/>
      <c r="P26" s="3660"/>
      <c r="Q26" s="1463"/>
      <c r="R26" s="1464"/>
      <c r="S26" s="1465"/>
      <c r="T26" s="1464"/>
      <c r="U26" s="1465"/>
      <c r="V26" s="1464"/>
      <c r="W26" s="1465"/>
      <c r="X26" s="1458"/>
      <c r="Y26" s="3660"/>
      <c r="Z26" s="1466"/>
      <c r="AA26" s="1467"/>
      <c r="AB26" s="1467"/>
      <c r="AC26" s="1467"/>
    </row>
    <row r="27" spans="1:29" ht="55.2">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9"/>
      <c r="M27" s="1969"/>
      <c r="N27" s="1969"/>
      <c r="O27" s="1978"/>
      <c r="P27" s="3660"/>
      <c r="Q27" s="1463" t="str">
        <f t="shared" si="8"/>
        <v>自然及人文环境状况</v>
      </c>
      <c r="R27" s="1464" t="s">
        <v>8</v>
      </c>
      <c r="S27" s="1465">
        <f>F27</f>
        <v>100</v>
      </c>
      <c r="T27" s="1464" t="s">
        <v>8</v>
      </c>
      <c r="U27" s="1465">
        <f>H27</f>
        <v>100</v>
      </c>
      <c r="V27" s="1464" t="s">
        <v>8</v>
      </c>
      <c r="W27" s="1465">
        <f>J27</f>
        <v>100</v>
      </c>
      <c r="X27" s="1458"/>
      <c r="Y27" s="3660"/>
      <c r="Z27" s="1466" t="str">
        <f>Q27</f>
        <v>自然及人文环境状况</v>
      </c>
      <c r="AA27" s="1467">
        <f t="shared" si="3"/>
        <v>1</v>
      </c>
      <c r="AB27" s="1467">
        <f t="shared" si="4"/>
        <v>1</v>
      </c>
      <c r="AC27" s="1467">
        <f t="shared" si="5"/>
        <v>1</v>
      </c>
    </row>
    <row r="28" spans="1:29" ht="21">
      <c r="A28" s="492"/>
      <c r="B28" s="543"/>
      <c r="C28" s="531"/>
      <c r="D28" s="534"/>
      <c r="E28" s="553"/>
      <c r="F28" s="532"/>
      <c r="G28" s="531"/>
      <c r="H28" s="532"/>
      <c r="I28" s="553"/>
      <c r="J28" s="532"/>
      <c r="K28" s="508"/>
      <c r="L28" s="1979"/>
      <c r="M28" s="1969"/>
      <c r="N28" s="1969"/>
      <c r="O28" s="1978"/>
      <c r="P28" s="3660"/>
      <c r="Q28" s="1463"/>
      <c r="R28" s="1464"/>
      <c r="S28" s="1465"/>
      <c r="T28" s="1464"/>
      <c r="U28" s="1465"/>
      <c r="V28" s="1464"/>
      <c r="W28" s="1465"/>
      <c r="X28" s="1458"/>
      <c r="Y28" s="3660"/>
      <c r="Z28" s="1466"/>
      <c r="AA28" s="1467">
        <v>1</v>
      </c>
      <c r="AB28" s="1467">
        <v>1</v>
      </c>
      <c r="AC28" s="1467">
        <v>1</v>
      </c>
    </row>
    <row r="29" spans="1:29" s="1167" customFormat="1" ht="41.4">
      <c r="A29" s="554"/>
      <c r="B29" s="2358"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72"/>
      <c r="M29" s="1969"/>
      <c r="N29" s="1969"/>
      <c r="O29" s="1974"/>
      <c r="P29" s="3660"/>
      <c r="Q29" s="1098" t="str">
        <f t="shared" si="8"/>
        <v>公共配套设施</v>
      </c>
      <c r="R29" s="1459" t="s">
        <v>8</v>
      </c>
      <c r="S29" s="1460">
        <f>F29</f>
        <v>100</v>
      </c>
      <c r="T29" s="1459" t="s">
        <v>8</v>
      </c>
      <c r="U29" s="1460">
        <f>H29</f>
        <v>100</v>
      </c>
      <c r="V29" s="1459" t="s">
        <v>8</v>
      </c>
      <c r="W29" s="1460">
        <f>J29</f>
        <v>100</v>
      </c>
      <c r="X29" s="1461"/>
      <c r="Y29" s="3660"/>
      <c r="Z29" s="1097" t="str">
        <f>Q29</f>
        <v>公共配套设施</v>
      </c>
      <c r="AA29" s="1467">
        <f>D29/F29</f>
        <v>1</v>
      </c>
      <c r="AB29" s="1467">
        <f>D29/H29</f>
        <v>1</v>
      </c>
      <c r="AC29" s="1467">
        <f>D29/J29</f>
        <v>1</v>
      </c>
    </row>
    <row r="30" spans="1:29" s="1167" customFormat="1" ht="21">
      <c r="A30" s="554"/>
      <c r="B30" s="543"/>
      <c r="C30" s="556"/>
      <c r="D30" s="534"/>
      <c r="E30" s="553"/>
      <c r="F30" s="532"/>
      <c r="G30" s="531"/>
      <c r="H30" s="532"/>
      <c r="I30" s="553"/>
      <c r="J30" s="532"/>
      <c r="K30" s="508"/>
      <c r="L30" s="1972"/>
      <c r="M30" s="1969"/>
      <c r="N30" s="1969"/>
      <c r="O30" s="1974"/>
      <c r="P30" s="3660"/>
      <c r="Q30" s="1098"/>
      <c r="R30" s="1459"/>
      <c r="S30" s="1460"/>
      <c r="T30" s="1459"/>
      <c r="U30" s="1460"/>
      <c r="V30" s="1459"/>
      <c r="W30" s="1460"/>
      <c r="X30" s="1461"/>
      <c r="Y30" s="3660"/>
      <c r="Z30" s="1097"/>
      <c r="AA30" s="1467">
        <v>1</v>
      </c>
      <c r="AB30" s="1467">
        <v>1</v>
      </c>
      <c r="AC30" s="1467">
        <v>1</v>
      </c>
    </row>
    <row r="31" spans="1:29" s="1167" customFormat="1" ht="27.6">
      <c r="A31" s="554"/>
      <c r="B31" s="2358"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2"/>
      <c r="M31" s="1969"/>
      <c r="N31" s="1969"/>
      <c r="O31" s="1974"/>
      <c r="P31" s="3660"/>
      <c r="Q31" s="2351" t="str">
        <f t="shared" ref="Q31" si="9">B31</f>
        <v>基础设施水平</v>
      </c>
      <c r="R31" s="1459" t="s">
        <v>8</v>
      </c>
      <c r="S31" s="1460">
        <f>F31</f>
        <v>100</v>
      </c>
      <c r="T31" s="1459" t="s">
        <v>8</v>
      </c>
      <c r="U31" s="1460">
        <f>H31</f>
        <v>100</v>
      </c>
      <c r="V31" s="1459" t="s">
        <v>8</v>
      </c>
      <c r="W31" s="1460">
        <f>J31</f>
        <v>100</v>
      </c>
      <c r="X31" s="1461"/>
      <c r="Y31" s="3660"/>
      <c r="Z31" s="2350" t="str">
        <f>Q31</f>
        <v>基础设施水平</v>
      </c>
      <c r="AA31" s="1467">
        <f>D31/F31</f>
        <v>1</v>
      </c>
      <c r="AB31" s="1467">
        <f>D31/H31</f>
        <v>1</v>
      </c>
      <c r="AC31" s="1467">
        <f>D31/J31</f>
        <v>1</v>
      </c>
    </row>
    <row r="32" spans="1:29" s="1167" customFormat="1" ht="21">
      <c r="A32" s="554"/>
      <c r="B32" s="543"/>
      <c r="C32" s="556"/>
      <c r="D32" s="534"/>
      <c r="E32" s="2359"/>
      <c r="F32" s="532"/>
      <c r="G32" s="556"/>
      <c r="H32" s="532"/>
      <c r="I32" s="556"/>
      <c r="J32" s="532"/>
      <c r="K32" s="508"/>
      <c r="L32" s="1972"/>
      <c r="M32" s="1969"/>
      <c r="N32" s="1969"/>
      <c r="O32" s="1974"/>
      <c r="P32" s="3660"/>
      <c r="Q32" s="2351"/>
      <c r="R32" s="1459"/>
      <c r="S32" s="1460"/>
      <c r="T32" s="1459"/>
      <c r="U32" s="1460"/>
      <c r="V32" s="1459"/>
      <c r="W32" s="1460"/>
      <c r="X32" s="1461"/>
      <c r="Y32" s="3660"/>
      <c r="Z32" s="2350"/>
      <c r="AA32" s="1467">
        <v>1</v>
      </c>
      <c r="AB32" s="1467">
        <v>1</v>
      </c>
      <c r="AC32" s="1467">
        <v>1</v>
      </c>
    </row>
    <row r="33" spans="1:29" ht="2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60"/>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60"/>
      <c r="Z33" s="1466" t="str">
        <f t="shared" ref="Z33:Z47" si="13">Q33</f>
        <v>临街状况</v>
      </c>
      <c r="AA33" s="1467">
        <f t="shared" si="3"/>
        <v>1</v>
      </c>
      <c r="AB33" s="1467">
        <f t="shared" si="4"/>
        <v>1</v>
      </c>
      <c r="AC33" s="1467">
        <f t="shared" si="5"/>
        <v>1</v>
      </c>
    </row>
    <row r="34" spans="1:29" ht="28.8">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60"/>
      <c r="Q34" s="1463" t="str">
        <f t="shared" si="8"/>
        <v>毗邻道路的类型与等级</v>
      </c>
      <c r="R34" s="1464" t="s">
        <v>8</v>
      </c>
      <c r="S34" s="1465">
        <f t="shared" si="10"/>
        <v>100</v>
      </c>
      <c r="T34" s="1464" t="s">
        <v>8</v>
      </c>
      <c r="U34" s="1465">
        <f t="shared" si="11"/>
        <v>100</v>
      </c>
      <c r="V34" s="1464" t="s">
        <v>8</v>
      </c>
      <c r="W34" s="1465">
        <f t="shared" si="12"/>
        <v>100</v>
      </c>
      <c r="X34" s="1458"/>
      <c r="Y34" s="3660"/>
      <c r="Z34" s="1466" t="str">
        <f t="shared" si="13"/>
        <v>毗邻道路的类型与等级</v>
      </c>
      <c r="AA34" s="1467">
        <f t="shared" si="3"/>
        <v>1</v>
      </c>
      <c r="AB34" s="1467">
        <f t="shared" si="4"/>
        <v>1</v>
      </c>
      <c r="AC34" s="1467">
        <f t="shared" si="5"/>
        <v>1</v>
      </c>
    </row>
    <row r="35" spans="1:29" ht="21">
      <c r="A35" s="509"/>
      <c r="B35" s="543"/>
      <c r="C35" s="531"/>
      <c r="D35" s="534"/>
      <c r="E35" s="553"/>
      <c r="F35" s="532"/>
      <c r="G35" s="531"/>
      <c r="H35" s="532"/>
      <c r="I35" s="553"/>
      <c r="J35" s="532"/>
      <c r="K35" s="558"/>
      <c r="L35" s="1979"/>
      <c r="M35" s="1969"/>
      <c r="N35" s="1969"/>
      <c r="O35" s="1978"/>
      <c r="P35" s="3660"/>
      <c r="Q35" s="1463"/>
      <c r="R35" s="1464"/>
      <c r="S35" s="1465"/>
      <c r="T35" s="1464"/>
      <c r="U35" s="1465"/>
      <c r="V35" s="1464"/>
      <c r="W35" s="1465"/>
      <c r="X35" s="1458"/>
      <c r="Y35" s="3660"/>
      <c r="Z35" s="1466"/>
      <c r="AA35" s="1467">
        <v>1</v>
      </c>
      <c r="AB35" s="1467">
        <v>1</v>
      </c>
      <c r="AC35" s="1467">
        <v>1</v>
      </c>
    </row>
    <row r="36" spans="1:29" ht="2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9"/>
      <c r="M36" s="1969"/>
      <c r="N36" s="1969"/>
      <c r="O36" s="1978"/>
      <c r="P36" s="3660"/>
      <c r="Q36" s="1463" t="str">
        <f t="shared" si="8"/>
        <v>土地级别</v>
      </c>
      <c r="R36" s="1464" t="s">
        <v>8</v>
      </c>
      <c r="S36" s="1465">
        <f t="shared" si="10"/>
        <v>100</v>
      </c>
      <c r="T36" s="1464" t="s">
        <v>8</v>
      </c>
      <c r="U36" s="1465">
        <f t="shared" si="11"/>
        <v>100</v>
      </c>
      <c r="V36" s="1464" t="s">
        <v>8</v>
      </c>
      <c r="W36" s="1465">
        <f t="shared" si="12"/>
        <v>100</v>
      </c>
      <c r="X36" s="1458"/>
      <c r="Y36" s="3660"/>
      <c r="Z36" s="1466" t="str">
        <f t="shared" si="13"/>
        <v>土地级别</v>
      </c>
      <c r="AA36" s="1467">
        <f t="shared" si="3"/>
        <v>1</v>
      </c>
      <c r="AB36" s="1467">
        <f t="shared" si="4"/>
        <v>1</v>
      </c>
      <c r="AC36" s="1467">
        <f t="shared" si="5"/>
        <v>1</v>
      </c>
    </row>
    <row r="37" spans="1:29" ht="2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60"/>
      <c r="Q37" s="1463">
        <f t="shared" si="8"/>
        <v>111</v>
      </c>
      <c r="R37" s="1464" t="s">
        <v>8</v>
      </c>
      <c r="S37" s="1465">
        <f t="shared" si="10"/>
        <v>100</v>
      </c>
      <c r="T37" s="1464" t="s">
        <v>8</v>
      </c>
      <c r="U37" s="1465">
        <f t="shared" si="11"/>
        <v>100</v>
      </c>
      <c r="V37" s="1464" t="s">
        <v>8</v>
      </c>
      <c r="W37" s="1465">
        <f t="shared" si="12"/>
        <v>100</v>
      </c>
      <c r="X37" s="1458"/>
      <c r="Y37" s="3660"/>
      <c r="Z37" s="1466">
        <f t="shared" si="13"/>
        <v>111</v>
      </c>
      <c r="AA37" s="1467">
        <f t="shared" si="3"/>
        <v>1</v>
      </c>
      <c r="AB37" s="1467">
        <f t="shared" si="4"/>
        <v>1</v>
      </c>
      <c r="AC37" s="1467">
        <f t="shared" si="5"/>
        <v>1</v>
      </c>
    </row>
    <row r="38" spans="1:29" ht="2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61" t="s">
        <v>533</v>
      </c>
      <c r="Q38" s="1463">
        <f t="shared" si="8"/>
        <v>111</v>
      </c>
      <c r="R38" s="1464" t="s">
        <v>8</v>
      </c>
      <c r="S38" s="1465">
        <f t="shared" si="10"/>
        <v>100</v>
      </c>
      <c r="T38" s="1464" t="s">
        <v>8</v>
      </c>
      <c r="U38" s="1465">
        <f t="shared" si="11"/>
        <v>100</v>
      </c>
      <c r="V38" s="1464" t="s">
        <v>8</v>
      </c>
      <c r="W38" s="1465">
        <f t="shared" si="12"/>
        <v>100</v>
      </c>
      <c r="X38" s="1458"/>
      <c r="Y38" s="3662" t="s">
        <v>533</v>
      </c>
      <c r="Z38" s="1466">
        <f t="shared" si="13"/>
        <v>111</v>
      </c>
      <c r="AA38" s="1467">
        <f t="shared" si="3"/>
        <v>1</v>
      </c>
      <c r="AB38" s="1467">
        <f t="shared" si="4"/>
        <v>1</v>
      </c>
      <c r="AC38" s="1467">
        <f t="shared" si="5"/>
        <v>1</v>
      </c>
    </row>
    <row r="39" spans="1:29" s="1249" customFormat="1" ht="21.6"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62"/>
      <c r="Q39" s="1463">
        <f t="shared" si="8"/>
        <v>111</v>
      </c>
      <c r="R39" s="1468" t="s">
        <v>8</v>
      </c>
      <c r="S39" s="1469">
        <f t="shared" si="10"/>
        <v>100</v>
      </c>
      <c r="T39" s="1468" t="s">
        <v>8</v>
      </c>
      <c r="U39" s="1469">
        <f t="shared" si="11"/>
        <v>100</v>
      </c>
      <c r="V39" s="1468" t="s">
        <v>8</v>
      </c>
      <c r="W39" s="1469">
        <f t="shared" si="12"/>
        <v>100</v>
      </c>
      <c r="X39" s="1470"/>
      <c r="Y39" s="3662"/>
      <c r="Z39" s="1471">
        <f t="shared" si="13"/>
        <v>111</v>
      </c>
      <c r="AA39" s="1467">
        <f t="shared" si="3"/>
        <v>1</v>
      </c>
      <c r="AB39" s="1467">
        <f t="shared" si="4"/>
        <v>1</v>
      </c>
      <c r="AC39" s="1467">
        <f t="shared" si="5"/>
        <v>1</v>
      </c>
    </row>
    <row r="40" spans="1:29" ht="21">
      <c r="A40" s="2547" t="s">
        <v>2472</v>
      </c>
      <c r="B40" s="572" t="s">
        <v>535</v>
      </c>
      <c r="C40" s="573"/>
      <c r="D40" s="574">
        <v>100</v>
      </c>
      <c r="E40" s="573"/>
      <c r="F40" s="574" t="e">
        <f>LOOKUP(E40,118:118,119:119)-LOOKUP(C40,118:118,119:119)+100</f>
        <v>#N/A</v>
      </c>
      <c r="G40" s="573"/>
      <c r="H40" s="574" t="e">
        <f>LOOKUP(G40,118:118,119:119)-LOOKUP(C40,118:118,119:119)+100</f>
        <v>#N/A</v>
      </c>
      <c r="I40" s="575"/>
      <c r="J40" s="574" t="e">
        <f>LOOKUP(I40,118:118,119:119)-LOOKUP(C40,118:118,119:119)+100</f>
        <v>#N/A</v>
      </c>
      <c r="K40" s="558"/>
      <c r="L40" s="1979"/>
      <c r="M40" s="1969"/>
      <c r="N40" s="1969"/>
      <c r="O40" s="1978"/>
      <c r="P40" s="3662"/>
      <c r="Q40" s="1463" t="str">
        <f>B40</f>
        <v>宗地面积</v>
      </c>
      <c r="R40" s="1464" t="s">
        <v>8</v>
      </c>
      <c r="S40" s="1465" t="e">
        <f t="shared" si="10"/>
        <v>#N/A</v>
      </c>
      <c r="T40" s="1464" t="s">
        <v>8</v>
      </c>
      <c r="U40" s="1465" t="e">
        <f t="shared" si="11"/>
        <v>#N/A</v>
      </c>
      <c r="V40" s="1464" t="s">
        <v>8</v>
      </c>
      <c r="W40" s="1465" t="e">
        <f t="shared" si="12"/>
        <v>#N/A</v>
      </c>
      <c r="X40" s="1458"/>
      <c r="Y40" s="3662"/>
      <c r="Z40" s="1466" t="str">
        <f t="shared" si="13"/>
        <v>宗地面积</v>
      </c>
      <c r="AA40" s="1467" t="e">
        <f t="shared" si="3"/>
        <v>#N/A</v>
      </c>
      <c r="AB40" s="1467" t="e">
        <f t="shared" si="4"/>
        <v>#N/A</v>
      </c>
      <c r="AC40" s="1467" t="e">
        <f t="shared" si="5"/>
        <v>#N/A</v>
      </c>
    </row>
    <row r="41" spans="1:29" ht="21">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9"/>
      <c r="M41" s="1969"/>
      <c r="N41" s="1969"/>
      <c r="O41" s="1978"/>
      <c r="P41" s="3662"/>
      <c r="Q41" s="1463" t="str">
        <f t="shared" ref="Q41:Q47" si="14">B41</f>
        <v>宗地形状</v>
      </c>
      <c r="R41" s="1464" t="s">
        <v>8</v>
      </c>
      <c r="S41" s="1465">
        <f t="shared" si="10"/>
        <v>100</v>
      </c>
      <c r="T41" s="1464" t="s">
        <v>8</v>
      </c>
      <c r="U41" s="1465">
        <f t="shared" si="11"/>
        <v>100</v>
      </c>
      <c r="V41" s="1464" t="s">
        <v>8</v>
      </c>
      <c r="W41" s="1465">
        <f t="shared" si="12"/>
        <v>100</v>
      </c>
      <c r="X41" s="1458"/>
      <c r="Y41" s="3662"/>
      <c r="Z41" s="1466" t="str">
        <f t="shared" si="13"/>
        <v>宗地形状</v>
      </c>
      <c r="AA41" s="1467">
        <f t="shared" si="3"/>
        <v>1</v>
      </c>
      <c r="AB41" s="1467">
        <f t="shared" si="4"/>
        <v>1</v>
      </c>
      <c r="AC41" s="1467">
        <f t="shared" si="5"/>
        <v>1</v>
      </c>
    </row>
    <row r="42" spans="1:29" ht="21">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9"/>
      <c r="M42" s="1969"/>
      <c r="N42" s="1969"/>
      <c r="O42" s="1978"/>
      <c r="P42" s="3662"/>
      <c r="Q42" s="1463" t="str">
        <f t="shared" si="14"/>
        <v>临街宽度及深度</v>
      </c>
      <c r="R42" s="1464" t="s">
        <v>8</v>
      </c>
      <c r="S42" s="1465">
        <f t="shared" si="10"/>
        <v>100</v>
      </c>
      <c r="T42" s="1464" t="s">
        <v>8</v>
      </c>
      <c r="U42" s="1465">
        <f t="shared" si="11"/>
        <v>100</v>
      </c>
      <c r="V42" s="1464" t="s">
        <v>8</v>
      </c>
      <c r="W42" s="1465">
        <f t="shared" si="12"/>
        <v>100</v>
      </c>
      <c r="X42" s="1458"/>
      <c r="Y42" s="3662"/>
      <c r="Z42" s="1466" t="str">
        <f t="shared" si="13"/>
        <v>临街宽度及深度</v>
      </c>
      <c r="AA42" s="1467">
        <f t="shared" si="3"/>
        <v>1</v>
      </c>
      <c r="AB42" s="1467">
        <f t="shared" si="4"/>
        <v>1</v>
      </c>
      <c r="AC42" s="1467">
        <f t="shared" si="5"/>
        <v>1</v>
      </c>
    </row>
    <row r="43" spans="1:29" s="1167" customFormat="1" ht="21">
      <c r="A43" s="577"/>
      <c r="B43" s="1765" t="s">
        <v>2211</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72"/>
      <c r="M43" s="1969"/>
      <c r="N43" s="1969"/>
      <c r="O43" s="1974"/>
      <c r="P43" s="3662"/>
      <c r="Q43" s="1463" t="str">
        <f t="shared" si="14"/>
        <v>宗地开发程度</v>
      </c>
      <c r="R43" s="1459" t="s">
        <v>8</v>
      </c>
      <c r="S43" s="1460">
        <f t="shared" si="10"/>
        <v>100</v>
      </c>
      <c r="T43" s="1459" t="s">
        <v>8</v>
      </c>
      <c r="U43" s="1460">
        <f t="shared" si="11"/>
        <v>100</v>
      </c>
      <c r="V43" s="1459" t="s">
        <v>8</v>
      </c>
      <c r="W43" s="1460">
        <f t="shared" si="12"/>
        <v>100</v>
      </c>
      <c r="X43" s="1461"/>
      <c r="Y43" s="3662"/>
      <c r="Z43" s="1097" t="str">
        <f t="shared" si="13"/>
        <v>宗地开发程度</v>
      </c>
      <c r="AA43" s="1462">
        <f t="shared" si="3"/>
        <v>1</v>
      </c>
      <c r="AB43" s="1462">
        <f t="shared" si="4"/>
        <v>1</v>
      </c>
      <c r="AC43" s="1462">
        <f t="shared" si="5"/>
        <v>1</v>
      </c>
    </row>
    <row r="44" spans="1:29" ht="21">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9"/>
      <c r="M44" s="1969"/>
      <c r="N44" s="1969"/>
      <c r="O44" s="1978"/>
      <c r="P44" s="3662" t="s">
        <v>533</v>
      </c>
      <c r="Q44" s="1463" t="str">
        <f t="shared" si="14"/>
        <v>工程地质条件</v>
      </c>
      <c r="R44" s="1464" t="s">
        <v>8</v>
      </c>
      <c r="S44" s="1465">
        <f t="shared" si="10"/>
        <v>100</v>
      </c>
      <c r="T44" s="1464" t="s">
        <v>8</v>
      </c>
      <c r="U44" s="1465">
        <f t="shared" si="11"/>
        <v>100</v>
      </c>
      <c r="V44" s="1464" t="s">
        <v>8</v>
      </c>
      <c r="W44" s="1465">
        <f t="shared" si="12"/>
        <v>100</v>
      </c>
      <c r="X44" s="1458"/>
      <c r="Y44" s="3662" t="s">
        <v>533</v>
      </c>
      <c r="Z44" s="1466" t="str">
        <f t="shared" si="13"/>
        <v>工程地质条件</v>
      </c>
      <c r="AA44" s="1467">
        <f t="shared" si="3"/>
        <v>1</v>
      </c>
      <c r="AB44" s="1467">
        <f t="shared" si="4"/>
        <v>1</v>
      </c>
      <c r="AC44" s="1467">
        <f t="shared" si="5"/>
        <v>1</v>
      </c>
    </row>
    <row r="45" spans="1:29" ht="2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9"/>
      <c r="M45" s="1969"/>
      <c r="N45" s="1969"/>
      <c r="O45" s="1978"/>
      <c r="P45" s="3662"/>
      <c r="Q45" s="1463">
        <f t="shared" si="14"/>
        <v>111</v>
      </c>
      <c r="R45" s="1464" t="s">
        <v>8</v>
      </c>
      <c r="S45" s="1465">
        <f t="shared" si="10"/>
        <v>100</v>
      </c>
      <c r="T45" s="1464" t="s">
        <v>8</v>
      </c>
      <c r="U45" s="1465">
        <f t="shared" si="11"/>
        <v>100</v>
      </c>
      <c r="V45" s="1464" t="s">
        <v>8</v>
      </c>
      <c r="W45" s="1465">
        <f t="shared" si="12"/>
        <v>100</v>
      </c>
      <c r="X45" s="1458"/>
      <c r="Y45" s="3662"/>
      <c r="Z45" s="1466">
        <f t="shared" si="13"/>
        <v>111</v>
      </c>
      <c r="AA45" s="1467">
        <f t="shared" si="3"/>
        <v>1</v>
      </c>
      <c r="AB45" s="1467">
        <f t="shared" si="4"/>
        <v>1</v>
      </c>
      <c r="AC45" s="1467">
        <f t="shared" si="5"/>
        <v>1</v>
      </c>
    </row>
    <row r="46" spans="1:29" ht="2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62"/>
      <c r="Q46" s="1463">
        <f t="shared" si="14"/>
        <v>111</v>
      </c>
      <c r="R46" s="1464" t="s">
        <v>8</v>
      </c>
      <c r="S46" s="1465">
        <f t="shared" si="10"/>
        <v>100</v>
      </c>
      <c r="T46" s="1464" t="s">
        <v>8</v>
      </c>
      <c r="U46" s="1465">
        <f t="shared" si="11"/>
        <v>100</v>
      </c>
      <c r="V46" s="1464" t="s">
        <v>8</v>
      </c>
      <c r="W46" s="1465">
        <f t="shared" si="12"/>
        <v>100</v>
      </c>
      <c r="X46" s="1458"/>
      <c r="Y46" s="3662"/>
      <c r="Z46" s="1466">
        <f t="shared" si="13"/>
        <v>111</v>
      </c>
      <c r="AA46" s="1467">
        <f t="shared" si="3"/>
        <v>1</v>
      </c>
      <c r="AB46" s="1467">
        <f t="shared" si="4"/>
        <v>1</v>
      </c>
      <c r="AC46" s="1467">
        <f t="shared" si="5"/>
        <v>1</v>
      </c>
    </row>
    <row r="47" spans="1:29" s="1249" customFormat="1" ht="21.6"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1969"/>
      <c r="N47" s="1969"/>
      <c r="O47" s="1980"/>
      <c r="P47" s="3662"/>
      <c r="Q47" s="1463">
        <f t="shared" si="14"/>
        <v>111</v>
      </c>
      <c r="R47" s="1468" t="s">
        <v>8</v>
      </c>
      <c r="S47" s="1469">
        <f t="shared" si="10"/>
        <v>100</v>
      </c>
      <c r="T47" s="1468" t="s">
        <v>8</v>
      </c>
      <c r="U47" s="1469">
        <f t="shared" si="11"/>
        <v>100</v>
      </c>
      <c r="V47" s="1468" t="s">
        <v>8</v>
      </c>
      <c r="W47" s="1469">
        <f t="shared" si="12"/>
        <v>100</v>
      </c>
      <c r="X47" s="1470"/>
      <c r="Y47" s="3662"/>
      <c r="Z47" s="1471">
        <f t="shared" si="13"/>
        <v>111</v>
      </c>
      <c r="AA47" s="1467">
        <f t="shared" si="3"/>
        <v>1</v>
      </c>
      <c r="AB47" s="1467">
        <f t="shared" si="4"/>
        <v>1</v>
      </c>
      <c r="AC47" s="1467">
        <f t="shared" si="5"/>
        <v>1</v>
      </c>
    </row>
    <row r="48" spans="1:29" ht="21">
      <c r="A48" s="584" t="s">
        <v>539</v>
      </c>
      <c r="B48" s="585" t="s">
        <v>2636</v>
      </c>
      <c r="C48" s="586" t="s">
        <v>1</v>
      </c>
      <c r="D48" s="587"/>
      <c r="E48" s="588"/>
      <c r="F48" s="589"/>
      <c r="G48" s="590"/>
      <c r="H48" s="591"/>
      <c r="I48" s="588"/>
      <c r="J48" s="591"/>
      <c r="K48" s="1250"/>
      <c r="L48" s="1981"/>
      <c r="M48" s="1969"/>
      <c r="N48" s="1969"/>
      <c r="O48" s="1982"/>
      <c r="P48" s="3626" t="str">
        <f>A48</f>
        <v>成交单价</v>
      </c>
      <c r="Q48" s="3626"/>
      <c r="R48" s="3627">
        <f>E48</f>
        <v>0</v>
      </c>
      <c r="S48" s="3627"/>
      <c r="T48" s="3627">
        <f>G48</f>
        <v>0</v>
      </c>
      <c r="U48" s="3627"/>
      <c r="V48" s="3627">
        <f>I48</f>
        <v>0</v>
      </c>
      <c r="W48" s="3627"/>
      <c r="X48" s="1453"/>
      <c r="Y48" s="1472"/>
      <c r="Z48" s="1453"/>
      <c r="AA48" s="1453"/>
      <c r="AB48" s="1453"/>
      <c r="AC48" s="1453"/>
    </row>
    <row r="49" spans="1:29" ht="21.6" thickBot="1">
      <c r="A49" s="592" t="s">
        <v>2410</v>
      </c>
      <c r="B49" s="593"/>
      <c r="C49" s="594" t="e">
        <f>R50</f>
        <v>#DIV/0!</v>
      </c>
      <c r="D49" s="2923" t="s">
        <v>2702</v>
      </c>
      <c r="E49" s="594" t="e">
        <f>R49</f>
        <v>#DIV/0!</v>
      </c>
      <c r="F49" s="2924"/>
      <c r="G49" s="595" t="e">
        <f>T49</f>
        <v>#DIV/0!</v>
      </c>
      <c r="H49" s="2924"/>
      <c r="I49" s="594" t="e">
        <f>V49</f>
        <v>#DIV/0!</v>
      </c>
      <c r="J49" s="2924"/>
      <c r="K49" s="2925">
        <f>F49+H49+J49</f>
        <v>0</v>
      </c>
      <c r="L49" s="1981"/>
      <c r="M49" s="1969"/>
      <c r="N49" s="1969"/>
      <c r="O49" s="1982"/>
      <c r="P49" s="3626" t="str">
        <f>A49</f>
        <v>比较价格（元/平方米）</v>
      </c>
      <c r="Q49" s="3626"/>
      <c r="R49" s="3628" t="e">
        <f>ROUND(PRODUCT(R48,AA9:AA47),0)</f>
        <v>#DIV/0!</v>
      </c>
      <c r="S49" s="3628"/>
      <c r="T49" s="3628" t="e">
        <f>ROUND(PRODUCT(T48,AB9:AB47),0)</f>
        <v>#DIV/0!</v>
      </c>
      <c r="U49" s="3628"/>
      <c r="V49" s="3628" t="e">
        <f>ROUND(PRODUCT(V48,AC9:AC47),0)</f>
        <v>#DIV/0!</v>
      </c>
      <c r="W49" s="3628"/>
      <c r="X49" s="1453"/>
      <c r="Y49" s="1453"/>
      <c r="Z49" s="1453"/>
      <c r="AA49" s="1453"/>
      <c r="AB49" s="1453"/>
      <c r="AC49" s="1453"/>
    </row>
    <row r="50" spans="1:29" ht="21.6" thickBot="1">
      <c r="A50" s="596" t="s">
        <v>2637</v>
      </c>
      <c r="B50" s="597"/>
      <c r="C50" s="598" t="e">
        <f>R50</f>
        <v>#DIV/0!</v>
      </c>
      <c r="D50" s="598"/>
      <c r="E50" s="598"/>
      <c r="F50" s="598"/>
      <c r="G50" s="598"/>
      <c r="H50" s="598"/>
      <c r="I50" s="598"/>
      <c r="J50" s="598"/>
      <c r="K50" s="1251"/>
      <c r="L50" s="1981"/>
      <c r="M50" s="1969"/>
      <c r="N50" s="1969"/>
      <c r="O50" s="1982"/>
      <c r="P50" s="3663" t="str">
        <f>A50</f>
        <v>估价对象XX用房的比较价格（楼面单价，元/平方米）</v>
      </c>
      <c r="Q50" s="3664"/>
      <c r="R50" s="3625" t="e">
        <f>ROUND(IF(D49="简单平均",AVERAGE(R49:W49),R49*F49+T49*H49+V49*J49),0)</f>
        <v>#DIV/0!</v>
      </c>
      <c r="S50" s="3625"/>
      <c r="T50" s="3625"/>
      <c r="U50" s="3625"/>
      <c r="V50" s="3625"/>
      <c r="W50" s="3625"/>
      <c r="X50" s="1453"/>
      <c r="Y50" s="1453"/>
      <c r="Z50" s="1453"/>
      <c r="AA50" s="1453"/>
      <c r="AB50" s="1453"/>
      <c r="AC50" s="1453"/>
    </row>
    <row r="51" spans="1:29" ht="21">
      <c r="A51" s="3123"/>
      <c r="B51" s="3123"/>
      <c r="C51" s="3123"/>
      <c r="D51" s="3123"/>
      <c r="E51" s="3123"/>
      <c r="F51" s="3123"/>
      <c r="G51" s="3125"/>
      <c r="H51" s="3123"/>
      <c r="I51" s="3123"/>
      <c r="J51" s="3123"/>
      <c r="K51" s="3126"/>
      <c r="L51" s="1986"/>
      <c r="M51" s="1969"/>
      <c r="N51" s="1969"/>
      <c r="O51" s="1982"/>
      <c r="P51" s="1982"/>
      <c r="Q51" s="1982"/>
      <c r="R51" s="1982"/>
      <c r="S51" s="1982"/>
      <c r="T51" s="1982"/>
      <c r="U51" s="1982"/>
      <c r="V51" s="1982"/>
      <c r="W51" s="1982"/>
      <c r="X51" s="1982"/>
      <c r="Y51" s="1982"/>
      <c r="Z51" s="1982"/>
      <c r="AA51" s="1982"/>
      <c r="AB51" s="1982"/>
      <c r="AC51" s="1982"/>
    </row>
    <row r="52" spans="1:29" ht="21">
      <c r="A52" s="3123"/>
      <c r="B52" s="3123"/>
      <c r="C52" s="3123"/>
      <c r="D52" s="3123"/>
      <c r="E52" s="3123"/>
      <c r="F52" s="3123"/>
      <c r="G52" s="3123"/>
      <c r="H52" s="3123"/>
      <c r="I52" s="3123"/>
      <c r="J52" s="3123"/>
      <c r="K52" s="3126"/>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6" thickBot="1">
      <c r="A56" s="1983"/>
      <c r="B56" s="1984"/>
      <c r="C56" s="1987"/>
      <c r="D56" s="1983"/>
      <c r="E56" s="1983"/>
      <c r="F56" s="1983"/>
      <c r="G56" s="1983"/>
      <c r="H56" s="1983"/>
      <c r="I56" s="1983"/>
      <c r="J56" s="1983"/>
      <c r="K56" s="3127"/>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1524</v>
      </c>
      <c r="D57" s="2062" t="s">
        <v>2083</v>
      </c>
      <c r="E57" s="606" t="s">
        <v>545</v>
      </c>
      <c r="F57" s="607" t="s">
        <v>546</v>
      </c>
      <c r="G57" s="3652" t="s">
        <v>2072</v>
      </c>
      <c r="H57" s="3653"/>
      <c r="I57" s="1450" t="s">
        <v>1522</v>
      </c>
      <c r="J57" s="1450">
        <f>项目基本情况!F41</f>
        <v>0</v>
      </c>
      <c r="K57" s="1990" t="s">
        <v>1523</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3.2">
      <c r="A58" s="608" t="s">
        <v>547</v>
      </c>
      <c r="B58" s="609" t="e">
        <f>C50</f>
        <v>#DIV/0!</v>
      </c>
      <c r="C58" s="610">
        <v>1</v>
      </c>
      <c r="D58" s="2063">
        <v>1</v>
      </c>
      <c r="E58" s="610">
        <f>'数据-汇总表'!E8+'数据-汇总表'!E9</f>
        <v>0</v>
      </c>
      <c r="F58" s="611" t="e">
        <f t="shared" ref="F58:F66" si="15">ROUND(B58*E58/10000,0)</f>
        <v>#DIV/0!</v>
      </c>
      <c r="G58" s="3654"/>
      <c r="H58" s="3655"/>
      <c r="I58" s="1451">
        <v>1</v>
      </c>
      <c r="J58" s="1451">
        <v>1</v>
      </c>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3.2">
      <c r="A59" s="612" t="s">
        <v>548</v>
      </c>
      <c r="B59" s="613" t="e">
        <f>ROUND($C$50*C59*D59,0)</f>
        <v>#DIV/0!</v>
      </c>
      <c r="C59" s="372">
        <f t="shared" ref="C59:C66" si="16">IF($C$57="北京市系数",I59,J59)</f>
        <v>0</v>
      </c>
      <c r="D59" s="2064">
        <v>0.25</v>
      </c>
      <c r="E59" s="614">
        <v>0</v>
      </c>
      <c r="F59" s="611" t="e">
        <f t="shared" si="15"/>
        <v>#DIV/0!</v>
      </c>
      <c r="G59" s="3444" t="s">
        <v>2073</v>
      </c>
      <c r="H59" s="1818">
        <f>项目基本情况!B43</f>
        <v>0</v>
      </c>
      <c r="I59" s="1451">
        <f>SUMIF(修正!$A$57:$A$68,H59,修正!B57:B68)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3.2">
      <c r="A60" s="612" t="s">
        <v>549</v>
      </c>
      <c r="B60" s="613" t="e">
        <f t="shared" ref="B60:B66" si="17">ROUND($C$50*C60*D60,0)</f>
        <v>#DIV/0!</v>
      </c>
      <c r="C60" s="372">
        <f t="shared" si="16"/>
        <v>0</v>
      </c>
      <c r="D60" s="2064">
        <v>0.25</v>
      </c>
      <c r="E60" s="614">
        <v>0</v>
      </c>
      <c r="F60" s="611" t="e">
        <f t="shared" si="15"/>
        <v>#DIV/0!</v>
      </c>
      <c r="G60" s="3445"/>
      <c r="H60" s="1818">
        <f>项目基本情况!B43</f>
        <v>0</v>
      </c>
      <c r="I60" s="1451">
        <f>SUMIF(修正!$A$57:$A$68,H60,修正!C57:C68)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2">
      <c r="A61" s="612" t="s">
        <v>550</v>
      </c>
      <c r="B61" s="613" t="e">
        <f t="shared" si="17"/>
        <v>#DIV/0!</v>
      </c>
      <c r="C61" s="372">
        <f t="shared" si="16"/>
        <v>0</v>
      </c>
      <c r="D61" s="2064">
        <v>0.25</v>
      </c>
      <c r="E61" s="614">
        <v>0</v>
      </c>
      <c r="F61" s="611" t="e">
        <f t="shared" si="15"/>
        <v>#DIV/0!</v>
      </c>
      <c r="G61" s="3445"/>
      <c r="H61" s="1818">
        <f>项目基本情况!B43</f>
        <v>0</v>
      </c>
      <c r="I61" s="1451">
        <f>SUMIF(修正!$A$57:$A$68,H61,修正!D57:D68)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2">
      <c r="A62" s="2166" t="s">
        <v>2118</v>
      </c>
      <c r="B62" s="613" t="e">
        <f t="shared" si="17"/>
        <v>#DIV/0!</v>
      </c>
      <c r="C62" s="372">
        <f t="shared" si="16"/>
        <v>0</v>
      </c>
      <c r="D62" s="2064">
        <v>0.25</v>
      </c>
      <c r="E62" s="616">
        <f>'数据-汇总表'!E11</f>
        <v>0</v>
      </c>
      <c r="F62" s="611" t="e">
        <f t="shared" si="15"/>
        <v>#DIV/0!</v>
      </c>
      <c r="G62" s="1815" t="s">
        <v>2074</v>
      </c>
      <c r="H62" s="1818">
        <f>项目基本情况!C43</f>
        <v>0</v>
      </c>
      <c r="I62" s="1451">
        <f>SUMIF(修正!$A$57:$A$68,H62,修正!E57:E68)</f>
        <v>0</v>
      </c>
      <c r="J62" s="1452"/>
      <c r="K62" s="3128"/>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3.2">
      <c r="A63" s="612" t="s">
        <v>551</v>
      </c>
      <c r="B63" s="613" t="e">
        <f t="shared" si="17"/>
        <v>#DIV/0!</v>
      </c>
      <c r="C63" s="372">
        <f t="shared" si="16"/>
        <v>0</v>
      </c>
      <c r="D63" s="2064">
        <v>0.25</v>
      </c>
      <c r="E63" s="616">
        <f>'数据-汇总表'!E12</f>
        <v>0</v>
      </c>
      <c r="F63" s="611" t="e">
        <f t="shared" si="15"/>
        <v>#DIV/0!</v>
      </c>
      <c r="G63" s="1816" t="s">
        <v>1477</v>
      </c>
      <c r="H63" s="1814">
        <f>IF(G63="商业",项目基本情况!B43,IF(G63="办公",项目基本情况!C43,IF(G63="住宅",项目基本情况!D43,项目基本情况!E43)))</f>
        <v>0</v>
      </c>
      <c r="I63" s="1451">
        <f>SUMIF(修正!$A$57:$A$68,H63,修正!F57:F68)</f>
        <v>0</v>
      </c>
      <c r="J63" s="1452"/>
      <c r="K63" s="3128"/>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3.2">
      <c r="A64" s="612" t="s">
        <v>552</v>
      </c>
      <c r="B64" s="613" t="e">
        <f t="shared" si="17"/>
        <v>#DIV/0!</v>
      </c>
      <c r="C64" s="372">
        <f t="shared" si="16"/>
        <v>0</v>
      </c>
      <c r="D64" s="2064">
        <v>0.25</v>
      </c>
      <c r="E64" s="616">
        <f>'数据-汇总表'!E13</f>
        <v>0</v>
      </c>
      <c r="F64" s="611" t="e">
        <f t="shared" si="15"/>
        <v>#DIV/0!</v>
      </c>
      <c r="G64" s="1816" t="s">
        <v>902</v>
      </c>
      <c r="H64" s="1814">
        <f>IF(G64="商业",项目基本情况!B43,IF(G64="办公",项目基本情况!C43,IF(G64="住宅",项目基本情况!D43,项目基本情况!E43)))</f>
        <v>0</v>
      </c>
      <c r="I64" s="1451">
        <f>SUMIF(修正!$A$57:$A$68,H64,修正!G57:G68)</f>
        <v>0</v>
      </c>
      <c r="J64" s="1452"/>
      <c r="K64" s="3128"/>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3.2">
      <c r="A65" s="612" t="s">
        <v>553</v>
      </c>
      <c r="B65" s="613" t="e">
        <f t="shared" si="17"/>
        <v>#DIV/0!</v>
      </c>
      <c r="C65" s="372">
        <f t="shared" si="16"/>
        <v>0</v>
      </c>
      <c r="D65" s="2064">
        <v>0.25</v>
      </c>
      <c r="E65" s="616">
        <f>'数据-汇总表'!E14</f>
        <v>0</v>
      </c>
      <c r="F65" s="611" t="e">
        <f t="shared" si="15"/>
        <v>#DIV/0!</v>
      </c>
      <c r="G65" s="1815" t="s">
        <v>2073</v>
      </c>
      <c r="H65" s="1818">
        <f>项目基本情况!B43</f>
        <v>0</v>
      </c>
      <c r="I65" s="1451">
        <f>SUMIF(修正!$A$57:$A$68,H65,修正!G57:G68)</f>
        <v>0</v>
      </c>
      <c r="J65" s="1452"/>
      <c r="K65" s="3128"/>
      <c r="L65" s="1991"/>
      <c r="M65" s="1991"/>
      <c r="N65" s="1991"/>
      <c r="O65" s="1991"/>
      <c r="P65" s="1991"/>
      <c r="Q65" s="1991"/>
      <c r="R65" s="1991"/>
      <c r="S65" s="1991"/>
      <c r="T65" s="1991"/>
      <c r="U65" s="1991"/>
      <c r="V65" s="1991"/>
      <c r="W65" s="1991"/>
      <c r="X65" s="1991"/>
      <c r="Y65" s="1991"/>
      <c r="Z65" s="1991"/>
      <c r="AA65" s="1991"/>
      <c r="AB65" s="1991"/>
      <c r="AC65" s="1991"/>
    </row>
    <row r="66" spans="1:29" s="1255" customFormat="1" thickBot="1">
      <c r="A66" s="612" t="s">
        <v>554</v>
      </c>
      <c r="B66" s="613" t="e">
        <f t="shared" si="17"/>
        <v>#DIV/0!</v>
      </c>
      <c r="C66" s="372">
        <f t="shared" si="16"/>
        <v>0</v>
      </c>
      <c r="D66" s="2064">
        <v>0.25</v>
      </c>
      <c r="E66" s="616">
        <f>'数据-汇总表'!E15</f>
        <v>0</v>
      </c>
      <c r="F66" s="611" t="e">
        <f t="shared" si="15"/>
        <v>#DIV/0!</v>
      </c>
      <c r="G66" s="1817" t="s">
        <v>2074</v>
      </c>
      <c r="H66" s="1819">
        <f>项目基本情况!C43</f>
        <v>0</v>
      </c>
      <c r="I66" s="1451">
        <f>SUMIF(修正!$A$57:$A$68,H66,修正!G57:G68)</f>
        <v>0</v>
      </c>
      <c r="J66" s="1452"/>
      <c r="K66" s="3128"/>
      <c r="L66" s="1991"/>
      <c r="M66" s="1991"/>
      <c r="N66" s="1991"/>
      <c r="O66" s="1991"/>
      <c r="P66" s="1991"/>
      <c r="Q66" s="1991"/>
      <c r="R66" s="1991"/>
      <c r="S66" s="1991"/>
      <c r="T66" s="1991"/>
      <c r="U66" s="1991"/>
      <c r="V66" s="1991"/>
      <c r="W66" s="1991"/>
      <c r="X66" s="1991"/>
      <c r="Y66" s="1991"/>
      <c r="Z66" s="1991"/>
      <c r="AA66" s="1991"/>
      <c r="AB66" s="1991"/>
      <c r="AC66" s="1991"/>
    </row>
    <row r="67" spans="1:29" s="1255" customFormat="1" thickBot="1">
      <c r="A67" s="617" t="s">
        <v>555</v>
      </c>
      <c r="B67" s="618" t="s">
        <v>17</v>
      </c>
      <c r="C67" s="618" t="s">
        <v>18</v>
      </c>
      <c r="D67" s="618" t="s">
        <v>2084</v>
      </c>
      <c r="E67" s="618" t="e">
        <f>IF(B48="楼面地价",SUM(E58:E66),'数据-汇总表'!D3)</f>
        <v>#DIV/0!</v>
      </c>
      <c r="F67" s="619" t="e">
        <f>IF(B48="楼面地价",SUM(F58:F66),ROUND(C50*E67/10000,0))</f>
        <v>#DIV/0!</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1900-1-1</v>
      </c>
      <c r="D69" s="2439" t="e">
        <f>EDATE(C69,-3)</f>
        <v>#NUM!</v>
      </c>
      <c r="E69" s="2439" t="e">
        <f t="shared" ref="E69:N69" si="18">EDATE(D69,-3)</f>
        <v>#NUM!</v>
      </c>
      <c r="F69" s="2439" t="e">
        <f t="shared" si="18"/>
        <v>#NUM!</v>
      </c>
      <c r="G69" s="2439" t="e">
        <f t="shared" si="18"/>
        <v>#NUM!</v>
      </c>
      <c r="H69" s="2439" t="e">
        <f t="shared" si="18"/>
        <v>#NUM!</v>
      </c>
      <c r="I69" s="2439" t="e">
        <f t="shared" si="18"/>
        <v>#NUM!</v>
      </c>
      <c r="J69" s="2439" t="e">
        <f t="shared" si="18"/>
        <v>#NUM!</v>
      </c>
      <c r="K69" s="2439" t="e">
        <f t="shared" si="18"/>
        <v>#NUM!</v>
      </c>
      <c r="L69" s="2439" t="e">
        <f t="shared" si="18"/>
        <v>#NUM!</v>
      </c>
      <c r="M69" s="2439" t="e">
        <f t="shared" si="18"/>
        <v>#NUM!</v>
      </c>
      <c r="N69" s="2439" t="e">
        <f t="shared" si="18"/>
        <v>#NUM!</v>
      </c>
      <c r="O69" s="1982"/>
      <c r="P69" s="1982"/>
      <c r="Q69" s="1982"/>
      <c r="R69" s="1982"/>
      <c r="S69" s="1982"/>
      <c r="T69" s="1982"/>
      <c r="U69" s="1982"/>
      <c r="V69" s="1982"/>
      <c r="W69" s="1982"/>
      <c r="X69" s="1982"/>
      <c r="Y69" s="1982"/>
      <c r="Z69" s="1982"/>
      <c r="AA69" s="1982"/>
      <c r="AB69" s="1982"/>
      <c r="AC69" s="1982"/>
    </row>
    <row r="70" spans="1:29" ht="22.2"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4.4">
      <c r="A71" s="2344" t="s">
        <v>2250</v>
      </c>
      <c r="B71" s="2345"/>
      <c r="C71" s="2436" t="str">
        <f>YEAR(C69)&amp;"-"&amp;ROUNDUP(MONTH(C69)/3,0)</f>
        <v>1900-1</v>
      </c>
      <c r="D71" s="2441" t="e">
        <f>YEAR(D69)&amp;"-"&amp;ROUNDUP(MONTH(D69)/3,0)</f>
        <v>#NUM!</v>
      </c>
      <c r="E71" s="2441" t="e">
        <f t="shared" ref="E71:N71" si="19">YEAR(E69)&amp;"-"&amp;ROUNDUP(MONTH(E69)/3,0)</f>
        <v>#NUM!</v>
      </c>
      <c r="F71" s="2441" t="e">
        <f t="shared" si="19"/>
        <v>#NUM!</v>
      </c>
      <c r="G71" s="2441" t="e">
        <f t="shared" si="19"/>
        <v>#NUM!</v>
      </c>
      <c r="H71" s="2441" t="e">
        <f t="shared" si="19"/>
        <v>#NUM!</v>
      </c>
      <c r="I71" s="2441" t="e">
        <f t="shared" si="19"/>
        <v>#NUM!</v>
      </c>
      <c r="J71" s="2441" t="e">
        <f t="shared" si="19"/>
        <v>#NUM!</v>
      </c>
      <c r="K71" s="2441" t="e">
        <f t="shared" si="19"/>
        <v>#NUM!</v>
      </c>
      <c r="L71" s="2441" t="e">
        <f t="shared" si="19"/>
        <v>#NUM!</v>
      </c>
      <c r="M71" s="2441" t="e">
        <f t="shared" si="19"/>
        <v>#NUM!</v>
      </c>
      <c r="N71" s="2441" t="e">
        <f t="shared" si="19"/>
        <v>#NUM!</v>
      </c>
      <c r="O71" s="1995"/>
      <c r="P71" s="1996"/>
      <c r="Q71" s="1997"/>
      <c r="R71" s="1997"/>
      <c r="S71" s="1997"/>
      <c r="T71" s="1997"/>
      <c r="U71" s="1997"/>
      <c r="V71" s="1997"/>
      <c r="W71" s="1997"/>
      <c r="X71" s="1997"/>
      <c r="Y71" s="1997"/>
      <c r="Z71" s="1997"/>
      <c r="AA71" s="1997"/>
      <c r="AB71" s="1997"/>
      <c r="AC71" s="1997"/>
    </row>
    <row r="72" spans="1:29" s="1167" customFormat="1" ht="27" customHeight="1">
      <c r="A72" s="2446" t="s">
        <v>2364</v>
      </c>
      <c r="B72" s="472" t="str">
        <f>"北京市平均增长率"&amp;TEXT(SUMIF(基准地价!N21:N25,A72,基准地价!P21:P25),"0.00%")</f>
        <v>北京市平均增长率0.00%</v>
      </c>
      <c r="C72" s="866">
        <v>100</v>
      </c>
      <c r="D72" s="705"/>
      <c r="E72" s="705"/>
      <c r="F72" s="705"/>
      <c r="G72" s="705"/>
      <c r="H72" s="705"/>
      <c r="I72" s="705"/>
      <c r="J72" s="705"/>
      <c r="K72" s="705"/>
      <c r="L72" s="705"/>
      <c r="M72" s="2434"/>
      <c r="N72" s="2435"/>
      <c r="O72" s="1998"/>
      <c r="P72" s="1994"/>
      <c r="Q72" s="1860"/>
      <c r="R72" s="1860"/>
      <c r="S72" s="1860"/>
      <c r="T72" s="1860"/>
      <c r="U72" s="1860"/>
      <c r="V72" s="1860"/>
      <c r="W72" s="1860"/>
      <c r="X72" s="1860"/>
      <c r="Y72" s="1860"/>
      <c r="Z72" s="1860"/>
      <c r="AA72" s="1860"/>
      <c r="AB72" s="1860"/>
      <c r="AC72" s="1860"/>
    </row>
    <row r="73" spans="1:29" s="1167" customFormat="1" ht="15" customHeight="1" thickBot="1">
      <c r="A73" s="2437" t="s">
        <v>2363</v>
      </c>
      <c r="B73" s="2445"/>
      <c r="C73" s="2432"/>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4.4">
      <c r="A74" s="634" t="s">
        <v>514</v>
      </c>
      <c r="B74" s="623"/>
      <c r="C74" s="635" t="s">
        <v>558</v>
      </c>
      <c r="D74" s="636"/>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4.4" thickBot="1">
      <c r="A75" s="634"/>
      <c r="B75" s="623"/>
      <c r="C75" s="624">
        <v>100</v>
      </c>
      <c r="D75" s="625"/>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ht="14.4">
      <c r="A76" s="639" t="s">
        <v>559</v>
      </c>
      <c r="B76" s="640" t="s">
        <v>517</v>
      </c>
      <c r="C76" s="575"/>
      <c r="D76" s="575"/>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4.4" thickBot="1">
      <c r="A77" s="644"/>
      <c r="B77" s="645"/>
      <c r="C77" s="646"/>
      <c r="D77" s="646"/>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9.4"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4.4"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 thickTop="1">
      <c r="A80" s="644"/>
      <c r="B80" s="656" t="s">
        <v>521</v>
      </c>
      <c r="C80" s="657" t="str">
        <f>C81&amp;"（含）"&amp;"-"&amp;D81</f>
        <v>（含）-</v>
      </c>
      <c r="D80" s="657" t="str">
        <f t="shared" ref="D80:L80" si="20">D81&amp;"（含）"&amp;"-"&amp;E81</f>
        <v>（含）-</v>
      </c>
      <c r="E80" s="657" t="str">
        <f t="shared" si="20"/>
        <v>（含）-</v>
      </c>
      <c r="F80" s="657" t="str">
        <f t="shared" si="20"/>
        <v>（含）-</v>
      </c>
      <c r="G80" s="657" t="str">
        <f t="shared" si="20"/>
        <v>（含）-</v>
      </c>
      <c r="H80" s="657" t="str">
        <f t="shared" si="20"/>
        <v>（含）-</v>
      </c>
      <c r="I80" s="657" t="str">
        <f t="shared" si="20"/>
        <v>（含）-</v>
      </c>
      <c r="J80" s="657" t="str">
        <f t="shared" si="20"/>
        <v>（含）-</v>
      </c>
      <c r="K80" s="657" t="str">
        <f t="shared" si="20"/>
        <v>（含）-</v>
      </c>
      <c r="L80" s="657" t="str">
        <f t="shared" si="20"/>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c r="A81" s="644"/>
      <c r="B81" s="658"/>
      <c r="C81" s="518"/>
      <c r="D81" s="518"/>
      <c r="E81" s="518"/>
      <c r="F81" s="518"/>
      <c r="G81" s="518"/>
      <c r="H81" s="518"/>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4.4" thickBot="1">
      <c r="A82" s="644"/>
      <c r="B82" s="645"/>
      <c r="C82" s="654">
        <v>100</v>
      </c>
      <c r="D82" s="654">
        <f t="shared" ref="D82:M82" si="21">IF($B$48="单位面积地价",C82+$K13,C82-$K13)</f>
        <v>100</v>
      </c>
      <c r="E82" s="654">
        <f t="shared" si="21"/>
        <v>100</v>
      </c>
      <c r="F82" s="654">
        <f t="shared" si="21"/>
        <v>100</v>
      </c>
      <c r="G82" s="654">
        <f t="shared" si="21"/>
        <v>100</v>
      </c>
      <c r="H82" s="654">
        <f t="shared" si="21"/>
        <v>100</v>
      </c>
      <c r="I82" s="654">
        <f t="shared" si="21"/>
        <v>100</v>
      </c>
      <c r="J82" s="654">
        <f t="shared" si="21"/>
        <v>100</v>
      </c>
      <c r="K82" s="654">
        <f t="shared" si="21"/>
        <v>100</v>
      </c>
      <c r="L82" s="654">
        <f t="shared" si="21"/>
        <v>100</v>
      </c>
      <c r="M82" s="654">
        <f t="shared" si="21"/>
        <v>100</v>
      </c>
      <c r="N82" s="2002"/>
      <c r="O82" s="2002"/>
      <c r="P82" s="2001"/>
      <c r="Q82" s="1994"/>
      <c r="R82" s="1982"/>
      <c r="S82" s="1982"/>
      <c r="T82" s="1982"/>
      <c r="U82" s="1982"/>
      <c r="V82" s="1982"/>
      <c r="W82" s="1982"/>
      <c r="X82" s="1982"/>
      <c r="Y82" s="1982"/>
      <c r="Z82" s="1982"/>
      <c r="AA82" s="1982"/>
      <c r="AB82" s="1982"/>
      <c r="AC82" s="1982"/>
    </row>
    <row r="83" spans="1:29" s="1249" customFormat="1" ht="15" thickTop="1">
      <c r="A83" s="662"/>
      <c r="B83" s="648" t="str">
        <f>B14</f>
        <v>配建</v>
      </c>
      <c r="C83" s="663"/>
      <c r="D83" s="1283"/>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4.4" thickBot="1">
      <c r="A84" s="662"/>
      <c r="B84" s="653"/>
      <c r="C84" s="667"/>
      <c r="D84" s="646"/>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4.4"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4.4"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4.4"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4.4"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ht="14.4">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4.4" thickBot="1">
      <c r="A90" s="644"/>
      <c r="B90" s="653"/>
      <c r="C90" s="654">
        <v>100</v>
      </c>
      <c r="D90" s="654">
        <f>C90-$K17</f>
        <v>100</v>
      </c>
      <c r="E90" s="654">
        <f>D90-$K17</f>
        <v>100</v>
      </c>
      <c r="F90" s="654">
        <f>E90-$K17</f>
        <v>100</v>
      </c>
      <c r="G90" s="654">
        <f>F90-$K17</f>
        <v>100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4.4" thickBot="1">
      <c r="A92" s="644"/>
      <c r="B92" s="653"/>
      <c r="C92" s="654">
        <v>100</v>
      </c>
      <c r="D92" s="654">
        <f>C92-$K19</f>
        <v>100</v>
      </c>
      <c r="E92" s="654">
        <f>D92-$K19</f>
        <v>100</v>
      </c>
      <c r="F92" s="654">
        <f>E92-$K19</f>
        <v>100</v>
      </c>
      <c r="G92" s="654">
        <f>F92-$K19</f>
        <v>100</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4.4" thickBot="1">
      <c r="A94" s="644"/>
      <c r="B94" s="653"/>
      <c r="C94" s="654">
        <v>100</v>
      </c>
      <c r="D94" s="654">
        <f>C94-$K21</f>
        <v>100</v>
      </c>
      <c r="E94" s="654">
        <f>D94-$K21</f>
        <v>100</v>
      </c>
      <c r="F94" s="654">
        <f>E94-$K21</f>
        <v>100</v>
      </c>
      <c r="G94" s="654">
        <f>F94-$K21</f>
        <v>100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4.4" thickBot="1">
      <c r="A96" s="644"/>
      <c r="B96" s="653"/>
      <c r="C96" s="654">
        <v>100</v>
      </c>
      <c r="D96" s="654">
        <f>C96-$K23</f>
        <v>100</v>
      </c>
      <c r="E96" s="654">
        <f>D96-$K23</f>
        <v>100</v>
      </c>
      <c r="F96" s="654">
        <f>E96-$K23</f>
        <v>100</v>
      </c>
      <c r="G96" s="654">
        <f>F96-$K23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9.4"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4.4" thickBot="1">
      <c r="A98" s="684"/>
      <c r="B98" s="653"/>
      <c r="C98" s="687">
        <v>100</v>
      </c>
      <c r="D98" s="654">
        <f>C98-$K25</f>
        <v>100</v>
      </c>
      <c r="E98" s="654">
        <f>D98-$K25</f>
        <v>100</v>
      </c>
      <c r="F98" s="654">
        <f>E98-$K25</f>
        <v>100</v>
      </c>
      <c r="G98" s="654">
        <f>F98-$K25</f>
        <v>100</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9.4"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4.4" thickBot="1">
      <c r="A100" s="684"/>
      <c r="B100" s="653"/>
      <c r="C100" s="654">
        <v>100</v>
      </c>
      <c r="D100" s="654">
        <f>C100-$K27</f>
        <v>100</v>
      </c>
      <c r="E100" s="654">
        <f>D100-$K27</f>
        <v>100</v>
      </c>
      <c r="F100" s="654">
        <f>E100-$K27</f>
        <v>100</v>
      </c>
      <c r="G100" s="654">
        <f>F100-$K27</f>
        <v>100</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 thickTop="1">
      <c r="A101" s="662"/>
      <c r="B101" s="1766" t="s">
        <v>2266</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4.4" thickBot="1">
      <c r="A102" s="662"/>
      <c r="B102" s="653"/>
      <c r="C102" s="654">
        <v>100</v>
      </c>
      <c r="D102" s="654">
        <f>C102-$K29</f>
        <v>100</v>
      </c>
      <c r="E102" s="654">
        <f>D102-$K29</f>
        <v>100</v>
      </c>
      <c r="F102" s="654">
        <f>E102-$K29</f>
        <v>100</v>
      </c>
      <c r="G102" s="654">
        <f>F102-$K29</f>
        <v>100</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 thickTop="1">
      <c r="A103" s="662"/>
      <c r="B103" s="2364" t="s">
        <v>2268</v>
      </c>
      <c r="C103" s="2365" t="s">
        <v>2269</v>
      </c>
      <c r="D103" s="2365" t="s">
        <v>2270</v>
      </c>
      <c r="E103" s="2365" t="s">
        <v>2271</v>
      </c>
      <c r="F103" s="2365" t="s">
        <v>2272</v>
      </c>
      <c r="G103" s="2365" t="s">
        <v>2273</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4.4" thickBot="1">
      <c r="A104" s="662"/>
      <c r="B104" s="656"/>
      <c r="C104" s="654">
        <v>100</v>
      </c>
      <c r="D104" s="654">
        <f>C104-$K31</f>
        <v>100</v>
      </c>
      <c r="E104" s="654">
        <f>D104-$K31</f>
        <v>100</v>
      </c>
      <c r="F104" s="654">
        <f>E104-$K31</f>
        <v>100</v>
      </c>
      <c r="G104" s="654">
        <f>F104-$K31</f>
        <v>100</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4.4"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2"/>
      <c r="O106" s="2002"/>
      <c r="P106" s="2001"/>
      <c r="Q106" s="1994"/>
      <c r="R106" s="1982"/>
      <c r="S106" s="1982"/>
      <c r="T106" s="1982"/>
      <c r="U106" s="1982"/>
      <c r="V106" s="1982"/>
      <c r="W106" s="1982"/>
      <c r="X106" s="1982"/>
      <c r="Y106" s="1982"/>
      <c r="Z106" s="1982"/>
      <c r="AA106" s="1982"/>
      <c r="AB106" s="1982"/>
      <c r="AC106" s="1982"/>
    </row>
    <row r="107" spans="1:29" ht="29.4"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4.4"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644"/>
      <c r="B109" s="648" t="s">
        <v>532</v>
      </c>
      <c r="C109" s="693"/>
      <c r="D109" s="693"/>
      <c r="E109" s="69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4.4"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2"/>
      <c r="O110" s="2002"/>
      <c r="P110" s="2001"/>
      <c r="Q110" s="1994"/>
      <c r="R110" s="1982"/>
      <c r="S110" s="1982"/>
      <c r="T110" s="1982"/>
      <c r="U110" s="1982"/>
      <c r="V110" s="1982"/>
      <c r="W110" s="1982"/>
      <c r="X110" s="1982"/>
      <c r="Y110" s="1982"/>
      <c r="Z110" s="1982"/>
      <c r="AA110" s="1982"/>
      <c r="AB110" s="1982"/>
      <c r="AC110" s="1982"/>
    </row>
    <row r="111" spans="1:29" ht="14.4"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4.4"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4.4"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4.4"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4.4"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4.4"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ht="14.4">
      <c r="A117" s="639" t="s">
        <v>534</v>
      </c>
      <c r="B117" s="640" t="s">
        <v>575</v>
      </c>
      <c r="C117" s="679" t="str">
        <f t="shared" ref="C117:L117" si="25">C118&amp;"(含)"&amp;"-"&amp;D118</f>
        <v>(含)-</v>
      </c>
      <c r="D117" s="679" t="str">
        <f t="shared" si="25"/>
        <v>(含)-</v>
      </c>
      <c r="E117" s="679" t="str">
        <f t="shared" si="25"/>
        <v>(含)-</v>
      </c>
      <c r="F117" s="679" t="str">
        <f t="shared" si="25"/>
        <v>(含)-</v>
      </c>
      <c r="G117" s="679" t="str">
        <f t="shared" si="25"/>
        <v>(含)-</v>
      </c>
      <c r="H117" s="679" t="str">
        <f t="shared" si="25"/>
        <v>(含)-</v>
      </c>
      <c r="I117" s="679" t="str">
        <f t="shared" si="25"/>
        <v>(含)-</v>
      </c>
      <c r="J117" s="2699" t="str">
        <f t="shared" si="25"/>
        <v>(含)-</v>
      </c>
      <c r="K117" s="2699" t="str">
        <f t="shared" si="25"/>
        <v>(含)-</v>
      </c>
      <c r="L117" s="2700" t="str">
        <f t="shared" si="25"/>
        <v>(含)-</v>
      </c>
      <c r="M117" s="2701"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c r="A118" s="644"/>
      <c r="B118" s="656"/>
      <c r="C118" s="705"/>
      <c r="D118" s="705"/>
      <c r="E118" s="705"/>
      <c r="F118" s="705"/>
      <c r="G118" s="705"/>
      <c r="H118" s="705"/>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4.4" thickBot="1">
      <c r="A119" s="644"/>
      <c r="B119" s="653"/>
      <c r="C119" s="675"/>
      <c r="D119" s="701"/>
      <c r="E119" s="701"/>
      <c r="F119" s="701"/>
      <c r="G119" s="701"/>
      <c r="H119" s="701"/>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693"/>
      <c r="D120" s="693"/>
      <c r="E120" s="693"/>
      <c r="F120" s="693"/>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4.4"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4.4"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2212</v>
      </c>
      <c r="C124" s="1283"/>
      <c r="D124" s="1283"/>
      <c r="E124" s="1283"/>
      <c r="F124" s="1283"/>
      <c r="G124" s="1283"/>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4.4"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663"/>
      <c r="D126" s="663"/>
      <c r="E126" s="693"/>
      <c r="F126" s="693"/>
      <c r="G126" s="693"/>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4.4"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2"/>
      <c r="O127" s="2002"/>
      <c r="P127" s="2001"/>
      <c r="Q127" s="1994"/>
      <c r="R127" s="1982"/>
      <c r="S127" s="1982"/>
      <c r="T127" s="1982"/>
      <c r="U127" s="1982"/>
      <c r="V127" s="1982"/>
      <c r="W127" s="1982"/>
      <c r="X127" s="1982"/>
      <c r="Y127" s="1982"/>
      <c r="Z127" s="1982"/>
      <c r="AA127" s="1982"/>
      <c r="AB127" s="1982"/>
      <c r="AC127" s="1982"/>
    </row>
    <row r="128" spans="1:29" ht="14.4" thickTop="1">
      <c r="A128" s="710"/>
      <c r="B128" s="648">
        <f>B45</f>
        <v>111</v>
      </c>
      <c r="C128" s="663"/>
      <c r="D128" s="663"/>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4.4"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4.4"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4.4"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4.4"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4.4"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3.8"/>
  <cols>
    <col min="1" max="1" width="13.332031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485" t="e">
        <f>F62</f>
        <v>#DIV/0!</v>
      </c>
      <c r="C2" s="3131"/>
      <c r="D2" s="3131"/>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c r="A3" s="1288" t="s">
        <v>1485</v>
      </c>
      <c r="B3" s="487" t="e">
        <f>ROUND(B2*10000/'数据-汇总表'!E3,0)</f>
        <v>#DIV/0!</v>
      </c>
      <c r="C3" s="3130"/>
      <c r="D3" s="3130"/>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t="e">
        <f>IF(B43="单位面积地价",C45,ROUND(B2*10000/'数据-汇总表'!D3,0))</f>
        <v>#DIV/0!</v>
      </c>
      <c r="C4" s="3130"/>
      <c r="D4" s="3130"/>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3122"/>
      <c r="AC5" s="1899"/>
    </row>
    <row r="6" spans="1:29" ht="14.4">
      <c r="A6" s="489" t="s">
        <v>504</v>
      </c>
      <c r="B6" s="490"/>
      <c r="C6" s="3632" t="s">
        <v>505</v>
      </c>
      <c r="D6" s="3633"/>
      <c r="E6" s="3667" t="s">
        <v>506</v>
      </c>
      <c r="F6" s="3668"/>
      <c r="G6" s="3632" t="s">
        <v>507</v>
      </c>
      <c r="H6" s="3633"/>
      <c r="I6" s="3632" t="s">
        <v>508</v>
      </c>
      <c r="J6" s="3633"/>
      <c r="K6" s="491" t="s">
        <v>509</v>
      </c>
      <c r="L6" s="1970"/>
      <c r="M6" s="1971"/>
      <c r="N6" s="1971"/>
      <c r="O6" s="1971"/>
      <c r="P6" s="3634" t="s">
        <v>510</v>
      </c>
      <c r="Q6" s="3635"/>
      <c r="R6" s="3640" t="s">
        <v>506</v>
      </c>
      <c r="S6" s="3641"/>
      <c r="T6" s="3640" t="s">
        <v>507</v>
      </c>
      <c r="U6" s="3641"/>
      <c r="V6" s="3627" t="s">
        <v>508</v>
      </c>
      <c r="W6" s="3627"/>
      <c r="X6" s="1458"/>
      <c r="Y6" s="3640" t="s">
        <v>510</v>
      </c>
      <c r="Z6" s="3641"/>
      <c r="AA6" s="3629" t="s">
        <v>506</v>
      </c>
      <c r="AB6" s="3630" t="s">
        <v>507</v>
      </c>
      <c r="AC6" s="3629" t="s">
        <v>508</v>
      </c>
    </row>
    <row r="7" spans="1:29">
      <c r="A7" s="492"/>
      <c r="B7" s="493"/>
      <c r="C7" s="3648" t="s">
        <v>2631</v>
      </c>
      <c r="D7" s="3649"/>
      <c r="E7" s="3669" t="s">
        <v>2632</v>
      </c>
      <c r="F7" s="3670"/>
      <c r="G7" s="3648" t="s">
        <v>2633</v>
      </c>
      <c r="H7" s="3649"/>
      <c r="I7" s="3648" t="s">
        <v>2634</v>
      </c>
      <c r="J7" s="3649"/>
      <c r="K7" s="491"/>
      <c r="L7" s="1970"/>
      <c r="M7" s="1971"/>
      <c r="N7" s="1971"/>
      <c r="O7" s="1971"/>
      <c r="P7" s="3636"/>
      <c r="Q7" s="3637"/>
      <c r="R7" s="3642"/>
      <c r="S7" s="3643"/>
      <c r="T7" s="3642"/>
      <c r="U7" s="3643"/>
      <c r="V7" s="3627"/>
      <c r="W7" s="3627"/>
      <c r="X7" s="1458"/>
      <c r="Y7" s="3642"/>
      <c r="Z7" s="3643"/>
      <c r="AA7" s="3630"/>
      <c r="AB7" s="3630"/>
      <c r="AC7" s="3630"/>
    </row>
    <row r="8" spans="1:29" ht="15" thickBot="1">
      <c r="A8" s="494"/>
      <c r="B8" s="495"/>
      <c r="C8" s="3646" t="s">
        <v>2635</v>
      </c>
      <c r="D8" s="3647"/>
      <c r="E8" s="3665" t="s">
        <v>2635</v>
      </c>
      <c r="F8" s="3666"/>
      <c r="G8" s="3646" t="s">
        <v>2635</v>
      </c>
      <c r="H8" s="3647"/>
      <c r="I8" s="3646" t="s">
        <v>2635</v>
      </c>
      <c r="J8" s="3647"/>
      <c r="K8" s="491" t="s">
        <v>511</v>
      </c>
      <c r="L8" s="1970"/>
      <c r="M8" s="1971"/>
      <c r="N8" s="1971"/>
      <c r="O8" s="1971"/>
      <c r="P8" s="3638"/>
      <c r="Q8" s="3639"/>
      <c r="R8" s="3642"/>
      <c r="S8" s="3643"/>
      <c r="T8" s="3644"/>
      <c r="U8" s="3645"/>
      <c r="V8" s="3627"/>
      <c r="W8" s="3627"/>
      <c r="X8" s="1458"/>
      <c r="Y8" s="3644"/>
      <c r="Z8" s="3645"/>
      <c r="AA8" s="3631"/>
      <c r="AB8" s="3631"/>
      <c r="AC8" s="3631"/>
    </row>
    <row r="9" spans="1:29" s="1167" customFormat="1" ht="15" thickBot="1">
      <c r="A9" s="2552"/>
      <c r="B9" s="2559" t="s">
        <v>512</v>
      </c>
      <c r="C9" s="496">
        <f>'数据-取费表'!B2</f>
        <v>0</v>
      </c>
      <c r="D9" s="497">
        <v>100</v>
      </c>
      <c r="E9" s="498"/>
      <c r="F9" s="499">
        <f>SUMIF(66:66,YEAR(E9)&amp;"-"&amp;INT((MONTH(E9)+2)/3),67:67)</f>
        <v>100</v>
      </c>
      <c r="G9" s="500"/>
      <c r="H9" s="497">
        <f>SUMIF(66:66,YEAR(G9)&amp;"-"&amp;INT((MONTH(G9)+2)/3),67:67)</f>
        <v>100</v>
      </c>
      <c r="I9" s="500"/>
      <c r="J9" s="497">
        <f>SUMIF(66:66,YEAR(I9)&amp;"-"&amp;INT((MONTH(I9)+2)/3),67:67)</f>
        <v>100</v>
      </c>
      <c r="K9" s="501"/>
      <c r="L9" s="1972"/>
      <c r="M9" s="1973"/>
      <c r="N9" s="1973"/>
      <c r="O9" s="1973"/>
      <c r="P9" s="3656" t="s">
        <v>513</v>
      </c>
      <c r="Q9" s="3658"/>
      <c r="R9" s="1459" t="s">
        <v>8</v>
      </c>
      <c r="S9" s="1460">
        <f t="shared" ref="S9:S17" si="0">F9</f>
        <v>100</v>
      </c>
      <c r="T9" s="1459" t="s">
        <v>8</v>
      </c>
      <c r="U9" s="1460">
        <f t="shared" ref="U9:U17" si="1">H9</f>
        <v>100</v>
      </c>
      <c r="V9" s="1459" t="s">
        <v>8</v>
      </c>
      <c r="W9" s="1460">
        <f t="shared" ref="W9:W17" si="2">J9</f>
        <v>100</v>
      </c>
      <c r="X9" s="1461"/>
      <c r="Y9" s="3656" t="s">
        <v>513</v>
      </c>
      <c r="Z9" s="3657"/>
      <c r="AA9" s="1462">
        <f>D9/F9</f>
        <v>1</v>
      </c>
      <c r="AB9" s="1462">
        <f>D9/H9</f>
        <v>1</v>
      </c>
      <c r="AC9" s="1462">
        <f>D9/J9</f>
        <v>1</v>
      </c>
    </row>
    <row r="10" spans="1:29" s="1167" customFormat="1" ht="15" thickBot="1">
      <c r="A10" s="2553"/>
      <c r="B10" s="2560"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2"/>
      <c r="M10" s="1973"/>
      <c r="N10" s="1973"/>
      <c r="O10" s="1973"/>
      <c r="P10" s="3656" t="s">
        <v>516</v>
      </c>
      <c r="Q10" s="3657"/>
      <c r="R10" s="1459" t="s">
        <v>8</v>
      </c>
      <c r="S10" s="1460">
        <f t="shared" si="0"/>
        <v>0</v>
      </c>
      <c r="T10" s="1459" t="s">
        <v>8</v>
      </c>
      <c r="U10" s="1460">
        <f t="shared" si="1"/>
        <v>0</v>
      </c>
      <c r="V10" s="1459" t="s">
        <v>8</v>
      </c>
      <c r="W10" s="1460">
        <f t="shared" si="2"/>
        <v>0</v>
      </c>
      <c r="X10" s="1461"/>
      <c r="Y10" s="3656" t="s">
        <v>516</v>
      </c>
      <c r="Z10" s="3657"/>
      <c r="AA10" s="1462" t="e">
        <f t="shared" ref="AA10:AA42" si="3">D10/F10</f>
        <v>#DIV/0!</v>
      </c>
      <c r="AB10" s="1462" t="e">
        <f t="shared" ref="AB10:AB42" si="4">D10/H10</f>
        <v>#DIV/0!</v>
      </c>
      <c r="AC10" s="1462" t="e">
        <f t="shared" ref="AC10:AC42" si="5">D10/J10</f>
        <v>#DIV/0!</v>
      </c>
    </row>
    <row r="11" spans="1:29" s="1167" customFormat="1" ht="14.4">
      <c r="A11" s="2554"/>
      <c r="B11" s="2561" t="s">
        <v>2473</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26" t="s">
        <v>518</v>
      </c>
      <c r="Q11" s="1098" t="str">
        <f t="shared" ref="Q11:Q17" si="6">B11</f>
        <v>用途</v>
      </c>
      <c r="R11" s="1459" t="s">
        <v>8</v>
      </c>
      <c r="S11" s="1460">
        <f t="shared" si="0"/>
        <v>100</v>
      </c>
      <c r="T11" s="1459" t="s">
        <v>8</v>
      </c>
      <c r="U11" s="1460">
        <f t="shared" si="1"/>
        <v>100</v>
      </c>
      <c r="V11" s="1459" t="s">
        <v>8</v>
      </c>
      <c r="W11" s="1460">
        <f t="shared" si="2"/>
        <v>100</v>
      </c>
      <c r="X11" s="1461"/>
      <c r="Y11" s="3570" t="s">
        <v>519</v>
      </c>
      <c r="Z11" s="1097" t="str">
        <f t="shared" ref="Z11:Z17" si="7">Q11</f>
        <v>用途</v>
      </c>
      <c r="AA11" s="1462">
        <f t="shared" si="3"/>
        <v>1</v>
      </c>
      <c r="AB11" s="1462">
        <f t="shared" si="4"/>
        <v>1</v>
      </c>
      <c r="AC11" s="1462">
        <f t="shared" si="5"/>
        <v>1</v>
      </c>
    </row>
    <row r="12" spans="1:29" s="1248" customFormat="1" ht="28.8">
      <c r="A12" s="2555"/>
      <c r="B12" s="2560" t="s">
        <v>2474</v>
      </c>
      <c r="C12" s="505"/>
      <c r="D12" s="253">
        <v>100</v>
      </c>
      <c r="E12" s="505"/>
      <c r="F12" s="253" t="e">
        <f>ROUND(100/'数据-取费表'!G16,0)</f>
        <v>#DIV/0!</v>
      </c>
      <c r="G12" s="505"/>
      <c r="H12" s="253" t="e">
        <f>ROUND(100/'数据-取费表'!G16,0)</f>
        <v>#DIV/0!</v>
      </c>
      <c r="I12" s="505"/>
      <c r="J12" s="253" t="e">
        <f>ROUND(100/'数据-取费表'!G16,0)</f>
        <v>#DIV/0!</v>
      </c>
      <c r="K12" s="508"/>
      <c r="L12" s="1975"/>
      <c r="M12" s="2014"/>
      <c r="N12" s="2014"/>
      <c r="O12" s="1976"/>
      <c r="P12" s="3626"/>
      <c r="Q12" s="1098" t="str">
        <f t="shared" si="6"/>
        <v>土地使用年限（年）</v>
      </c>
      <c r="R12" s="1459" t="s">
        <v>8</v>
      </c>
      <c r="S12" s="1460" t="e">
        <f t="shared" si="0"/>
        <v>#DIV/0!</v>
      </c>
      <c r="T12" s="1459" t="s">
        <v>8</v>
      </c>
      <c r="U12" s="1460" t="e">
        <f t="shared" si="1"/>
        <v>#DIV/0!</v>
      </c>
      <c r="V12" s="1459" t="s">
        <v>8</v>
      </c>
      <c r="W12" s="1460" t="e">
        <f t="shared" si="2"/>
        <v>#DIV/0!</v>
      </c>
      <c r="X12" s="1461"/>
      <c r="Y12" s="3570"/>
      <c r="Z12" s="1097" t="str">
        <f t="shared" si="7"/>
        <v>土地使用年限（年）</v>
      </c>
      <c r="AA12" s="1462" t="e">
        <f t="shared" si="3"/>
        <v>#DIV/0!</v>
      </c>
      <c r="AB12" s="1462" t="e">
        <f t="shared" si="4"/>
        <v>#DIV/0!</v>
      </c>
      <c r="AC12" s="1462" t="e">
        <f t="shared" si="5"/>
        <v>#DIV/0!</v>
      </c>
    </row>
    <row r="13" spans="1:29" ht="15">
      <c r="A13" s="2556"/>
      <c r="B13" s="2560"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7"/>
      <c r="M13" s="1971"/>
      <c r="N13" s="1971"/>
      <c r="O13" s="1978"/>
      <c r="P13" s="3626"/>
      <c r="Q13" s="1098" t="str">
        <f t="shared" si="6"/>
        <v>容积率</v>
      </c>
      <c r="R13" s="1459" t="s">
        <v>8</v>
      </c>
      <c r="S13" s="1460" t="e">
        <f t="shared" si="0"/>
        <v>#N/A</v>
      </c>
      <c r="T13" s="1459" t="s">
        <v>8</v>
      </c>
      <c r="U13" s="1460" t="e">
        <f t="shared" si="1"/>
        <v>#N/A</v>
      </c>
      <c r="V13" s="1459" t="s">
        <v>8</v>
      </c>
      <c r="W13" s="1460" t="e">
        <f t="shared" si="2"/>
        <v>#N/A</v>
      </c>
      <c r="X13" s="1461"/>
      <c r="Y13" s="3570"/>
      <c r="Z13" s="1097" t="str">
        <f t="shared" si="7"/>
        <v>容积率</v>
      </c>
      <c r="AA13" s="1462" t="e">
        <f t="shared" si="3"/>
        <v>#N/A</v>
      </c>
      <c r="AB13" s="1462" t="e">
        <f t="shared" si="4"/>
        <v>#N/A</v>
      </c>
      <c r="AC13" s="1462" t="e">
        <f t="shared" si="5"/>
        <v>#N/A</v>
      </c>
    </row>
    <row r="14" spans="1:29" s="1167" customFormat="1" ht="15">
      <c r="A14" s="2557"/>
      <c r="B14" s="2563">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26"/>
      <c r="Q14" s="1098">
        <f t="shared" si="6"/>
        <v>111</v>
      </c>
      <c r="R14" s="1459" t="s">
        <v>8</v>
      </c>
      <c r="S14" s="1460">
        <f t="shared" si="0"/>
        <v>100</v>
      </c>
      <c r="T14" s="1459" t="s">
        <v>8</v>
      </c>
      <c r="U14" s="1460">
        <f t="shared" si="1"/>
        <v>100</v>
      </c>
      <c r="V14" s="1459" t="s">
        <v>8</v>
      </c>
      <c r="W14" s="1460">
        <f t="shared" si="2"/>
        <v>100</v>
      </c>
      <c r="X14" s="1461"/>
      <c r="Y14" s="3570"/>
      <c r="Z14" s="1097">
        <f t="shared" si="7"/>
        <v>111</v>
      </c>
      <c r="AA14" s="1462">
        <f>D14/F14</f>
        <v>1</v>
      </c>
      <c r="AB14" s="1462">
        <f>D14/H14</f>
        <v>1</v>
      </c>
      <c r="AC14" s="1462">
        <f>D14/J14</f>
        <v>1</v>
      </c>
    </row>
    <row r="15" spans="1:29" ht="15">
      <c r="A15" s="2557"/>
      <c r="B15" s="2563">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26"/>
      <c r="Q15" s="1098">
        <f t="shared" si="6"/>
        <v>111</v>
      </c>
      <c r="R15" s="1459" t="s">
        <v>8</v>
      </c>
      <c r="S15" s="1460">
        <f t="shared" si="0"/>
        <v>100</v>
      </c>
      <c r="T15" s="1459" t="s">
        <v>8</v>
      </c>
      <c r="U15" s="1460">
        <f t="shared" si="1"/>
        <v>100</v>
      </c>
      <c r="V15" s="1459" t="s">
        <v>8</v>
      </c>
      <c r="W15" s="1460">
        <f t="shared" si="2"/>
        <v>100</v>
      </c>
      <c r="X15" s="1461"/>
      <c r="Y15" s="3570"/>
      <c r="Z15" s="1097">
        <f t="shared" si="7"/>
        <v>111</v>
      </c>
      <c r="AA15" s="1462">
        <f t="shared" si="3"/>
        <v>1</v>
      </c>
      <c r="AB15" s="1462">
        <f t="shared" si="4"/>
        <v>1</v>
      </c>
      <c r="AC15" s="1462">
        <f t="shared" si="5"/>
        <v>1</v>
      </c>
    </row>
    <row r="16" spans="1:29" ht="15.6" thickBot="1">
      <c r="A16" s="2558"/>
      <c r="B16" s="2564">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26"/>
      <c r="Q16" s="1098">
        <f t="shared" si="6"/>
        <v>111</v>
      </c>
      <c r="R16" s="1459" t="s">
        <v>8</v>
      </c>
      <c r="S16" s="1460">
        <f t="shared" si="0"/>
        <v>100</v>
      </c>
      <c r="T16" s="1459" t="s">
        <v>8</v>
      </c>
      <c r="U16" s="1460">
        <f t="shared" si="1"/>
        <v>100</v>
      </c>
      <c r="V16" s="1459" t="s">
        <v>8</v>
      </c>
      <c r="W16" s="1460">
        <f t="shared" si="2"/>
        <v>100</v>
      </c>
      <c r="X16" s="1461"/>
      <c r="Y16" s="3570"/>
      <c r="Z16" s="1097">
        <f t="shared" si="7"/>
        <v>111</v>
      </c>
      <c r="AA16" s="1462">
        <f t="shared" si="3"/>
        <v>1</v>
      </c>
      <c r="AB16" s="1462">
        <f t="shared" si="4"/>
        <v>1</v>
      </c>
      <c r="AC16" s="1462">
        <f t="shared" si="5"/>
        <v>1</v>
      </c>
    </row>
    <row r="17" spans="1:29" ht="69">
      <c r="A17" s="2550"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59" t="s">
        <v>523</v>
      </c>
      <c r="Q17" s="1463" t="str">
        <f t="shared" si="6"/>
        <v>产业集聚程度</v>
      </c>
      <c r="R17" s="1464" t="s">
        <v>8</v>
      </c>
      <c r="S17" s="1465">
        <f t="shared" si="0"/>
        <v>100</v>
      </c>
      <c r="T17" s="1464" t="s">
        <v>8</v>
      </c>
      <c r="U17" s="1465">
        <f t="shared" si="1"/>
        <v>100</v>
      </c>
      <c r="V17" s="1464" t="s">
        <v>8</v>
      </c>
      <c r="W17" s="1465">
        <f t="shared" si="2"/>
        <v>100</v>
      </c>
      <c r="X17" s="1458"/>
      <c r="Y17" s="3659"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60"/>
      <c r="Q18" s="1463"/>
      <c r="R18" s="1464"/>
      <c r="S18" s="1465"/>
      <c r="T18" s="1464"/>
      <c r="U18" s="1465"/>
      <c r="V18" s="1464"/>
      <c r="W18" s="1465"/>
      <c r="X18" s="1458"/>
      <c r="Y18" s="3660"/>
      <c r="Z18" s="1466"/>
      <c r="AA18" s="1467">
        <v>1</v>
      </c>
      <c r="AB18" s="1467">
        <v>1</v>
      </c>
      <c r="AC18" s="1467">
        <v>1</v>
      </c>
    </row>
    <row r="19" spans="1:29" ht="96.6">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60"/>
      <c r="Q19" s="1463" t="str">
        <f>B19</f>
        <v>交通便捷度</v>
      </c>
      <c r="R19" s="1464" t="s">
        <v>8</v>
      </c>
      <c r="S19" s="1465">
        <f>F19</f>
        <v>100</v>
      </c>
      <c r="T19" s="1464" t="s">
        <v>8</v>
      </c>
      <c r="U19" s="1465">
        <f>H19</f>
        <v>100</v>
      </c>
      <c r="V19" s="1464" t="s">
        <v>8</v>
      </c>
      <c r="W19" s="1465">
        <f>J19</f>
        <v>100</v>
      </c>
      <c r="X19" s="1458"/>
      <c r="Y19" s="3660"/>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60"/>
      <c r="Q20" s="1463"/>
      <c r="R20" s="1464"/>
      <c r="S20" s="1465"/>
      <c r="T20" s="1464"/>
      <c r="U20" s="1465"/>
      <c r="V20" s="1464"/>
      <c r="W20" s="1465"/>
      <c r="X20" s="1458"/>
      <c r="Y20" s="3660"/>
      <c r="Z20" s="1466"/>
      <c r="AA20" s="1467">
        <v>1</v>
      </c>
      <c r="AB20" s="1467">
        <v>1</v>
      </c>
      <c r="AC20" s="1467">
        <v>1</v>
      </c>
    </row>
    <row r="21" spans="1:29" ht="28.8">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60"/>
      <c r="Q21" s="1463" t="str">
        <f t="shared" ref="Q21:Q35" si="8">B21</f>
        <v>区域土地利用方向</v>
      </c>
      <c r="R21" s="1464" t="s">
        <v>8</v>
      </c>
      <c r="S21" s="1465">
        <f>F21</f>
        <v>100</v>
      </c>
      <c r="T21" s="1464" t="s">
        <v>8</v>
      </c>
      <c r="U21" s="1465">
        <f>H21</f>
        <v>100</v>
      </c>
      <c r="V21" s="1464" t="s">
        <v>8</v>
      </c>
      <c r="W21" s="1465">
        <f>J21</f>
        <v>100</v>
      </c>
      <c r="X21" s="1458"/>
      <c r="Y21" s="3660"/>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60"/>
      <c r="Q22" s="1463"/>
      <c r="R22" s="1464"/>
      <c r="S22" s="1465"/>
      <c r="T22" s="1464"/>
      <c r="U22" s="1465"/>
      <c r="V22" s="1464"/>
      <c r="W22" s="1465"/>
      <c r="X22" s="1458"/>
      <c r="Y22" s="3660"/>
      <c r="Z22" s="1466"/>
      <c r="AA22" s="1467"/>
      <c r="AB22" s="1467"/>
      <c r="AC22" s="1467"/>
    </row>
    <row r="23" spans="1:29" ht="82.8">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60"/>
      <c r="Q23" s="1463" t="str">
        <f t="shared" si="8"/>
        <v>环境状况</v>
      </c>
      <c r="R23" s="1464" t="s">
        <v>8</v>
      </c>
      <c r="S23" s="1465">
        <f>F23</f>
        <v>100</v>
      </c>
      <c r="T23" s="1464" t="s">
        <v>8</v>
      </c>
      <c r="U23" s="1465">
        <f>H23</f>
        <v>100</v>
      </c>
      <c r="V23" s="1464" t="s">
        <v>8</v>
      </c>
      <c r="W23" s="1465">
        <f>J23</f>
        <v>100</v>
      </c>
      <c r="X23" s="1458"/>
      <c r="Y23" s="3660"/>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60"/>
      <c r="Q24" s="1463"/>
      <c r="R24" s="1464"/>
      <c r="S24" s="1465"/>
      <c r="T24" s="1464"/>
      <c r="U24" s="1465"/>
      <c r="V24" s="1464"/>
      <c r="W24" s="1465"/>
      <c r="X24" s="1458"/>
      <c r="Y24" s="3660"/>
      <c r="Z24" s="1466"/>
      <c r="AA24" s="1467">
        <v>1</v>
      </c>
      <c r="AB24" s="1467">
        <v>1</v>
      </c>
      <c r="AC24" s="1467">
        <v>1</v>
      </c>
    </row>
    <row r="25" spans="1:29" s="1167" customFormat="1" ht="41.4">
      <c r="A25" s="554"/>
      <c r="B25" s="2360"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60"/>
      <c r="Q25" s="1098" t="str">
        <f t="shared" si="8"/>
        <v>公共配套设施</v>
      </c>
      <c r="R25" s="1459" t="s">
        <v>8</v>
      </c>
      <c r="S25" s="1460">
        <f>F25</f>
        <v>100</v>
      </c>
      <c r="T25" s="1459" t="s">
        <v>8</v>
      </c>
      <c r="U25" s="1460">
        <f>H25</f>
        <v>100</v>
      </c>
      <c r="V25" s="1459" t="s">
        <v>8</v>
      </c>
      <c r="W25" s="1460">
        <f>J25</f>
        <v>100</v>
      </c>
      <c r="X25" s="1461"/>
      <c r="Y25" s="3660"/>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60"/>
      <c r="Q26" s="1098"/>
      <c r="R26" s="1459"/>
      <c r="S26" s="1460"/>
      <c r="T26" s="1459"/>
      <c r="U26" s="1460"/>
      <c r="V26" s="1459"/>
      <c r="W26" s="1460"/>
      <c r="X26" s="1461"/>
      <c r="Y26" s="3660"/>
      <c r="Z26" s="1097"/>
      <c r="AA26" s="1462">
        <v>1</v>
      </c>
      <c r="AB26" s="1462">
        <v>1</v>
      </c>
      <c r="AC26" s="1462">
        <v>1</v>
      </c>
    </row>
    <row r="27" spans="1:29" s="1167" customFormat="1" ht="41.4">
      <c r="A27" s="554"/>
      <c r="B27" s="2360"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60"/>
      <c r="Q27" s="2351" t="str">
        <f t="shared" ref="Q27" si="9">B27</f>
        <v>基础设施水平</v>
      </c>
      <c r="R27" s="1459" t="s">
        <v>8</v>
      </c>
      <c r="S27" s="1460">
        <f>F27</f>
        <v>100</v>
      </c>
      <c r="T27" s="1459" t="s">
        <v>8</v>
      </c>
      <c r="U27" s="1460">
        <f>H27</f>
        <v>100</v>
      </c>
      <c r="V27" s="1459" t="s">
        <v>8</v>
      </c>
      <c r="W27" s="1460">
        <f>J27</f>
        <v>100</v>
      </c>
      <c r="X27" s="1461"/>
      <c r="Y27" s="3660"/>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60"/>
      <c r="Q28" s="2351"/>
      <c r="R28" s="1459"/>
      <c r="S28" s="1460"/>
      <c r="T28" s="1459"/>
      <c r="U28" s="1460"/>
      <c r="V28" s="1459"/>
      <c r="W28" s="1460"/>
      <c r="X28" s="1461"/>
      <c r="Y28" s="3660"/>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60"/>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60"/>
      <c r="Z29" s="1466" t="str">
        <f t="shared" ref="Z29:Z42" si="13">Q29</f>
        <v>临街状况</v>
      </c>
      <c r="AA29" s="1467">
        <f t="shared" si="3"/>
        <v>1</v>
      </c>
      <c r="AB29" s="1467">
        <f t="shared" si="4"/>
        <v>1</v>
      </c>
      <c r="AC29" s="1467">
        <f t="shared" si="5"/>
        <v>1</v>
      </c>
    </row>
    <row r="30" spans="1:29" ht="28.8">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60"/>
      <c r="Q30" s="1463" t="str">
        <f t="shared" si="8"/>
        <v>毗邻道路的类型与等级</v>
      </c>
      <c r="R30" s="1464" t="s">
        <v>8</v>
      </c>
      <c r="S30" s="1465">
        <f t="shared" si="10"/>
        <v>100</v>
      </c>
      <c r="T30" s="1464" t="s">
        <v>8</v>
      </c>
      <c r="U30" s="1465">
        <f t="shared" si="11"/>
        <v>100</v>
      </c>
      <c r="V30" s="1464" t="s">
        <v>8</v>
      </c>
      <c r="W30" s="1465">
        <f t="shared" si="12"/>
        <v>100</v>
      </c>
      <c r="X30" s="1458"/>
      <c r="Y30" s="3660"/>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60"/>
      <c r="Q31" s="1463"/>
      <c r="R31" s="1464"/>
      <c r="S31" s="1465"/>
      <c r="T31" s="1464"/>
      <c r="U31" s="1465"/>
      <c r="V31" s="1464"/>
      <c r="W31" s="1465"/>
      <c r="X31" s="1458"/>
      <c r="Y31" s="3660"/>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60"/>
      <c r="Q32" s="1463" t="str">
        <f t="shared" si="8"/>
        <v>土地级别</v>
      </c>
      <c r="R32" s="1464" t="s">
        <v>8</v>
      </c>
      <c r="S32" s="1465">
        <f t="shared" si="10"/>
        <v>100</v>
      </c>
      <c r="T32" s="1464" t="s">
        <v>8</v>
      </c>
      <c r="U32" s="1465">
        <f t="shared" si="11"/>
        <v>100</v>
      </c>
      <c r="V32" s="1464" t="s">
        <v>8</v>
      </c>
      <c r="W32" s="1465">
        <f t="shared" si="12"/>
        <v>100</v>
      </c>
      <c r="X32" s="1458"/>
      <c r="Y32" s="3660"/>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60"/>
      <c r="Q33" s="1463">
        <f t="shared" si="8"/>
        <v>111</v>
      </c>
      <c r="R33" s="1464" t="s">
        <v>8</v>
      </c>
      <c r="S33" s="1465">
        <f t="shared" si="10"/>
        <v>100</v>
      </c>
      <c r="T33" s="1464" t="s">
        <v>8</v>
      </c>
      <c r="U33" s="1465">
        <f t="shared" si="11"/>
        <v>100</v>
      </c>
      <c r="V33" s="1464" t="s">
        <v>8</v>
      </c>
      <c r="W33" s="1465">
        <f t="shared" si="12"/>
        <v>100</v>
      </c>
      <c r="X33" s="1458"/>
      <c r="Y33" s="3660"/>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61" t="s">
        <v>533</v>
      </c>
      <c r="Q34" s="1463">
        <f t="shared" si="8"/>
        <v>111</v>
      </c>
      <c r="R34" s="1464" t="s">
        <v>8</v>
      </c>
      <c r="S34" s="1465">
        <f t="shared" si="10"/>
        <v>100</v>
      </c>
      <c r="T34" s="1464" t="s">
        <v>8</v>
      </c>
      <c r="U34" s="1465">
        <f t="shared" si="11"/>
        <v>100</v>
      </c>
      <c r="V34" s="1464" t="s">
        <v>8</v>
      </c>
      <c r="W34" s="1465">
        <f t="shared" si="12"/>
        <v>100</v>
      </c>
      <c r="X34" s="1458"/>
      <c r="Y34" s="3662" t="s">
        <v>533</v>
      </c>
      <c r="Z34" s="1466">
        <f t="shared" si="13"/>
        <v>111</v>
      </c>
      <c r="AA34" s="1467">
        <f t="shared" si="3"/>
        <v>1</v>
      </c>
      <c r="AB34" s="1467">
        <f t="shared" si="4"/>
        <v>1</v>
      </c>
      <c r="AC34" s="1467">
        <f t="shared" si="5"/>
        <v>1</v>
      </c>
    </row>
    <row r="35" spans="1:29" s="1249" customFormat="1" ht="15.6"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62"/>
      <c r="Q35" s="1463">
        <f t="shared" si="8"/>
        <v>111</v>
      </c>
      <c r="R35" s="1468" t="s">
        <v>8</v>
      </c>
      <c r="S35" s="1469">
        <f t="shared" si="10"/>
        <v>100</v>
      </c>
      <c r="T35" s="1468" t="s">
        <v>8</v>
      </c>
      <c r="U35" s="1469">
        <f t="shared" si="11"/>
        <v>100</v>
      </c>
      <c r="V35" s="1468" t="s">
        <v>8</v>
      </c>
      <c r="W35" s="1469">
        <f t="shared" si="12"/>
        <v>100</v>
      </c>
      <c r="X35" s="1470"/>
      <c r="Y35" s="3662"/>
      <c r="Z35" s="1471">
        <f t="shared" si="13"/>
        <v>111</v>
      </c>
      <c r="AA35" s="1467">
        <f t="shared" si="3"/>
        <v>1</v>
      </c>
      <c r="AB35" s="1467">
        <f t="shared" si="4"/>
        <v>1</v>
      </c>
      <c r="AC35" s="1467">
        <f t="shared" si="5"/>
        <v>1</v>
      </c>
    </row>
    <row r="36" spans="1:29" ht="15">
      <c r="A36" s="2547"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9"/>
      <c r="M36" s="1971"/>
      <c r="N36" s="1971"/>
      <c r="O36" s="1978"/>
      <c r="P36" s="3662"/>
      <c r="Q36" s="1463" t="str">
        <f>B36</f>
        <v>宗地面积</v>
      </c>
      <c r="R36" s="1464" t="s">
        <v>8</v>
      </c>
      <c r="S36" s="1465" t="e">
        <f t="shared" si="10"/>
        <v>#N/A</v>
      </c>
      <c r="T36" s="1464" t="s">
        <v>8</v>
      </c>
      <c r="U36" s="1465" t="e">
        <f t="shared" si="11"/>
        <v>#N/A</v>
      </c>
      <c r="V36" s="1464" t="s">
        <v>8</v>
      </c>
      <c r="W36" s="1465" t="e">
        <f t="shared" si="12"/>
        <v>#N/A</v>
      </c>
      <c r="X36" s="1458"/>
      <c r="Y36" s="3662"/>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62"/>
      <c r="Q37" s="1463" t="str">
        <f t="shared" ref="Q37:Q42" si="14">B37</f>
        <v>宗地形状</v>
      </c>
      <c r="R37" s="1464" t="s">
        <v>8</v>
      </c>
      <c r="S37" s="1465">
        <f t="shared" si="10"/>
        <v>100</v>
      </c>
      <c r="T37" s="1464" t="s">
        <v>8</v>
      </c>
      <c r="U37" s="1465">
        <f t="shared" si="11"/>
        <v>100</v>
      </c>
      <c r="V37" s="1464" t="s">
        <v>8</v>
      </c>
      <c r="W37" s="1465">
        <f t="shared" si="12"/>
        <v>100</v>
      </c>
      <c r="X37" s="1458"/>
      <c r="Y37" s="3662"/>
      <c r="Z37" s="1466" t="str">
        <f t="shared" si="13"/>
        <v>宗地形状</v>
      </c>
      <c r="AA37" s="1467">
        <f t="shared" si="3"/>
        <v>1</v>
      </c>
      <c r="AB37" s="1467">
        <f t="shared" si="4"/>
        <v>1</v>
      </c>
      <c r="AC37" s="1467">
        <f t="shared" si="5"/>
        <v>1</v>
      </c>
    </row>
    <row r="38" spans="1:29" s="1167" customFormat="1" ht="15">
      <c r="A38" s="577"/>
      <c r="B38" s="1765"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62"/>
      <c r="Q38" s="1463" t="str">
        <f t="shared" si="14"/>
        <v>宗地开发程度</v>
      </c>
      <c r="R38" s="1459" t="s">
        <v>8</v>
      </c>
      <c r="S38" s="1460">
        <f t="shared" si="10"/>
        <v>100</v>
      </c>
      <c r="T38" s="1459" t="s">
        <v>8</v>
      </c>
      <c r="U38" s="1460">
        <f t="shared" si="11"/>
        <v>100</v>
      </c>
      <c r="V38" s="1459" t="s">
        <v>8</v>
      </c>
      <c r="W38" s="1460">
        <f t="shared" si="12"/>
        <v>100</v>
      </c>
      <c r="X38" s="1461"/>
      <c r="Y38" s="3662"/>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62" t="s">
        <v>583</v>
      </c>
      <c r="Q39" s="1463" t="str">
        <f t="shared" si="14"/>
        <v>工程地质条件</v>
      </c>
      <c r="R39" s="1464" t="s">
        <v>8</v>
      </c>
      <c r="S39" s="1465">
        <f t="shared" si="10"/>
        <v>100</v>
      </c>
      <c r="T39" s="1464" t="s">
        <v>8</v>
      </c>
      <c r="U39" s="1465">
        <f t="shared" si="11"/>
        <v>100</v>
      </c>
      <c r="V39" s="1464" t="s">
        <v>8</v>
      </c>
      <c r="W39" s="1465">
        <f t="shared" si="12"/>
        <v>100</v>
      </c>
      <c r="X39" s="1458"/>
      <c r="Y39" s="3662"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62"/>
      <c r="Q40" s="1463">
        <f t="shared" si="14"/>
        <v>111</v>
      </c>
      <c r="R40" s="1464" t="s">
        <v>8</v>
      </c>
      <c r="S40" s="1465">
        <f t="shared" si="10"/>
        <v>100</v>
      </c>
      <c r="T40" s="1464" t="s">
        <v>8</v>
      </c>
      <c r="U40" s="1465">
        <f t="shared" si="11"/>
        <v>100</v>
      </c>
      <c r="V40" s="1464" t="s">
        <v>8</v>
      </c>
      <c r="W40" s="1465">
        <f t="shared" si="12"/>
        <v>100</v>
      </c>
      <c r="X40" s="1458"/>
      <c r="Y40" s="3662"/>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62"/>
      <c r="Q41" s="1463">
        <f t="shared" si="14"/>
        <v>111</v>
      </c>
      <c r="R41" s="1464" t="s">
        <v>8</v>
      </c>
      <c r="S41" s="1465">
        <f t="shared" si="10"/>
        <v>100</v>
      </c>
      <c r="T41" s="1464" t="s">
        <v>8</v>
      </c>
      <c r="U41" s="1465">
        <f t="shared" si="11"/>
        <v>100</v>
      </c>
      <c r="V41" s="1464" t="s">
        <v>8</v>
      </c>
      <c r="W41" s="1465">
        <f t="shared" si="12"/>
        <v>100</v>
      </c>
      <c r="X41" s="1458"/>
      <c r="Y41" s="3662"/>
      <c r="Z41" s="1466">
        <f t="shared" si="13"/>
        <v>111</v>
      </c>
      <c r="AA41" s="1467">
        <f t="shared" si="3"/>
        <v>1</v>
      </c>
      <c r="AB41" s="1467">
        <f t="shared" si="4"/>
        <v>1</v>
      </c>
      <c r="AC41" s="1467">
        <f t="shared" si="5"/>
        <v>1</v>
      </c>
    </row>
    <row r="42" spans="1:29" s="1249" customFormat="1" ht="15.6"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62"/>
      <c r="Q42" s="1463">
        <f t="shared" si="14"/>
        <v>111</v>
      </c>
      <c r="R42" s="1468" t="s">
        <v>8</v>
      </c>
      <c r="S42" s="1469">
        <f t="shared" si="10"/>
        <v>100</v>
      </c>
      <c r="T42" s="1468" t="s">
        <v>8</v>
      </c>
      <c r="U42" s="1469">
        <f t="shared" si="11"/>
        <v>100</v>
      </c>
      <c r="V42" s="1468" t="s">
        <v>8</v>
      </c>
      <c r="W42" s="1469">
        <f t="shared" si="12"/>
        <v>100</v>
      </c>
      <c r="X42" s="1470"/>
      <c r="Y42" s="3662"/>
      <c r="Z42" s="1471">
        <f t="shared" si="13"/>
        <v>111</v>
      </c>
      <c r="AA42" s="1467">
        <f t="shared" si="3"/>
        <v>1</v>
      </c>
      <c r="AB42" s="1467">
        <f t="shared" si="4"/>
        <v>1</v>
      </c>
      <c r="AC42" s="1467">
        <f t="shared" si="5"/>
        <v>1</v>
      </c>
    </row>
    <row r="43" spans="1:29" ht="14.4">
      <c r="A43" s="584" t="s">
        <v>539</v>
      </c>
      <c r="B43" s="585" t="s">
        <v>2636</v>
      </c>
      <c r="C43" s="586" t="s">
        <v>1</v>
      </c>
      <c r="D43" s="587"/>
      <c r="E43" s="588"/>
      <c r="F43" s="589"/>
      <c r="G43" s="590"/>
      <c r="H43" s="591"/>
      <c r="I43" s="588"/>
      <c r="J43" s="591"/>
      <c r="K43" s="1250"/>
      <c r="L43" s="1981"/>
      <c r="M43" s="1971"/>
      <c r="N43" s="1971"/>
      <c r="O43" s="1982"/>
      <c r="P43" s="3626" t="str">
        <f>A43</f>
        <v>成交单价</v>
      </c>
      <c r="Q43" s="3626"/>
      <c r="R43" s="3627">
        <f>E43</f>
        <v>0</v>
      </c>
      <c r="S43" s="3627"/>
      <c r="T43" s="3627">
        <f>G43</f>
        <v>0</v>
      </c>
      <c r="U43" s="3627"/>
      <c r="V43" s="3627">
        <f>I43</f>
        <v>0</v>
      </c>
      <c r="W43" s="3627"/>
      <c r="X43" s="1453"/>
      <c r="Y43" s="1472"/>
      <c r="Z43" s="1453"/>
      <c r="AA43" s="1453"/>
      <c r="AB43" s="1453"/>
      <c r="AC43" s="1453"/>
    </row>
    <row r="44" spans="1:29" ht="15" thickBot="1">
      <c r="A44" s="592" t="s">
        <v>2410</v>
      </c>
      <c r="B44" s="593"/>
      <c r="C44" s="594" t="e">
        <f>R45</f>
        <v>#DIV/0!</v>
      </c>
      <c r="D44" s="2923" t="s">
        <v>2702</v>
      </c>
      <c r="E44" s="594" t="e">
        <f>R44</f>
        <v>#DIV/0!</v>
      </c>
      <c r="F44" s="2924"/>
      <c r="G44" s="595" t="e">
        <f>T44</f>
        <v>#DIV/0!</v>
      </c>
      <c r="H44" s="2924"/>
      <c r="I44" s="594" t="e">
        <f>V44</f>
        <v>#DIV/0!</v>
      </c>
      <c r="J44" s="2924"/>
      <c r="K44" s="2925">
        <f>F44+H44+J44</f>
        <v>0</v>
      </c>
      <c r="L44" s="1981"/>
      <c r="M44" s="1971"/>
      <c r="N44" s="1971"/>
      <c r="O44" s="1982"/>
      <c r="P44" s="3626" t="str">
        <f>A44</f>
        <v>比较价格（元/平方米）</v>
      </c>
      <c r="Q44" s="3626"/>
      <c r="R44" s="3628" t="e">
        <f>ROUND(PRODUCT(R43,AA9:AA42),0)</f>
        <v>#DIV/0!</v>
      </c>
      <c r="S44" s="3628"/>
      <c r="T44" s="3628" t="e">
        <f>ROUND(PRODUCT(T43,AB9:AB42),0)</f>
        <v>#DIV/0!</v>
      </c>
      <c r="U44" s="3628"/>
      <c r="V44" s="3628" t="e">
        <f>ROUND(PRODUCT(V43,AC9:AC42),0)</f>
        <v>#DIV/0!</v>
      </c>
      <c r="W44" s="3628"/>
      <c r="X44" s="1453"/>
      <c r="Y44" s="1453"/>
      <c r="Z44" s="1453"/>
      <c r="AA44" s="1453"/>
      <c r="AB44" s="1453"/>
      <c r="AC44" s="1453"/>
    </row>
    <row r="45" spans="1:29" ht="15" thickBot="1">
      <c r="A45" s="596" t="s">
        <v>2637</v>
      </c>
      <c r="B45" s="597"/>
      <c r="C45" s="598" t="e">
        <f>R45</f>
        <v>#DIV/0!</v>
      </c>
      <c r="D45" s="598"/>
      <c r="E45" s="598"/>
      <c r="F45" s="598"/>
      <c r="G45" s="598"/>
      <c r="H45" s="598"/>
      <c r="I45" s="598"/>
      <c r="J45" s="598"/>
      <c r="K45" s="1251"/>
      <c r="L45" s="1981"/>
      <c r="M45" s="1971"/>
      <c r="N45" s="1971"/>
      <c r="O45" s="1982"/>
      <c r="P45" s="3663" t="str">
        <f>A45</f>
        <v>估价对象XX用房的比较价格（楼面单价，元/平方米）</v>
      </c>
      <c r="Q45" s="3664"/>
      <c r="R45" s="3675" t="e">
        <f>ROUND(IF(D44="简单平均",AVERAGE(R44:W44),R44*F44+T44*H44+V44*J44),0)</f>
        <v>#DIV/0!</v>
      </c>
      <c r="S45" s="3675"/>
      <c r="T45" s="3675"/>
      <c r="U45" s="3675"/>
      <c r="V45" s="3675"/>
      <c r="W45" s="3675"/>
      <c r="X45" s="1453"/>
      <c r="Y45" s="1453"/>
      <c r="Z45" s="1453"/>
      <c r="AA45" s="1453"/>
      <c r="AB45" s="1453"/>
      <c r="AC45" s="1453"/>
    </row>
    <row r="46" spans="1:29">
      <c r="A46" s="3123"/>
      <c r="B46" s="3123"/>
      <c r="C46" s="3123"/>
      <c r="D46" s="3123"/>
      <c r="E46" s="3123"/>
      <c r="F46" s="3123"/>
      <c r="G46" s="3125"/>
      <c r="H46" s="3123"/>
      <c r="I46" s="3123"/>
      <c r="J46" s="3123"/>
      <c r="K46" s="3126"/>
      <c r="L46" s="1986"/>
      <c r="M46" s="1971"/>
      <c r="N46" s="1971"/>
      <c r="O46" s="1982"/>
      <c r="P46" s="1982"/>
      <c r="Q46" s="1982"/>
      <c r="R46" s="1982"/>
      <c r="S46" s="1982"/>
      <c r="T46" s="1982"/>
      <c r="U46" s="1982"/>
      <c r="V46" s="1982"/>
      <c r="W46" s="1982"/>
      <c r="X46" s="1982"/>
      <c r="Y46" s="1982"/>
      <c r="Z46" s="1982"/>
      <c r="AA46" s="1982"/>
      <c r="AB46" s="1982"/>
      <c r="AC46" s="1982"/>
    </row>
    <row r="47" spans="1:29">
      <c r="A47" s="3123"/>
      <c r="B47" s="3123"/>
      <c r="C47" s="3123"/>
      <c r="D47" s="3123"/>
      <c r="E47" s="3123"/>
      <c r="F47" s="3123"/>
      <c r="G47" s="3123"/>
      <c r="H47" s="3123"/>
      <c r="I47" s="3123"/>
      <c r="J47" s="3123"/>
      <c r="K47" s="3126"/>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23"/>
      <c r="B48" s="3123"/>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6"/>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23"/>
      <c r="B49" s="3123"/>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6"/>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4"/>
      <c r="B50" s="3124"/>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7"/>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4.4" thickBot="1">
      <c r="A51" s="3124"/>
      <c r="B51" s="3135"/>
      <c r="C51" s="1987"/>
      <c r="D51" s="1983"/>
      <c r="E51" s="1983"/>
      <c r="F51" s="1983"/>
      <c r="G51" s="1983"/>
      <c r="H51" s="1983"/>
      <c r="I51" s="1983"/>
      <c r="J51" s="1983"/>
      <c r="K51" s="3127"/>
      <c r="L51" s="1989"/>
      <c r="M51" s="1983"/>
      <c r="N51" s="1983"/>
      <c r="O51" s="1983"/>
      <c r="P51" s="1983"/>
      <c r="Q51" s="1983"/>
      <c r="R51" s="1983"/>
      <c r="S51" s="1983"/>
      <c r="T51" s="1983"/>
      <c r="U51" s="1983"/>
      <c r="V51" s="1983"/>
      <c r="W51" s="1983"/>
      <c r="X51" s="1983"/>
      <c r="Y51" s="1983"/>
      <c r="Z51" s="1983"/>
      <c r="AA51" s="1983"/>
      <c r="AB51" s="1983"/>
      <c r="AC51" s="1983"/>
    </row>
    <row r="52" spans="1:29" ht="28.8">
      <c r="A52" s="604" t="s">
        <v>543</v>
      </c>
      <c r="B52" s="605" t="s">
        <v>544</v>
      </c>
      <c r="C52" s="1454" t="s">
        <v>1524</v>
      </c>
      <c r="D52" s="2062" t="s">
        <v>2083</v>
      </c>
      <c r="E52" s="606" t="s">
        <v>545</v>
      </c>
      <c r="F52" s="1821" t="s">
        <v>546</v>
      </c>
      <c r="G52" s="3671" t="s">
        <v>2075</v>
      </c>
      <c r="H52" s="3672"/>
      <c r="I52" s="1822" t="s">
        <v>1737</v>
      </c>
      <c r="J52" s="1450">
        <f>项目基本情况!F41</f>
        <v>0</v>
      </c>
      <c r="K52" s="1990" t="s">
        <v>1523</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3.2">
      <c r="A53" s="608" t="s">
        <v>547</v>
      </c>
      <c r="B53" s="609" t="e">
        <f>C45</f>
        <v>#DIV/0!</v>
      </c>
      <c r="C53" s="610">
        <v>1</v>
      </c>
      <c r="D53" s="2063">
        <v>1</v>
      </c>
      <c r="E53" s="610">
        <f>'数据-汇总表'!E8+'数据-汇总表'!E9</f>
        <v>0</v>
      </c>
      <c r="F53" s="1820" t="e">
        <f t="shared" ref="F53:F61" si="15">ROUND(B53*E53/10000,0)</f>
        <v>#DIV/0!</v>
      </c>
      <c r="G53" s="3673"/>
      <c r="H53" s="3674"/>
      <c r="I53" s="1823">
        <v>1</v>
      </c>
      <c r="J53" s="1451">
        <v>1</v>
      </c>
      <c r="K53" s="3128"/>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3.2">
      <c r="A54" s="612" t="s">
        <v>548</v>
      </c>
      <c r="B54" s="613" t="e">
        <f>ROUND($C$45*C54*D54,0)</f>
        <v>#DIV/0!</v>
      </c>
      <c r="C54" s="372">
        <f t="shared" ref="C54:C61" si="16">IF($C$52="北京市系数",I54,J54)</f>
        <v>0</v>
      </c>
      <c r="D54" s="2064">
        <v>0.25</v>
      </c>
      <c r="E54" s="614"/>
      <c r="F54" s="1820" t="e">
        <f t="shared" si="15"/>
        <v>#DIV/0!</v>
      </c>
      <c r="G54" s="3446" t="s">
        <v>2076</v>
      </c>
      <c r="H54" s="1824">
        <f>项目基本情况!B43</f>
        <v>0</v>
      </c>
      <c r="I54" s="1823">
        <f>SUMIF(修正!$A$57:$A$68,H54,修正!B57:B68)</f>
        <v>0</v>
      </c>
      <c r="J54" s="1452"/>
      <c r="K54" s="3128"/>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3.2">
      <c r="A55" s="612" t="s">
        <v>549</v>
      </c>
      <c r="B55" s="613" t="e">
        <f t="shared" ref="B55:B61" si="17">ROUND($C$45*C55*D55,0)</f>
        <v>#DIV/0!</v>
      </c>
      <c r="C55" s="372">
        <f t="shared" si="16"/>
        <v>0</v>
      </c>
      <c r="D55" s="2064">
        <v>0.25</v>
      </c>
      <c r="E55" s="614"/>
      <c r="F55" s="1820" t="e">
        <f t="shared" si="15"/>
        <v>#DIV/0!</v>
      </c>
      <c r="G55" s="3447"/>
      <c r="H55" s="1825">
        <f>项目基本情况!B43</f>
        <v>0</v>
      </c>
      <c r="I55" s="1823">
        <f>SUMIF(修正!$A$57:$A$68,H55,修正!C57:C68)</f>
        <v>0</v>
      </c>
      <c r="J55" s="1452"/>
      <c r="K55" s="3128"/>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3.2">
      <c r="A56" s="612" t="s">
        <v>550</v>
      </c>
      <c r="B56" s="613" t="e">
        <f t="shared" si="17"/>
        <v>#DIV/0!</v>
      </c>
      <c r="C56" s="372">
        <f t="shared" si="16"/>
        <v>0</v>
      </c>
      <c r="D56" s="2064">
        <v>0.25</v>
      </c>
      <c r="E56" s="614"/>
      <c r="F56" s="1820" t="e">
        <f t="shared" si="15"/>
        <v>#DIV/0!</v>
      </c>
      <c r="G56" s="3447"/>
      <c r="H56" s="1825">
        <f>项目基本情况!B43</f>
        <v>0</v>
      </c>
      <c r="I56" s="1823">
        <f>SUMIF(修正!$A$57:$A$68,H56,修正!D57:D68)</f>
        <v>0</v>
      </c>
      <c r="J56" s="1452"/>
      <c r="K56" s="3128"/>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3.2">
      <c r="A57" s="2166" t="s">
        <v>2118</v>
      </c>
      <c r="B57" s="613" t="e">
        <f t="shared" si="17"/>
        <v>#DIV/0!</v>
      </c>
      <c r="C57" s="372">
        <f t="shared" si="16"/>
        <v>0</v>
      </c>
      <c r="D57" s="2064">
        <v>0.25</v>
      </c>
      <c r="E57" s="616">
        <f>'数据-汇总表'!E11</f>
        <v>0</v>
      </c>
      <c r="F57" s="1820" t="e">
        <f t="shared" si="15"/>
        <v>#DIV/0!</v>
      </c>
      <c r="G57" s="1826" t="s">
        <v>2077</v>
      </c>
      <c r="H57" s="1825">
        <f>项目基本情况!C43</f>
        <v>0</v>
      </c>
      <c r="I57" s="1823">
        <f>SUMIF(修正!$A$57:$A$68,H57,修正!E57:E68)</f>
        <v>0</v>
      </c>
      <c r="J57" s="1452"/>
      <c r="K57" s="3128"/>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3.2">
      <c r="A58" s="612" t="s">
        <v>551</v>
      </c>
      <c r="B58" s="613" t="e">
        <f t="shared" si="17"/>
        <v>#DIV/0!</v>
      </c>
      <c r="C58" s="372">
        <f t="shared" si="16"/>
        <v>0</v>
      </c>
      <c r="D58" s="2064">
        <v>0.25</v>
      </c>
      <c r="E58" s="616">
        <f>'数据-汇总表'!E12</f>
        <v>0</v>
      </c>
      <c r="F58" s="1820" t="e">
        <f t="shared" si="15"/>
        <v>#DIV/0!</v>
      </c>
      <c r="G58" s="1816" t="s">
        <v>1477</v>
      </c>
      <c r="H58" s="1824">
        <f>IF(G58="商业",项目基本情况!B43,IF(G58="办公",项目基本情况!C43,IF(G58="住宅",项目基本情况!D43,项目基本情况!E43)))</f>
        <v>0</v>
      </c>
      <c r="I58" s="1823">
        <f>SUMIF(修正!$A$57:$A$68,H58,修正!F57:F68)</f>
        <v>0</v>
      </c>
      <c r="J58" s="1452"/>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3.2">
      <c r="A59" s="612" t="s">
        <v>552</v>
      </c>
      <c r="B59" s="613" t="e">
        <f t="shared" si="17"/>
        <v>#DIV/0!</v>
      </c>
      <c r="C59" s="372">
        <f t="shared" si="16"/>
        <v>0</v>
      </c>
      <c r="D59" s="2064">
        <v>0.25</v>
      </c>
      <c r="E59" s="616">
        <f>'数据-汇总表'!E13</f>
        <v>0</v>
      </c>
      <c r="F59" s="1820" t="e">
        <f t="shared" si="15"/>
        <v>#DIV/0!</v>
      </c>
      <c r="G59" s="1816" t="s">
        <v>902</v>
      </c>
      <c r="H59" s="1824">
        <f>IF(G59="商业",项目基本情况!B43,IF(G59="办公",项目基本情况!C43,IF(G59="住宅",项目基本情况!D43,项目基本情况!E43)))</f>
        <v>0</v>
      </c>
      <c r="I59" s="1823">
        <f>SUMIF(修正!$A$57:$A$68,H59,修正!G57:G68)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3.2">
      <c r="A60" s="612" t="s">
        <v>553</v>
      </c>
      <c r="B60" s="613" t="e">
        <f t="shared" si="17"/>
        <v>#DIV/0!</v>
      </c>
      <c r="C60" s="372">
        <f t="shared" si="16"/>
        <v>0</v>
      </c>
      <c r="D60" s="2064">
        <v>0.25</v>
      </c>
      <c r="E60" s="616">
        <f>'数据-汇总表'!E14</f>
        <v>0</v>
      </c>
      <c r="F60" s="1820" t="e">
        <f t="shared" si="15"/>
        <v>#DIV/0!</v>
      </c>
      <c r="G60" s="1826" t="s">
        <v>2076</v>
      </c>
      <c r="H60" s="1825">
        <f>项目基本情况!B43</f>
        <v>0</v>
      </c>
      <c r="I60" s="1823">
        <f>SUMIF(修正!$A$57:$A$68,H60,修正!G57:G68)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thickBot="1">
      <c r="A61" s="612" t="s">
        <v>554</v>
      </c>
      <c r="B61" s="613" t="e">
        <f t="shared" si="17"/>
        <v>#DIV/0!</v>
      </c>
      <c r="C61" s="372">
        <f t="shared" si="16"/>
        <v>0</v>
      </c>
      <c r="D61" s="2064">
        <v>0.25</v>
      </c>
      <c r="E61" s="616">
        <f>'数据-汇总表'!E15</f>
        <v>0</v>
      </c>
      <c r="F61" s="1820" t="e">
        <f t="shared" si="15"/>
        <v>#DIV/0!</v>
      </c>
      <c r="G61" s="1827" t="s">
        <v>2077</v>
      </c>
      <c r="H61" s="1828">
        <f>项目基本情况!C43</f>
        <v>0</v>
      </c>
      <c r="I61" s="1823">
        <f>SUMIF(修正!$A$57:$A$68,H61,修正!G57:G68)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thickBot="1">
      <c r="A62" s="617" t="s">
        <v>555</v>
      </c>
      <c r="B62" s="618" t="s">
        <v>17</v>
      </c>
      <c r="C62" s="618" t="s">
        <v>18</v>
      </c>
      <c r="D62" s="618" t="s">
        <v>2084</v>
      </c>
      <c r="E62" s="618" t="e">
        <f>IF(B43="楼面地价",SUM(E53:E61),'数据-汇总表'!D3)</f>
        <v>#DIV/0!</v>
      </c>
      <c r="F62" s="619" t="e">
        <f>IF(B43="楼面地价",SUM(F53:F61),ROUND(C45*E62/10000,0))</f>
        <v>#DIV/0!</v>
      </c>
      <c r="G62" s="1992"/>
      <c r="H62" s="1992"/>
      <c r="I62" s="1992"/>
      <c r="J62" s="1992"/>
      <c r="K62" s="3136"/>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1900-1-1</v>
      </c>
      <c r="D64" s="2439" t="e">
        <f>EDATE(C64,-3)</f>
        <v>#NUM!</v>
      </c>
      <c r="E64" s="2439" t="e">
        <f t="shared" ref="E64:N64" si="18">EDATE(D64,-3)</f>
        <v>#NUM!</v>
      </c>
      <c r="F64" s="2439" t="e">
        <f t="shared" si="18"/>
        <v>#NUM!</v>
      </c>
      <c r="G64" s="2439" t="e">
        <f t="shared" si="18"/>
        <v>#NUM!</v>
      </c>
      <c r="H64" s="2439" t="e">
        <f t="shared" si="18"/>
        <v>#NUM!</v>
      </c>
      <c r="I64" s="2439" t="e">
        <f t="shared" si="18"/>
        <v>#NUM!</v>
      </c>
      <c r="J64" s="2439" t="e">
        <f t="shared" si="18"/>
        <v>#NUM!</v>
      </c>
      <c r="K64" s="2439" t="e">
        <f t="shared" si="18"/>
        <v>#NUM!</v>
      </c>
      <c r="L64" s="2439" t="e">
        <f t="shared" si="18"/>
        <v>#NUM!</v>
      </c>
      <c r="M64" s="2439" t="e">
        <f t="shared" si="18"/>
        <v>#NUM!</v>
      </c>
      <c r="N64" s="2439" t="e">
        <f t="shared" si="18"/>
        <v>#NUM!</v>
      </c>
      <c r="O64" s="1982"/>
      <c r="P64" s="1982"/>
      <c r="Q64" s="1982"/>
      <c r="R64" s="1982"/>
      <c r="S64" s="1982"/>
      <c r="T64" s="1982"/>
      <c r="U64" s="1982"/>
      <c r="V64" s="1982"/>
      <c r="W64" s="1982"/>
      <c r="X64" s="1982"/>
      <c r="Y64" s="1982"/>
      <c r="Z64" s="1982"/>
      <c r="AA64" s="1982"/>
      <c r="AB64" s="1982"/>
      <c r="AC64" s="1982"/>
    </row>
    <row r="65" spans="1:29" ht="22.2"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4.4">
      <c r="A66" s="2344" t="s">
        <v>2251</v>
      </c>
      <c r="B66" s="621"/>
      <c r="C66" s="2436" t="str">
        <f>YEAR(C64)&amp;"-"&amp;ROUNDUP(MONTH(C64)/3,0)</f>
        <v>1900-1</v>
      </c>
      <c r="D66" s="2441" t="e">
        <f t="shared" ref="D66:N66" si="19">YEAR(D64)&amp;"-"&amp;ROUNDUP(MONTH(D64)/3,0)</f>
        <v>#NUM!</v>
      </c>
      <c r="E66" s="2441" t="e">
        <f t="shared" si="19"/>
        <v>#NUM!</v>
      </c>
      <c r="F66" s="2441" t="e">
        <f t="shared" si="19"/>
        <v>#NUM!</v>
      </c>
      <c r="G66" s="2441" t="e">
        <f t="shared" si="19"/>
        <v>#NUM!</v>
      </c>
      <c r="H66" s="2441" t="e">
        <f t="shared" si="19"/>
        <v>#NUM!</v>
      </c>
      <c r="I66" s="2441" t="e">
        <f t="shared" si="19"/>
        <v>#NUM!</v>
      </c>
      <c r="J66" s="2441" t="e">
        <f t="shared" si="19"/>
        <v>#NUM!</v>
      </c>
      <c r="K66" s="2441" t="e">
        <f t="shared" si="19"/>
        <v>#NUM!</v>
      </c>
      <c r="L66" s="2441" t="e">
        <f t="shared" si="19"/>
        <v>#NUM!</v>
      </c>
      <c r="M66" s="2441" t="e">
        <f t="shared" si="19"/>
        <v>#NUM!</v>
      </c>
      <c r="N66" s="2441" t="e">
        <f t="shared" si="19"/>
        <v>#NUM!</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2366</v>
      </c>
      <c r="B67" s="472" t="str">
        <f>"北京市平均增长率"&amp;TEXT(基准地价!P24,"0.00%")</f>
        <v>北京市平均增长率0.00%</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4.4">
      <c r="A69" s="634" t="s">
        <v>514</v>
      </c>
      <c r="B69" s="623"/>
      <c r="C69" s="635" t="s">
        <v>558</v>
      </c>
      <c r="D69" s="636"/>
      <c r="E69" s="636"/>
      <c r="F69" s="636"/>
      <c r="G69" s="636"/>
      <c r="H69" s="636"/>
      <c r="I69" s="636"/>
      <c r="J69" s="636"/>
      <c r="K69" s="636"/>
      <c r="L69" s="637"/>
      <c r="M69" s="638"/>
      <c r="N69" s="3137"/>
      <c r="O69" s="1998"/>
      <c r="P69" s="1999"/>
      <c r="Q69" s="1994"/>
      <c r="R69" s="1860"/>
      <c r="S69" s="1860"/>
      <c r="T69" s="1860"/>
      <c r="U69" s="1860"/>
      <c r="V69" s="1860"/>
      <c r="W69" s="1860"/>
      <c r="X69" s="1860"/>
      <c r="Y69" s="1860"/>
      <c r="Z69" s="1860"/>
      <c r="AA69" s="1860"/>
      <c r="AB69" s="1860"/>
      <c r="AC69" s="1860"/>
    </row>
    <row r="70" spans="1:29" s="1167" customFormat="1" ht="14.4" thickBot="1">
      <c r="A70" s="634"/>
      <c r="B70" s="623"/>
      <c r="C70" s="624">
        <v>100</v>
      </c>
      <c r="D70" s="625"/>
      <c r="E70" s="625"/>
      <c r="F70" s="625"/>
      <c r="G70" s="625"/>
      <c r="H70" s="625"/>
      <c r="I70" s="625"/>
      <c r="J70" s="625"/>
      <c r="K70" s="625"/>
      <c r="L70" s="625"/>
      <c r="M70" s="627"/>
      <c r="N70" s="3137"/>
      <c r="O70" s="1998"/>
      <c r="P70" s="1994"/>
      <c r="Q70" s="1994"/>
      <c r="R70" s="1860"/>
      <c r="S70" s="1860"/>
      <c r="T70" s="1860"/>
      <c r="U70" s="1860"/>
      <c r="V70" s="1860"/>
      <c r="W70" s="1860"/>
      <c r="X70" s="1860"/>
      <c r="Y70" s="1860"/>
      <c r="Z70" s="1860"/>
      <c r="AA70" s="1860"/>
      <c r="AB70" s="1860"/>
      <c r="AC70" s="1860"/>
    </row>
    <row r="71" spans="1:29" ht="14.4">
      <c r="A71" s="639" t="s">
        <v>559</v>
      </c>
      <c r="B71" s="640" t="s">
        <v>517</v>
      </c>
      <c r="C71" s="575"/>
      <c r="D71" s="575"/>
      <c r="E71" s="575"/>
      <c r="F71" s="575"/>
      <c r="G71" s="575"/>
      <c r="H71" s="575"/>
      <c r="I71" s="575"/>
      <c r="J71" s="575"/>
      <c r="K71" s="641"/>
      <c r="L71" s="642"/>
      <c r="M71" s="643"/>
      <c r="N71" s="3138"/>
      <c r="O71" s="2000"/>
      <c r="P71" s="2001"/>
      <c r="Q71" s="1994"/>
      <c r="R71" s="1982"/>
      <c r="S71" s="1982"/>
      <c r="T71" s="1982"/>
      <c r="U71" s="1982"/>
      <c r="V71" s="1982"/>
      <c r="W71" s="1982"/>
      <c r="X71" s="1982"/>
      <c r="Y71" s="1982"/>
      <c r="Z71" s="1982"/>
      <c r="AA71" s="1982"/>
      <c r="AB71" s="1982"/>
      <c r="AC71" s="1982"/>
    </row>
    <row r="72" spans="1:29" ht="14.4" thickBot="1">
      <c r="A72" s="644"/>
      <c r="B72" s="645"/>
      <c r="C72" s="646"/>
      <c r="D72" s="646"/>
      <c r="E72" s="646"/>
      <c r="F72" s="646"/>
      <c r="G72" s="646"/>
      <c r="H72" s="646"/>
      <c r="I72" s="646"/>
      <c r="J72" s="646"/>
      <c r="K72" s="646"/>
      <c r="L72" s="646"/>
      <c r="M72" s="647"/>
      <c r="N72" s="3139"/>
      <c r="O72" s="2002"/>
      <c r="P72" s="2001"/>
      <c r="Q72" s="1994"/>
      <c r="R72" s="1982"/>
      <c r="S72" s="1982"/>
      <c r="T72" s="1982"/>
      <c r="U72" s="1982"/>
      <c r="V72" s="1982"/>
      <c r="W72" s="1982"/>
      <c r="X72" s="1982"/>
      <c r="Y72" s="1982"/>
      <c r="Z72" s="1982"/>
      <c r="AA72" s="1982"/>
      <c r="AB72" s="1982"/>
      <c r="AC72" s="1982"/>
    </row>
    <row r="73" spans="1:29" ht="29.4" thickTop="1">
      <c r="A73" s="644"/>
      <c r="B73" s="648" t="s">
        <v>520</v>
      </c>
      <c r="C73" s="649"/>
      <c r="D73" s="649"/>
      <c r="E73" s="649"/>
      <c r="F73" s="649"/>
      <c r="G73" s="649"/>
      <c r="H73" s="649"/>
      <c r="I73" s="649"/>
      <c r="J73" s="649"/>
      <c r="K73" s="650"/>
      <c r="L73" s="651"/>
      <c r="M73" s="652"/>
      <c r="N73" s="3138"/>
      <c r="O73" s="2000"/>
      <c r="P73" s="2001"/>
      <c r="Q73" s="1994"/>
      <c r="R73" s="1982"/>
      <c r="S73" s="1982"/>
      <c r="T73" s="1982"/>
      <c r="U73" s="1982"/>
      <c r="V73" s="1982"/>
      <c r="W73" s="1982"/>
      <c r="X73" s="1982"/>
      <c r="Y73" s="1982"/>
      <c r="Z73" s="1982"/>
      <c r="AA73" s="1982"/>
      <c r="AB73" s="1982"/>
      <c r="AC73" s="1982"/>
    </row>
    <row r="74" spans="1:29" ht="14.4" thickBot="1">
      <c r="A74" s="644"/>
      <c r="B74" s="653"/>
      <c r="C74" s="654"/>
      <c r="D74" s="654"/>
      <c r="E74" s="654"/>
      <c r="F74" s="654"/>
      <c r="G74" s="654"/>
      <c r="H74" s="654"/>
      <c r="I74" s="654"/>
      <c r="J74" s="654"/>
      <c r="K74" s="654"/>
      <c r="L74" s="654"/>
      <c r="M74" s="655"/>
      <c r="N74" s="3139"/>
      <c r="O74" s="2002"/>
      <c r="P74" s="2001"/>
      <c r="Q74" s="1994"/>
      <c r="R74" s="1982"/>
      <c r="S74" s="1982"/>
      <c r="T74" s="1982"/>
      <c r="U74" s="1982"/>
      <c r="V74" s="1982"/>
      <c r="W74" s="1982"/>
      <c r="X74" s="1982"/>
      <c r="Y74" s="1982"/>
      <c r="Z74" s="1982"/>
      <c r="AA74" s="1982"/>
      <c r="AB74" s="1982"/>
      <c r="AC74" s="1982"/>
    </row>
    <row r="75" spans="1:29" ht="1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9"/>
      <c r="O75" s="2002"/>
      <c r="P75" s="2001"/>
      <c r="Q75" s="1994"/>
      <c r="R75" s="1982"/>
      <c r="S75" s="1982"/>
      <c r="T75" s="1982"/>
      <c r="U75" s="1982"/>
      <c r="V75" s="1982"/>
      <c r="W75" s="1982"/>
      <c r="X75" s="1982"/>
      <c r="Y75" s="1982"/>
      <c r="Z75" s="1982"/>
      <c r="AA75" s="1982"/>
      <c r="AB75" s="1982"/>
      <c r="AC75" s="1982"/>
    </row>
    <row r="76" spans="1:29">
      <c r="A76" s="644"/>
      <c r="B76" s="658"/>
      <c r="C76" s="518"/>
      <c r="D76" s="518"/>
      <c r="E76" s="518"/>
      <c r="F76" s="518"/>
      <c r="G76" s="518"/>
      <c r="H76" s="518"/>
      <c r="I76" s="518"/>
      <c r="J76" s="518"/>
      <c r="K76" s="659"/>
      <c r="L76" s="660"/>
      <c r="M76" s="661"/>
      <c r="N76" s="3138"/>
      <c r="O76" s="2000"/>
      <c r="P76" s="2001"/>
      <c r="Q76" s="1994"/>
      <c r="R76" s="1982"/>
      <c r="S76" s="1982"/>
      <c r="T76" s="1982"/>
      <c r="U76" s="1982"/>
      <c r="V76" s="1982"/>
      <c r="W76" s="1982"/>
      <c r="X76" s="1982"/>
      <c r="Y76" s="1982"/>
      <c r="Z76" s="1982"/>
      <c r="AA76" s="1982"/>
      <c r="AB76" s="1982"/>
      <c r="AC76" s="1982"/>
    </row>
    <row r="77" spans="1:29" ht="14.4"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9"/>
      <c r="O77" s="2002"/>
      <c r="P77" s="2001"/>
      <c r="Q77" s="1994"/>
      <c r="R77" s="1982"/>
      <c r="S77" s="1982"/>
      <c r="T77" s="1982"/>
      <c r="U77" s="1982"/>
      <c r="V77" s="1982"/>
      <c r="W77" s="1982"/>
      <c r="X77" s="1982"/>
      <c r="Y77" s="1982"/>
      <c r="Z77" s="1982"/>
      <c r="AA77" s="1982"/>
      <c r="AB77" s="1982"/>
      <c r="AC77" s="1982"/>
    </row>
    <row r="78" spans="1:29" s="1249" customFormat="1" ht="14.4" thickTop="1">
      <c r="A78" s="662"/>
      <c r="B78" s="648">
        <f>B14</f>
        <v>111</v>
      </c>
      <c r="C78" s="663"/>
      <c r="D78" s="663"/>
      <c r="E78" s="663"/>
      <c r="F78" s="663"/>
      <c r="G78" s="663"/>
      <c r="H78" s="664"/>
      <c r="I78" s="664"/>
      <c r="J78" s="664"/>
      <c r="K78" s="664"/>
      <c r="L78" s="665"/>
      <c r="M78" s="666"/>
      <c r="N78" s="3140"/>
      <c r="O78" s="2003"/>
      <c r="P78" s="2004"/>
      <c r="Q78" s="2005"/>
      <c r="R78" s="2006"/>
      <c r="S78" s="2006"/>
      <c r="T78" s="2006"/>
      <c r="U78" s="2006"/>
      <c r="V78" s="2006"/>
      <c r="W78" s="2006"/>
      <c r="X78" s="2006"/>
      <c r="Y78" s="2006"/>
      <c r="Z78" s="2006"/>
      <c r="AA78" s="2006"/>
      <c r="AB78" s="2006"/>
      <c r="AC78" s="2006"/>
    </row>
    <row r="79" spans="1:29" s="1249" customFormat="1" ht="14.4" thickBot="1">
      <c r="A79" s="662"/>
      <c r="B79" s="653"/>
      <c r="C79" s="667"/>
      <c r="D79" s="646"/>
      <c r="E79" s="646"/>
      <c r="F79" s="646"/>
      <c r="G79" s="646"/>
      <c r="H79" s="646"/>
      <c r="I79" s="646"/>
      <c r="J79" s="646"/>
      <c r="K79" s="646"/>
      <c r="L79" s="646"/>
      <c r="M79" s="647"/>
      <c r="N79" s="3139"/>
      <c r="O79" s="2002"/>
      <c r="P79" s="2004"/>
      <c r="Q79" s="2005"/>
      <c r="R79" s="2006"/>
      <c r="S79" s="2006"/>
      <c r="T79" s="2006"/>
      <c r="U79" s="2006"/>
      <c r="V79" s="2006"/>
      <c r="W79" s="2006"/>
      <c r="X79" s="2006"/>
      <c r="Y79" s="2006"/>
      <c r="Z79" s="2006"/>
      <c r="AA79" s="2006"/>
      <c r="AB79" s="2006"/>
      <c r="AC79" s="2006"/>
    </row>
    <row r="80" spans="1:29" s="1249" customFormat="1" ht="14.4" thickTop="1">
      <c r="A80" s="662"/>
      <c r="B80" s="648">
        <f>B15</f>
        <v>111</v>
      </c>
      <c r="C80" s="663"/>
      <c r="D80" s="663"/>
      <c r="E80" s="663"/>
      <c r="F80" s="663"/>
      <c r="G80" s="663"/>
      <c r="H80" s="664"/>
      <c r="I80" s="664"/>
      <c r="J80" s="664"/>
      <c r="K80" s="664"/>
      <c r="L80" s="665"/>
      <c r="M80" s="666"/>
      <c r="N80" s="3140"/>
      <c r="O80" s="2003"/>
      <c r="P80" s="2007"/>
      <c r="Q80" s="2008"/>
      <c r="R80" s="2006"/>
      <c r="S80" s="2006"/>
      <c r="T80" s="2006"/>
      <c r="U80" s="2006"/>
      <c r="V80" s="2006"/>
      <c r="W80" s="2006"/>
      <c r="X80" s="2006"/>
      <c r="Y80" s="2006"/>
      <c r="Z80" s="2006"/>
      <c r="AA80" s="2006"/>
      <c r="AB80" s="2006"/>
      <c r="AC80" s="2006"/>
    </row>
    <row r="81" spans="1:29" s="1249" customFormat="1" ht="14.4" thickBot="1">
      <c r="A81" s="662"/>
      <c r="B81" s="653"/>
      <c r="C81" s="667"/>
      <c r="D81" s="667"/>
      <c r="E81" s="667"/>
      <c r="F81" s="667"/>
      <c r="G81" s="667"/>
      <c r="H81" s="668"/>
      <c r="I81" s="668"/>
      <c r="J81" s="668"/>
      <c r="K81" s="668"/>
      <c r="L81" s="668"/>
      <c r="M81" s="669"/>
      <c r="N81" s="3140"/>
      <c r="O81" s="2003"/>
      <c r="P81" s="2004"/>
      <c r="Q81" s="2005"/>
      <c r="R81" s="2006"/>
      <c r="S81" s="2006"/>
      <c r="T81" s="2006"/>
      <c r="U81" s="2006"/>
      <c r="V81" s="2006"/>
      <c r="W81" s="2006"/>
      <c r="X81" s="2006"/>
      <c r="Y81" s="2006"/>
      <c r="Z81" s="2006"/>
      <c r="AA81" s="2006"/>
      <c r="AB81" s="2006"/>
      <c r="AC81" s="2006"/>
    </row>
    <row r="82" spans="1:29" s="1249" customFormat="1" ht="14.4" thickTop="1">
      <c r="A82" s="662"/>
      <c r="B82" s="656">
        <f>B16</f>
        <v>111</v>
      </c>
      <c r="C82" s="636"/>
      <c r="D82" s="636"/>
      <c r="E82" s="636"/>
      <c r="F82" s="636"/>
      <c r="G82" s="636"/>
      <c r="H82" s="670"/>
      <c r="I82" s="670"/>
      <c r="J82" s="670"/>
      <c r="K82" s="670"/>
      <c r="L82" s="671"/>
      <c r="M82" s="672"/>
      <c r="N82" s="3140"/>
      <c r="O82" s="2003"/>
      <c r="P82" s="2009"/>
      <c r="Q82" s="2005"/>
      <c r="R82" s="2006"/>
      <c r="S82" s="2006"/>
      <c r="T82" s="2006"/>
      <c r="U82" s="2006"/>
      <c r="V82" s="2006"/>
      <c r="W82" s="2006"/>
      <c r="X82" s="2006"/>
      <c r="Y82" s="2006"/>
      <c r="Z82" s="2006"/>
      <c r="AA82" s="2006"/>
      <c r="AB82" s="2006"/>
      <c r="AC82" s="2006"/>
    </row>
    <row r="83" spans="1:29" s="1249" customFormat="1" ht="14.4" thickBot="1">
      <c r="A83" s="673"/>
      <c r="B83" s="674"/>
      <c r="C83" s="675"/>
      <c r="D83" s="675"/>
      <c r="E83" s="675"/>
      <c r="F83" s="675"/>
      <c r="G83" s="675"/>
      <c r="H83" s="676"/>
      <c r="I83" s="676"/>
      <c r="J83" s="676"/>
      <c r="K83" s="676"/>
      <c r="L83" s="676"/>
      <c r="M83" s="677"/>
      <c r="N83" s="3140"/>
      <c r="O83" s="2003"/>
      <c r="P83" s="2004"/>
      <c r="Q83" s="2005"/>
      <c r="R83" s="2006"/>
      <c r="S83" s="2006"/>
      <c r="T83" s="2006"/>
      <c r="U83" s="2006"/>
      <c r="V83" s="2006"/>
      <c r="W83" s="2006"/>
      <c r="X83" s="2006"/>
      <c r="Y83" s="2006"/>
      <c r="Z83" s="2006"/>
      <c r="AA83" s="2006"/>
      <c r="AB83" s="2006"/>
      <c r="AC83" s="2006"/>
    </row>
    <row r="84" spans="1:29" ht="14.4">
      <c r="A84" s="639" t="s">
        <v>522</v>
      </c>
      <c r="B84" s="640" t="s">
        <v>584</v>
      </c>
      <c r="C84" s="678" t="s">
        <v>561</v>
      </c>
      <c r="D84" s="678" t="s">
        <v>562</v>
      </c>
      <c r="E84" s="678" t="s">
        <v>563</v>
      </c>
      <c r="F84" s="678" t="s">
        <v>564</v>
      </c>
      <c r="G84" s="678" t="s">
        <v>565</v>
      </c>
      <c r="H84" s="679"/>
      <c r="I84" s="679"/>
      <c r="J84" s="679"/>
      <c r="K84" s="680"/>
      <c r="L84" s="681"/>
      <c r="M84" s="682"/>
      <c r="N84" s="3138"/>
      <c r="O84" s="2000"/>
      <c r="P84" s="2010"/>
      <c r="Q84" s="1994"/>
      <c r="R84" s="1982"/>
      <c r="S84" s="1982"/>
      <c r="T84" s="1982"/>
      <c r="U84" s="1982"/>
      <c r="V84" s="1982"/>
      <c r="W84" s="1982"/>
      <c r="X84" s="1982"/>
      <c r="Y84" s="1982"/>
      <c r="Z84" s="1982"/>
      <c r="AA84" s="1982"/>
      <c r="AB84" s="1982"/>
      <c r="AC84" s="1982"/>
    </row>
    <row r="85" spans="1:29" ht="14.4" thickBot="1">
      <c r="A85" s="644"/>
      <c r="B85" s="653"/>
      <c r="C85" s="654">
        <v>100</v>
      </c>
      <c r="D85" s="654">
        <f>C85-$K17</f>
        <v>100</v>
      </c>
      <c r="E85" s="654">
        <f>D85-$K17</f>
        <v>100</v>
      </c>
      <c r="F85" s="654">
        <f>E85-$K17</f>
        <v>100</v>
      </c>
      <c r="G85" s="654">
        <f>F85-$K17</f>
        <v>100</v>
      </c>
      <c r="H85" s="654"/>
      <c r="I85" s="654"/>
      <c r="J85" s="654"/>
      <c r="K85" s="654"/>
      <c r="L85" s="654"/>
      <c r="M85" s="655"/>
      <c r="N85" s="3139"/>
      <c r="O85" s="2002"/>
      <c r="P85" s="2001"/>
      <c r="Q85" s="1994"/>
      <c r="R85" s="1982"/>
      <c r="S85" s="1982"/>
      <c r="T85" s="1982"/>
      <c r="U85" s="1982"/>
      <c r="V85" s="1982"/>
      <c r="W85" s="1982"/>
      <c r="X85" s="1982"/>
      <c r="Y85" s="1982"/>
      <c r="Z85" s="1982"/>
      <c r="AA85" s="1982"/>
      <c r="AB85" s="1982"/>
      <c r="AC85" s="1982"/>
    </row>
    <row r="86" spans="1:29" ht="15" thickTop="1">
      <c r="A86" s="644"/>
      <c r="B86" s="648" t="s">
        <v>568</v>
      </c>
      <c r="C86" s="683" t="s">
        <v>561</v>
      </c>
      <c r="D86" s="683" t="s">
        <v>562</v>
      </c>
      <c r="E86" s="683" t="s">
        <v>563</v>
      </c>
      <c r="F86" s="683" t="s">
        <v>564</v>
      </c>
      <c r="G86" s="683" t="s">
        <v>565</v>
      </c>
      <c r="H86" s="649"/>
      <c r="I86" s="649"/>
      <c r="J86" s="649"/>
      <c r="K86" s="650"/>
      <c r="L86" s="651"/>
      <c r="M86" s="652"/>
      <c r="N86" s="3138"/>
      <c r="O86" s="2000"/>
      <c r="P86" s="2001"/>
      <c r="Q86" s="1994"/>
      <c r="R86" s="1982"/>
      <c r="S86" s="1982"/>
      <c r="T86" s="1982"/>
      <c r="U86" s="1982"/>
      <c r="V86" s="1982"/>
      <c r="W86" s="1982"/>
      <c r="X86" s="1982"/>
      <c r="Y86" s="1982"/>
      <c r="Z86" s="1982"/>
      <c r="AA86" s="1982"/>
      <c r="AB86" s="1982"/>
      <c r="AC86" s="1982"/>
    </row>
    <row r="87" spans="1:29" ht="14.4" thickBot="1">
      <c r="A87" s="644"/>
      <c r="B87" s="653"/>
      <c r="C87" s="654">
        <v>100</v>
      </c>
      <c r="D87" s="654">
        <f>C87-$K19</f>
        <v>100</v>
      </c>
      <c r="E87" s="654">
        <f>D87-$K19</f>
        <v>100</v>
      </c>
      <c r="F87" s="654">
        <f>E87-$K19</f>
        <v>100</v>
      </c>
      <c r="G87" s="654">
        <f>F87-$K19</f>
        <v>100</v>
      </c>
      <c r="H87" s="654"/>
      <c r="I87" s="654"/>
      <c r="J87" s="654"/>
      <c r="K87" s="654"/>
      <c r="L87" s="654"/>
      <c r="M87" s="655"/>
      <c r="N87" s="3139"/>
      <c r="O87" s="2002"/>
      <c r="P87" s="2001"/>
      <c r="Q87" s="1994"/>
      <c r="R87" s="1982"/>
      <c r="S87" s="1982"/>
      <c r="T87" s="1982"/>
      <c r="U87" s="1982"/>
      <c r="V87" s="1982"/>
      <c r="W87" s="1982"/>
      <c r="X87" s="1982"/>
      <c r="Y87" s="1982"/>
      <c r="Z87" s="1982"/>
      <c r="AA87" s="1982"/>
      <c r="AB87" s="1982"/>
      <c r="AC87" s="1982"/>
    </row>
    <row r="88" spans="1:29" s="1167" customFormat="1" ht="29.4" thickTop="1">
      <c r="A88" s="684"/>
      <c r="B88" s="648" t="s">
        <v>569</v>
      </c>
      <c r="C88" s="683" t="s">
        <v>561</v>
      </c>
      <c r="D88" s="683" t="s">
        <v>562</v>
      </c>
      <c r="E88" s="683" t="s">
        <v>563</v>
      </c>
      <c r="F88" s="683" t="s">
        <v>564</v>
      </c>
      <c r="G88" s="683" t="s">
        <v>565</v>
      </c>
      <c r="H88" s="683"/>
      <c r="I88" s="683"/>
      <c r="J88" s="683"/>
      <c r="K88" s="683"/>
      <c r="L88" s="685"/>
      <c r="M88" s="686"/>
      <c r="N88" s="3137"/>
      <c r="O88" s="1998"/>
      <c r="P88" s="2001"/>
      <c r="Q88" s="1994"/>
      <c r="R88" s="1860"/>
      <c r="S88" s="1860"/>
      <c r="T88" s="1860"/>
      <c r="U88" s="1860"/>
      <c r="V88" s="1860"/>
      <c r="W88" s="1860"/>
      <c r="X88" s="1860"/>
      <c r="Y88" s="1860"/>
      <c r="Z88" s="1860"/>
      <c r="AA88" s="1860"/>
      <c r="AB88" s="1860"/>
      <c r="AC88" s="1860"/>
    </row>
    <row r="89" spans="1:29" s="1167" customFormat="1" ht="14.4" thickBot="1">
      <c r="A89" s="684"/>
      <c r="B89" s="653"/>
      <c r="C89" s="687">
        <v>100</v>
      </c>
      <c r="D89" s="654">
        <f>C89-$K21</f>
        <v>100</v>
      </c>
      <c r="E89" s="654">
        <f>D89-$K21</f>
        <v>100</v>
      </c>
      <c r="F89" s="654">
        <f>E89-$K21</f>
        <v>100</v>
      </c>
      <c r="G89" s="654">
        <f>F89-$K21</f>
        <v>100</v>
      </c>
      <c r="H89" s="654"/>
      <c r="I89" s="654"/>
      <c r="J89" s="654"/>
      <c r="K89" s="654"/>
      <c r="L89" s="654"/>
      <c r="M89" s="655"/>
      <c r="N89" s="3139"/>
      <c r="O89" s="2002"/>
      <c r="P89" s="2001"/>
      <c r="Q89" s="1994"/>
      <c r="R89" s="1860"/>
      <c r="S89" s="1860"/>
      <c r="T89" s="1860"/>
      <c r="U89" s="1860"/>
      <c r="V89" s="1860"/>
      <c r="W89" s="1860"/>
      <c r="X89" s="1860"/>
      <c r="Y89" s="1860"/>
      <c r="Z89" s="1860"/>
      <c r="AA89" s="1860"/>
      <c r="AB89" s="1860"/>
      <c r="AC89" s="1860"/>
    </row>
    <row r="90" spans="1:29" s="1167" customFormat="1" ht="29.4" thickTop="1">
      <c r="A90" s="684"/>
      <c r="B90" s="648" t="s">
        <v>570</v>
      </c>
      <c r="C90" s="678" t="s">
        <v>561</v>
      </c>
      <c r="D90" s="678" t="s">
        <v>562</v>
      </c>
      <c r="E90" s="678" t="s">
        <v>563</v>
      </c>
      <c r="F90" s="678" t="s">
        <v>564</v>
      </c>
      <c r="G90" s="678" t="s">
        <v>565</v>
      </c>
      <c r="H90" s="683"/>
      <c r="I90" s="683"/>
      <c r="J90" s="683"/>
      <c r="K90" s="683"/>
      <c r="L90" s="683"/>
      <c r="M90" s="686"/>
      <c r="N90" s="3137"/>
      <c r="O90" s="1998"/>
      <c r="P90" s="2001"/>
      <c r="Q90" s="1994"/>
      <c r="R90" s="1860"/>
      <c r="S90" s="1860"/>
      <c r="T90" s="1860"/>
      <c r="U90" s="1860"/>
      <c r="V90" s="1860"/>
      <c r="W90" s="1860"/>
      <c r="X90" s="1860"/>
      <c r="Y90" s="1860"/>
      <c r="Z90" s="1860"/>
      <c r="AA90" s="1860"/>
      <c r="AB90" s="1860"/>
      <c r="AC90" s="1860"/>
    </row>
    <row r="91" spans="1:29" s="1167" customFormat="1" ht="14.4" thickBot="1">
      <c r="A91" s="684"/>
      <c r="B91" s="653"/>
      <c r="C91" s="654">
        <v>100</v>
      </c>
      <c r="D91" s="654">
        <f>C91-$K23</f>
        <v>100</v>
      </c>
      <c r="E91" s="654">
        <f>D91-$K23</f>
        <v>100</v>
      </c>
      <c r="F91" s="654">
        <f>E91-$K23</f>
        <v>100</v>
      </c>
      <c r="G91" s="654">
        <f>F91-$K23</f>
        <v>100</v>
      </c>
      <c r="H91" s="654"/>
      <c r="I91" s="654"/>
      <c r="J91" s="654"/>
      <c r="K91" s="654"/>
      <c r="L91" s="654"/>
      <c r="M91" s="655"/>
      <c r="N91" s="3139"/>
      <c r="O91" s="2002"/>
      <c r="P91" s="2001"/>
      <c r="Q91" s="1994"/>
      <c r="R91" s="1860"/>
      <c r="S91" s="1860"/>
      <c r="T91" s="1860"/>
      <c r="U91" s="1860"/>
      <c r="V91" s="1860"/>
      <c r="W91" s="1860"/>
      <c r="X91" s="1860"/>
      <c r="Y91" s="1860"/>
      <c r="Z91" s="1860"/>
      <c r="AA91" s="1860"/>
      <c r="AB91" s="1860"/>
      <c r="AC91" s="1860"/>
    </row>
    <row r="92" spans="1:29" s="1249" customFormat="1" ht="15" thickTop="1">
      <c r="A92" s="662"/>
      <c r="B92" s="1766" t="s">
        <v>2266</v>
      </c>
      <c r="C92" s="678" t="s">
        <v>561</v>
      </c>
      <c r="D92" s="678" t="s">
        <v>562</v>
      </c>
      <c r="E92" s="678" t="s">
        <v>563</v>
      </c>
      <c r="F92" s="678" t="s">
        <v>564</v>
      </c>
      <c r="G92" s="678" t="s">
        <v>565</v>
      </c>
      <c r="H92" s="688"/>
      <c r="I92" s="688"/>
      <c r="J92" s="688"/>
      <c r="K92" s="688"/>
      <c r="L92" s="689"/>
      <c r="M92" s="690"/>
      <c r="N92" s="3140"/>
      <c r="O92" s="2003"/>
      <c r="P92" s="2004"/>
      <c r="Q92" s="2005"/>
      <c r="R92" s="2006"/>
      <c r="S92" s="2006"/>
      <c r="T92" s="2006"/>
      <c r="U92" s="2006"/>
      <c r="V92" s="2006"/>
      <c r="W92" s="2006"/>
      <c r="X92" s="2006"/>
      <c r="Y92" s="2006"/>
      <c r="Z92" s="2006"/>
      <c r="AA92" s="2006"/>
      <c r="AB92" s="2006"/>
      <c r="AC92" s="2006"/>
    </row>
    <row r="93" spans="1:29" s="1249" customFormat="1" ht="14.4" thickBot="1">
      <c r="A93" s="662"/>
      <c r="B93" s="653"/>
      <c r="C93" s="654">
        <v>100</v>
      </c>
      <c r="D93" s="654">
        <f>C93-$K25</f>
        <v>100</v>
      </c>
      <c r="E93" s="654">
        <f>D93-$K25</f>
        <v>100</v>
      </c>
      <c r="F93" s="654">
        <f>E93-$K25</f>
        <v>100</v>
      </c>
      <c r="G93" s="654">
        <f>F93-$K25</f>
        <v>100</v>
      </c>
      <c r="H93" s="691"/>
      <c r="I93" s="691"/>
      <c r="J93" s="691"/>
      <c r="K93" s="691"/>
      <c r="L93" s="691"/>
      <c r="M93" s="692"/>
      <c r="N93" s="3140"/>
      <c r="O93" s="2003"/>
      <c r="P93" s="2004"/>
      <c r="Q93" s="2005"/>
      <c r="R93" s="2006"/>
      <c r="S93" s="2006"/>
      <c r="T93" s="2006"/>
      <c r="U93" s="2006"/>
      <c r="V93" s="2006"/>
      <c r="W93" s="2006"/>
      <c r="X93" s="2006"/>
      <c r="Y93" s="2006"/>
      <c r="Z93" s="2006"/>
      <c r="AA93" s="2006"/>
      <c r="AB93" s="2006"/>
      <c r="AC93" s="2006"/>
    </row>
    <row r="94" spans="1:29" s="1249" customFormat="1" ht="15" thickTop="1">
      <c r="A94" s="662"/>
      <c r="B94" s="2364" t="s">
        <v>2268</v>
      </c>
      <c r="C94" s="2365" t="s">
        <v>2269</v>
      </c>
      <c r="D94" s="2365" t="s">
        <v>2270</v>
      </c>
      <c r="E94" s="2365" t="s">
        <v>2271</v>
      </c>
      <c r="F94" s="2365" t="s">
        <v>2272</v>
      </c>
      <c r="G94" s="2365" t="s">
        <v>2273</v>
      </c>
      <c r="H94" s="688"/>
      <c r="I94" s="688"/>
      <c r="J94" s="688"/>
      <c r="K94" s="688"/>
      <c r="L94" s="688"/>
      <c r="M94" s="690"/>
      <c r="N94" s="3140"/>
      <c r="O94" s="2003"/>
      <c r="P94" s="2004"/>
      <c r="Q94" s="2005"/>
      <c r="R94" s="2006"/>
      <c r="S94" s="2006"/>
      <c r="T94" s="2006"/>
      <c r="U94" s="2006"/>
      <c r="V94" s="2006"/>
      <c r="W94" s="2006"/>
      <c r="X94" s="2006"/>
      <c r="Y94" s="2006"/>
      <c r="Z94" s="2006"/>
      <c r="AA94" s="2006"/>
      <c r="AB94" s="2006"/>
      <c r="AC94" s="2006"/>
    </row>
    <row r="95" spans="1:29" s="1249" customFormat="1" ht="14.4" thickBot="1">
      <c r="A95" s="662"/>
      <c r="B95" s="656"/>
      <c r="C95" s="654">
        <v>100</v>
      </c>
      <c r="D95" s="654">
        <f>C95-$K27</f>
        <v>100</v>
      </c>
      <c r="E95" s="654">
        <f>D95-$K27</f>
        <v>100</v>
      </c>
      <c r="F95" s="654">
        <f>E95-$K27</f>
        <v>100</v>
      </c>
      <c r="G95" s="654">
        <f>F95-$K27</f>
        <v>100</v>
      </c>
      <c r="H95" s="658"/>
      <c r="I95" s="658"/>
      <c r="J95" s="658"/>
      <c r="K95" s="658"/>
      <c r="L95" s="658"/>
      <c r="M95" s="2357"/>
      <c r="N95" s="3140"/>
      <c r="O95" s="2003"/>
      <c r="P95" s="2004"/>
      <c r="Q95" s="2005"/>
      <c r="R95" s="2006"/>
      <c r="S95" s="2006"/>
      <c r="T95" s="2006"/>
      <c r="U95" s="2006"/>
      <c r="V95" s="2006"/>
      <c r="W95" s="2006"/>
      <c r="X95" s="2006"/>
      <c r="Y95" s="2006"/>
      <c r="Z95" s="2006"/>
      <c r="AA95" s="2006"/>
      <c r="AB95" s="2006"/>
      <c r="AC95" s="2006"/>
    </row>
    <row r="96" spans="1:29" ht="15" thickTop="1">
      <c r="A96" s="644"/>
      <c r="B96" s="648" t="str">
        <f>B29</f>
        <v>临街状况</v>
      </c>
      <c r="C96" s="649" t="s">
        <v>571</v>
      </c>
      <c r="D96" s="649" t="s">
        <v>572</v>
      </c>
      <c r="E96" s="649" t="s">
        <v>573</v>
      </c>
      <c r="F96" s="649" t="s">
        <v>574</v>
      </c>
      <c r="G96" s="649"/>
      <c r="H96" s="649"/>
      <c r="I96" s="649"/>
      <c r="J96" s="649"/>
      <c r="K96" s="650"/>
      <c r="L96" s="651"/>
      <c r="M96" s="652"/>
      <c r="N96" s="3138"/>
      <c r="O96" s="2000"/>
      <c r="P96" s="2001"/>
      <c r="Q96" s="1994"/>
      <c r="R96" s="1982"/>
      <c r="S96" s="1982"/>
      <c r="T96" s="1982"/>
      <c r="U96" s="1982"/>
      <c r="V96" s="1982"/>
      <c r="W96" s="1982"/>
      <c r="X96" s="1982"/>
      <c r="Y96" s="1982"/>
      <c r="Z96" s="1982"/>
      <c r="AA96" s="1982"/>
      <c r="AB96" s="1982"/>
      <c r="AC96" s="1982"/>
    </row>
    <row r="97" spans="1:29" ht="14.4"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9"/>
      <c r="O97" s="2002"/>
      <c r="P97" s="2001"/>
      <c r="Q97" s="1994"/>
      <c r="R97" s="1982"/>
      <c r="S97" s="1982"/>
      <c r="T97" s="1982"/>
      <c r="U97" s="1982"/>
      <c r="V97" s="1982"/>
      <c r="W97" s="1982"/>
      <c r="X97" s="1982"/>
      <c r="Y97" s="1982"/>
      <c r="Z97" s="1982"/>
      <c r="AA97" s="1982"/>
      <c r="AB97" s="1982"/>
      <c r="AC97" s="1982"/>
    </row>
    <row r="98" spans="1:29" ht="29.4" thickTop="1">
      <c r="A98" s="644"/>
      <c r="B98" s="648" t="s">
        <v>531</v>
      </c>
      <c r="C98" s="663"/>
      <c r="D98" s="663"/>
      <c r="E98" s="663"/>
      <c r="F98" s="663"/>
      <c r="G98" s="663"/>
      <c r="H98" s="693"/>
      <c r="I98" s="693"/>
      <c r="J98" s="693"/>
      <c r="K98" s="694"/>
      <c r="L98" s="695"/>
      <c r="M98" s="696"/>
      <c r="N98" s="3138"/>
      <c r="O98" s="2000"/>
      <c r="P98" s="2001"/>
      <c r="Q98" s="1994"/>
      <c r="R98" s="1982"/>
      <c r="S98" s="1982"/>
      <c r="T98" s="1982"/>
      <c r="U98" s="1982"/>
      <c r="V98" s="1982"/>
      <c r="W98" s="1982"/>
      <c r="X98" s="1982"/>
      <c r="Y98" s="1982"/>
      <c r="Z98" s="1982"/>
      <c r="AA98" s="1982"/>
      <c r="AB98" s="1982"/>
      <c r="AC98" s="1982"/>
    </row>
    <row r="99" spans="1:29" ht="14.4"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9"/>
      <c r="O99" s="2002"/>
      <c r="P99" s="2001"/>
      <c r="Q99" s="1994"/>
      <c r="R99" s="1982"/>
      <c r="S99" s="1982"/>
      <c r="T99" s="1982"/>
      <c r="U99" s="1982"/>
      <c r="V99" s="1982"/>
      <c r="W99" s="1982"/>
      <c r="X99" s="1982"/>
      <c r="Y99" s="1982"/>
      <c r="Z99" s="1982"/>
      <c r="AA99" s="1982"/>
      <c r="AB99" s="1982"/>
      <c r="AC99" s="1982"/>
    </row>
    <row r="100" spans="1:29" ht="15" thickTop="1">
      <c r="A100" s="644"/>
      <c r="B100" s="648" t="s">
        <v>532</v>
      </c>
      <c r="C100" s="693"/>
      <c r="D100" s="693"/>
      <c r="E100" s="693"/>
      <c r="F100" s="693"/>
      <c r="G100" s="693"/>
      <c r="H100" s="693"/>
      <c r="I100" s="693"/>
      <c r="J100" s="693"/>
      <c r="K100" s="694"/>
      <c r="L100" s="695"/>
      <c r="M100" s="696"/>
      <c r="N100" s="3138"/>
      <c r="O100" s="2000"/>
      <c r="P100" s="2001"/>
      <c r="Q100" s="1994"/>
      <c r="R100" s="1982"/>
      <c r="S100" s="1982"/>
      <c r="T100" s="1982"/>
      <c r="U100" s="1982"/>
      <c r="V100" s="1982"/>
      <c r="W100" s="1982"/>
      <c r="X100" s="1982"/>
      <c r="Y100" s="1982"/>
      <c r="Z100" s="1982"/>
      <c r="AA100" s="1982"/>
      <c r="AB100" s="1982"/>
      <c r="AC100" s="1982"/>
    </row>
    <row r="101" spans="1:29" ht="14.4"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9"/>
      <c r="O101" s="2002"/>
      <c r="P101" s="2001"/>
      <c r="Q101" s="1994"/>
      <c r="R101" s="1982"/>
      <c r="S101" s="1982"/>
      <c r="T101" s="1982"/>
      <c r="U101" s="1982"/>
      <c r="V101" s="1982"/>
      <c r="W101" s="1982"/>
      <c r="X101" s="1982"/>
      <c r="Y101" s="1982"/>
      <c r="Z101" s="1982"/>
      <c r="AA101" s="1982"/>
      <c r="AB101" s="1982"/>
      <c r="AC101" s="1982"/>
    </row>
    <row r="102" spans="1:29" ht="14.4" thickTop="1">
      <c r="A102" s="644"/>
      <c r="B102" s="656">
        <f>B33</f>
        <v>111</v>
      </c>
      <c r="C102" s="663"/>
      <c r="D102" s="663"/>
      <c r="E102" s="663"/>
      <c r="F102" s="663"/>
      <c r="G102" s="697"/>
      <c r="H102" s="697"/>
      <c r="I102" s="697"/>
      <c r="J102" s="697"/>
      <c r="K102" s="698"/>
      <c r="L102" s="699"/>
      <c r="M102" s="700"/>
      <c r="N102" s="3138"/>
      <c r="O102" s="2000"/>
      <c r="P102" s="2001"/>
      <c r="Q102" s="1994"/>
      <c r="R102" s="1982"/>
      <c r="S102" s="1982"/>
      <c r="T102" s="1982"/>
      <c r="U102" s="1982"/>
      <c r="V102" s="1982"/>
      <c r="W102" s="1982"/>
      <c r="X102" s="1982"/>
      <c r="Y102" s="1982"/>
      <c r="Z102" s="1982"/>
      <c r="AA102" s="1982"/>
      <c r="AB102" s="1982"/>
      <c r="AC102" s="1982"/>
    </row>
    <row r="103" spans="1:29" ht="14.4" thickBot="1">
      <c r="A103" s="644"/>
      <c r="B103" s="674"/>
      <c r="C103" s="667"/>
      <c r="D103" s="646"/>
      <c r="E103" s="646"/>
      <c r="F103" s="646"/>
      <c r="G103" s="701"/>
      <c r="H103" s="701"/>
      <c r="I103" s="701"/>
      <c r="J103" s="701"/>
      <c r="K103" s="701"/>
      <c r="L103" s="701"/>
      <c r="M103" s="702"/>
      <c r="N103" s="3139"/>
      <c r="O103" s="2002"/>
      <c r="P103" s="2001"/>
      <c r="Q103" s="1994"/>
      <c r="R103" s="1982"/>
      <c r="S103" s="1982"/>
      <c r="T103" s="1982"/>
      <c r="U103" s="1982"/>
      <c r="V103" s="1982"/>
      <c r="W103" s="1982"/>
      <c r="X103" s="1982"/>
      <c r="Y103" s="1982"/>
      <c r="Z103" s="1982"/>
      <c r="AA103" s="1982"/>
      <c r="AB103" s="1982"/>
      <c r="AC103" s="1982"/>
    </row>
    <row r="104" spans="1:29" ht="14.4" thickTop="1">
      <c r="A104" s="564"/>
      <c r="B104" s="648">
        <f>B34</f>
        <v>111</v>
      </c>
      <c r="C104" s="663"/>
      <c r="D104" s="663"/>
      <c r="E104" s="663"/>
      <c r="F104" s="663"/>
      <c r="G104" s="693"/>
      <c r="H104" s="693"/>
      <c r="I104" s="693"/>
      <c r="J104" s="693"/>
      <c r="K104" s="694"/>
      <c r="L104" s="695"/>
      <c r="M104" s="696"/>
      <c r="N104" s="3138"/>
      <c r="O104" s="2000"/>
      <c r="P104" s="2001"/>
      <c r="Q104" s="1994"/>
      <c r="R104" s="1982"/>
      <c r="S104" s="1982"/>
      <c r="T104" s="1982"/>
      <c r="U104" s="1982"/>
      <c r="V104" s="1982"/>
      <c r="W104" s="1982"/>
      <c r="X104" s="1982"/>
      <c r="Y104" s="1982"/>
      <c r="Z104" s="1982"/>
      <c r="AA104" s="1982"/>
      <c r="AB104" s="1982"/>
      <c r="AC104" s="1982"/>
    </row>
    <row r="105" spans="1:29" ht="14.4" thickBot="1">
      <c r="A105" s="644"/>
      <c r="B105" s="653"/>
      <c r="C105" s="667"/>
      <c r="D105" s="667"/>
      <c r="E105" s="667"/>
      <c r="F105" s="667"/>
      <c r="G105" s="646"/>
      <c r="H105" s="646"/>
      <c r="I105" s="646"/>
      <c r="J105" s="646"/>
      <c r="K105" s="646"/>
      <c r="L105" s="646"/>
      <c r="M105" s="647"/>
      <c r="N105" s="3139"/>
      <c r="O105" s="2002"/>
      <c r="P105" s="2001"/>
      <c r="Q105" s="1994"/>
      <c r="R105" s="1982"/>
      <c r="S105" s="1982"/>
      <c r="T105" s="1982"/>
      <c r="U105" s="1982"/>
      <c r="V105" s="1982"/>
      <c r="W105" s="1982"/>
      <c r="X105" s="1982"/>
      <c r="Y105" s="1982"/>
      <c r="Z105" s="1982"/>
      <c r="AA105" s="1982"/>
      <c r="AB105" s="1982"/>
      <c r="AC105" s="1982"/>
    </row>
    <row r="106" spans="1:29" s="1249" customFormat="1" ht="14.4" thickTop="1">
      <c r="A106" s="703"/>
      <c r="B106" s="704">
        <f>B35</f>
        <v>111</v>
      </c>
      <c r="C106" s="636"/>
      <c r="D106" s="636"/>
      <c r="E106" s="636"/>
      <c r="F106" s="636"/>
      <c r="G106" s="705"/>
      <c r="H106" s="705"/>
      <c r="I106" s="705"/>
      <c r="J106" s="706"/>
      <c r="K106" s="706"/>
      <c r="L106" s="707"/>
      <c r="M106" s="708"/>
      <c r="N106" s="3140"/>
      <c r="O106" s="2003"/>
      <c r="P106" s="2004"/>
      <c r="Q106" s="2005"/>
      <c r="R106" s="2006"/>
      <c r="S106" s="2006"/>
      <c r="T106" s="2006"/>
      <c r="U106" s="2006"/>
      <c r="V106" s="2006"/>
      <c r="W106" s="2006"/>
      <c r="X106" s="2006"/>
      <c r="Y106" s="2006"/>
      <c r="Z106" s="2006"/>
      <c r="AA106" s="2006"/>
      <c r="AB106" s="2006"/>
      <c r="AC106" s="2006"/>
    </row>
    <row r="107" spans="1:29" s="1249" customFormat="1" ht="14.4" thickBot="1">
      <c r="A107" s="662"/>
      <c r="B107" s="656"/>
      <c r="C107" s="675"/>
      <c r="D107" s="675"/>
      <c r="E107" s="675"/>
      <c r="F107" s="675"/>
      <c r="G107" s="569"/>
      <c r="H107" s="569"/>
      <c r="I107" s="569"/>
      <c r="J107" s="569"/>
      <c r="K107" s="569"/>
      <c r="L107" s="569"/>
      <c r="M107" s="709"/>
      <c r="N107" s="3139"/>
      <c r="O107" s="2002"/>
      <c r="P107" s="2004"/>
      <c r="Q107" s="2005"/>
      <c r="R107" s="2006"/>
      <c r="S107" s="2006"/>
      <c r="T107" s="2006"/>
      <c r="U107" s="2006"/>
      <c r="V107" s="2006"/>
      <c r="W107" s="2006"/>
      <c r="X107" s="2006"/>
      <c r="Y107" s="2006"/>
      <c r="Z107" s="2006"/>
      <c r="AA107" s="2006"/>
      <c r="AB107" s="2006"/>
      <c r="AC107" s="2006"/>
    </row>
    <row r="108" spans="1:29" ht="14.4">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9" t="str">
        <f t="shared" si="25"/>
        <v>(含)-</v>
      </c>
      <c r="L108" s="2700" t="str">
        <f t="shared" si="25"/>
        <v>(含)-</v>
      </c>
      <c r="M108" s="2701" t="str">
        <f>M109&amp;"(含)"&amp;"-"&amp;P109</f>
        <v>(含)-</v>
      </c>
      <c r="N108" s="3138"/>
      <c r="O108" s="2000"/>
      <c r="P108" s="2001"/>
      <c r="Q108" s="1994"/>
      <c r="R108" s="1982"/>
      <c r="S108" s="1982"/>
      <c r="T108" s="1982"/>
      <c r="U108" s="1982"/>
      <c r="V108" s="1982"/>
      <c r="W108" s="1982"/>
      <c r="X108" s="1982"/>
      <c r="Y108" s="1982"/>
      <c r="Z108" s="1982"/>
      <c r="AA108" s="1982"/>
      <c r="AB108" s="1982"/>
      <c r="AC108" s="1982"/>
    </row>
    <row r="109" spans="1:29">
      <c r="A109" s="644"/>
      <c r="B109" s="656"/>
      <c r="C109" s="705"/>
      <c r="D109" s="705"/>
      <c r="E109" s="705"/>
      <c r="F109" s="705"/>
      <c r="G109" s="705"/>
      <c r="H109" s="705"/>
      <c r="I109" s="705"/>
      <c r="J109" s="706"/>
      <c r="K109" s="706"/>
      <c r="L109" s="707"/>
      <c r="M109" s="708"/>
      <c r="N109" s="3138"/>
      <c r="O109" s="2000"/>
      <c r="P109" s="2001"/>
      <c r="Q109" s="1994"/>
      <c r="R109" s="1982"/>
      <c r="S109" s="1982"/>
      <c r="T109" s="1982"/>
      <c r="U109" s="1982"/>
      <c r="V109" s="1982"/>
      <c r="W109" s="1982"/>
      <c r="X109" s="1982"/>
      <c r="Y109" s="1982"/>
      <c r="Z109" s="1982"/>
      <c r="AA109" s="1982"/>
      <c r="AB109" s="1982"/>
      <c r="AC109" s="1982"/>
    </row>
    <row r="110" spans="1:29" ht="14.4" thickBot="1">
      <c r="A110" s="644"/>
      <c r="B110" s="653"/>
      <c r="C110" s="675"/>
      <c r="D110" s="701"/>
      <c r="E110" s="701"/>
      <c r="F110" s="701"/>
      <c r="G110" s="701"/>
      <c r="H110" s="701"/>
      <c r="I110" s="701"/>
      <c r="J110" s="701"/>
      <c r="K110" s="701"/>
      <c r="L110" s="701"/>
      <c r="M110" s="702"/>
      <c r="N110" s="3139"/>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8"/>
      <c r="O111" s="2000"/>
      <c r="P111" s="2001"/>
      <c r="Q111" s="1994"/>
      <c r="R111" s="1982"/>
      <c r="S111" s="1982"/>
      <c r="T111" s="1982"/>
      <c r="U111" s="1982"/>
      <c r="V111" s="1982"/>
      <c r="W111" s="1982"/>
      <c r="X111" s="1982"/>
      <c r="Y111" s="1982"/>
      <c r="Z111" s="1982"/>
      <c r="AA111" s="1982"/>
      <c r="AB111" s="1982"/>
      <c r="AC111" s="1982"/>
    </row>
    <row r="112" spans="1:29" ht="14.4"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9"/>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2212</v>
      </c>
      <c r="C113" s="1283"/>
      <c r="D113" s="1283"/>
      <c r="E113" s="1283"/>
      <c r="F113" s="1283"/>
      <c r="G113" s="1283"/>
      <c r="H113" s="693"/>
      <c r="I113" s="693"/>
      <c r="J113" s="693"/>
      <c r="K113" s="694"/>
      <c r="L113" s="695"/>
      <c r="M113" s="696"/>
      <c r="N113" s="3140"/>
      <c r="O113" s="2003"/>
      <c r="P113" s="2004"/>
      <c r="Q113" s="2005"/>
      <c r="R113" s="2006"/>
      <c r="S113" s="2006"/>
      <c r="T113" s="2006"/>
      <c r="U113" s="2006"/>
      <c r="V113" s="2006"/>
      <c r="W113" s="2006"/>
      <c r="X113" s="2006"/>
      <c r="Y113" s="2006"/>
      <c r="Z113" s="2006"/>
      <c r="AA113" s="2006"/>
      <c r="AB113" s="2006"/>
      <c r="AC113" s="2006"/>
    </row>
    <row r="114" spans="1:29" s="1249" customFormat="1" ht="14.4"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40"/>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8"/>
      <c r="O115" s="2000"/>
      <c r="P115" s="2001"/>
      <c r="Q115" s="1994"/>
      <c r="R115" s="1982"/>
      <c r="S115" s="1982"/>
      <c r="T115" s="1982"/>
      <c r="U115" s="1982"/>
      <c r="V115" s="1982"/>
      <c r="W115" s="1982"/>
      <c r="X115" s="1982"/>
      <c r="Y115" s="1982"/>
      <c r="Z115" s="1982"/>
      <c r="AA115" s="1982"/>
      <c r="AB115" s="1982"/>
      <c r="AC115" s="1982"/>
    </row>
    <row r="116" spans="1:29" ht="14.4"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9"/>
      <c r="O116" s="2002"/>
      <c r="P116" s="2001"/>
      <c r="Q116" s="1994"/>
      <c r="R116" s="1982"/>
      <c r="S116" s="1982"/>
      <c r="T116" s="1982"/>
      <c r="U116" s="1982"/>
      <c r="V116" s="1982"/>
      <c r="W116" s="1982"/>
      <c r="X116" s="1982"/>
      <c r="Y116" s="1982"/>
      <c r="Z116" s="1982"/>
      <c r="AA116" s="1982"/>
      <c r="AB116" s="1982"/>
      <c r="AC116" s="1982"/>
    </row>
    <row r="117" spans="1:29" ht="14.4" thickTop="1">
      <c r="A117" s="710"/>
      <c r="B117" s="648">
        <f>B40</f>
        <v>111</v>
      </c>
      <c r="C117" s="663"/>
      <c r="D117" s="663"/>
      <c r="E117" s="663"/>
      <c r="F117" s="663"/>
      <c r="G117" s="663"/>
      <c r="H117" s="693"/>
      <c r="I117" s="693"/>
      <c r="J117" s="693"/>
      <c r="K117" s="694"/>
      <c r="L117" s="695"/>
      <c r="M117" s="696"/>
      <c r="N117" s="3138"/>
      <c r="O117" s="2000"/>
      <c r="P117" s="2001"/>
      <c r="Q117" s="1994"/>
      <c r="R117" s="1982"/>
      <c r="S117" s="1982"/>
      <c r="T117" s="1982"/>
      <c r="U117" s="1982"/>
      <c r="V117" s="1982"/>
      <c r="W117" s="1982"/>
      <c r="X117" s="1982"/>
      <c r="Y117" s="1982"/>
      <c r="Z117" s="1982"/>
      <c r="AA117" s="1982"/>
      <c r="AB117" s="1982"/>
      <c r="AC117" s="1982"/>
    </row>
    <row r="118" spans="1:29" ht="14.4" thickBot="1">
      <c r="A118" s="644"/>
      <c r="B118" s="653"/>
      <c r="C118" s="667"/>
      <c r="D118" s="646"/>
      <c r="E118" s="646"/>
      <c r="F118" s="646"/>
      <c r="G118" s="646"/>
      <c r="H118" s="646"/>
      <c r="I118" s="646"/>
      <c r="J118" s="646"/>
      <c r="K118" s="646"/>
      <c r="L118" s="646"/>
      <c r="M118" s="647"/>
      <c r="N118" s="3139"/>
      <c r="O118" s="2002"/>
      <c r="P118" s="2001"/>
      <c r="Q118" s="1994"/>
      <c r="R118" s="1982"/>
      <c r="S118" s="1982"/>
      <c r="T118" s="1982"/>
      <c r="U118" s="1982"/>
      <c r="V118" s="1982"/>
      <c r="W118" s="1982"/>
      <c r="X118" s="1982"/>
      <c r="Y118" s="1982"/>
      <c r="Z118" s="1982"/>
      <c r="AA118" s="1982"/>
      <c r="AB118" s="1982"/>
      <c r="AC118" s="1982"/>
    </row>
    <row r="119" spans="1:29" ht="14.4" thickTop="1">
      <c r="A119" s="710"/>
      <c r="B119" s="648">
        <f>B41</f>
        <v>111</v>
      </c>
      <c r="C119" s="663"/>
      <c r="D119" s="663"/>
      <c r="E119" s="663"/>
      <c r="F119" s="663"/>
      <c r="G119" s="693"/>
      <c r="H119" s="693"/>
      <c r="I119" s="693"/>
      <c r="J119" s="693"/>
      <c r="K119" s="694"/>
      <c r="L119" s="695"/>
      <c r="M119" s="696"/>
      <c r="N119" s="3138"/>
      <c r="O119" s="2000"/>
      <c r="P119" s="2001"/>
      <c r="Q119" s="1994"/>
      <c r="R119" s="1982"/>
      <c r="S119" s="1982"/>
      <c r="T119" s="1982"/>
      <c r="U119" s="1982"/>
      <c r="V119" s="1982"/>
      <c r="W119" s="1982"/>
      <c r="X119" s="1982"/>
      <c r="Y119" s="1982"/>
      <c r="Z119" s="1982"/>
      <c r="AA119" s="1982"/>
      <c r="AB119" s="1982"/>
      <c r="AC119" s="1982"/>
    </row>
    <row r="120" spans="1:29" ht="14.4" thickBot="1">
      <c r="A120" s="644"/>
      <c r="B120" s="653"/>
      <c r="C120" s="667"/>
      <c r="D120" s="667"/>
      <c r="E120" s="667"/>
      <c r="F120" s="667"/>
      <c r="G120" s="646"/>
      <c r="H120" s="646"/>
      <c r="I120" s="646"/>
      <c r="J120" s="646"/>
      <c r="K120" s="646"/>
      <c r="L120" s="646"/>
      <c r="M120" s="647"/>
      <c r="N120" s="3139"/>
      <c r="O120" s="2002"/>
      <c r="P120" s="2001"/>
      <c r="Q120" s="1994"/>
      <c r="R120" s="1982"/>
      <c r="S120" s="1982"/>
      <c r="T120" s="1982"/>
      <c r="U120" s="1982"/>
      <c r="V120" s="1982"/>
      <c r="W120" s="1982"/>
      <c r="X120" s="1982"/>
      <c r="Y120" s="1982"/>
      <c r="Z120" s="1982"/>
      <c r="AA120" s="1982"/>
      <c r="AB120" s="1982"/>
      <c r="AC120" s="1982"/>
    </row>
    <row r="121" spans="1:29" s="1249" customFormat="1" ht="14.4" thickTop="1">
      <c r="A121" s="703"/>
      <c r="B121" s="648">
        <f>B42</f>
        <v>111</v>
      </c>
      <c r="C121" s="636"/>
      <c r="D121" s="636"/>
      <c r="E121" s="636"/>
      <c r="F121" s="636"/>
      <c r="G121" s="664"/>
      <c r="H121" s="664"/>
      <c r="I121" s="664"/>
      <c r="J121" s="664"/>
      <c r="K121" s="664"/>
      <c r="L121" s="665"/>
      <c r="M121" s="666"/>
      <c r="N121" s="3140"/>
      <c r="O121" s="2003"/>
      <c r="P121" s="2004"/>
      <c r="Q121" s="2005"/>
      <c r="R121" s="2006"/>
      <c r="S121" s="2006"/>
      <c r="T121" s="2006"/>
      <c r="U121" s="2006"/>
      <c r="V121" s="2006"/>
      <c r="W121" s="2006"/>
      <c r="X121" s="2006"/>
      <c r="Y121" s="2006"/>
      <c r="Z121" s="2006"/>
      <c r="AA121" s="2006"/>
      <c r="AB121" s="2006"/>
      <c r="AC121" s="2006"/>
    </row>
    <row r="122" spans="1:29" s="1249" customFormat="1" ht="14.4" thickBot="1">
      <c r="A122" s="673"/>
      <c r="B122" s="711"/>
      <c r="C122" s="675"/>
      <c r="D122" s="675"/>
      <c r="E122" s="675"/>
      <c r="F122" s="675"/>
      <c r="G122" s="701"/>
      <c r="H122" s="701"/>
      <c r="I122" s="701"/>
      <c r="J122" s="701"/>
      <c r="K122" s="701"/>
      <c r="L122" s="701"/>
      <c r="M122" s="702"/>
      <c r="N122" s="3140"/>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7734375" style="1309" customWidth="1"/>
    <col min="2" max="2" width="20.88671875" style="1424" customWidth="1"/>
    <col min="3" max="4" width="12" style="1310"/>
    <col min="5" max="5" width="14.6640625" style="1310" customWidth="1"/>
    <col min="6" max="8" width="12" style="1310"/>
    <col min="9" max="9" width="12.21875" style="1310" bestFit="1" customWidth="1"/>
    <col min="10" max="10" width="12" style="1310"/>
    <col min="11" max="11" width="9.6640625" style="1307" customWidth="1"/>
    <col min="12" max="12" width="12" style="1310"/>
    <col min="13" max="14" width="10.6640625" style="1310" customWidth="1"/>
    <col min="15" max="17" width="12" style="1310"/>
    <col min="18" max="18" width="12" style="1309"/>
    <col min="19" max="22" width="15.44140625" style="1309" customWidth="1"/>
    <col min="23" max="28" width="12" style="1310"/>
    <col min="29" max="29" width="9.33203125" style="1309" customWidth="1"/>
    <col min="30" max="35" width="9.33203125" style="1308" customWidth="1"/>
    <col min="36" max="39" width="9.33203125" style="1309" customWidth="1"/>
    <col min="40" max="41" width="9.33203125" style="1310" customWidth="1"/>
    <col min="42" max="16384" width="12" style="1310"/>
  </cols>
  <sheetData>
    <row r="1" spans="1:39" ht="20.399999999999999">
      <c r="A1" s="1304" t="s">
        <v>1494</v>
      </c>
      <c r="B1" s="1305"/>
      <c r="C1" s="1311" t="s">
        <v>2213</v>
      </c>
      <c r="D1" s="1417">
        <f>SUM(D29:D30,D33:D39)</f>
        <v>0</v>
      </c>
      <c r="E1" s="1311" t="s">
        <v>2214</v>
      </c>
      <c r="F1" s="2262"/>
      <c r="G1" s="1306"/>
      <c r="H1" s="1306"/>
      <c r="I1" s="1306"/>
      <c r="J1" s="1306"/>
      <c r="K1" s="2025"/>
      <c r="L1" s="1752" t="s">
        <v>2030</v>
      </c>
      <c r="M1" s="1753">
        <f>SUMPRODUCT((区片价!B5:B9=I2)*(区片价!C3:F3=E2)*(区片价!C5:F9))</f>
        <v>0</v>
      </c>
      <c r="N1" s="1754">
        <f>SUMPRODUCT((因素修正幅度!B5:B9=I2)*(因素修正幅度!C3:F3=E2)*(因素修正幅度!C5:F9))</f>
        <v>0</v>
      </c>
      <c r="O1" s="2025"/>
      <c r="P1" s="2025"/>
      <c r="Q1" s="2025"/>
      <c r="R1" s="2576" t="s">
        <v>2478</v>
      </c>
      <c r="S1" s="2576" t="s">
        <v>2479</v>
      </c>
      <c r="T1" s="2576" t="s">
        <v>2500</v>
      </c>
      <c r="U1" s="2576" t="s">
        <v>2501</v>
      </c>
      <c r="V1" s="2576" t="s">
        <v>2502</v>
      </c>
      <c r="W1" s="2025"/>
      <c r="X1" s="2025"/>
      <c r="Y1" s="2025"/>
      <c r="Z1" s="2025"/>
      <c r="AA1" s="2025"/>
      <c r="AB1" s="2025"/>
      <c r="AC1" s="2026"/>
    </row>
    <row r="2" spans="1:39" ht="15.6">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41"/>
      <c r="L2" s="1755" t="s">
        <v>2031</v>
      </c>
      <c r="M2" s="1756">
        <f>SUMPRODUCT((区片价!B10:B28=I2)*(区片价!C3:F3=E2)*(区片价!C10:F28))</f>
        <v>0</v>
      </c>
      <c r="N2" s="1757">
        <f>SUMPRODUCT((因素修正幅度!B10:B28=I2)*(因素修正幅度!C3:F3=E2)*(因素修正幅度!C10:F28))</f>
        <v>0</v>
      </c>
      <c r="O2" s="3141"/>
      <c r="P2" s="2025"/>
      <c r="Q2" s="2025"/>
      <c r="R2" s="2577">
        <v>1</v>
      </c>
      <c r="S2" s="2577">
        <f>ROUND(IF(G3&gt;1,IF(R2&lt;7,SUMPRODUCT((B93:B98=R2)*(C92:N92=G2)*(C93:N98)),SUMIF(C92:N92,G2,C100:N100)),IF(R2&lt;7,SUMPRODUCT((B102:B107=R2)*(C92:N92=G2)*(C102:N107)),SUMIF(C92:N92,G2,C109:N109))),4)</f>
        <v>0</v>
      </c>
      <c r="T2" s="2577" t="e">
        <f>ROUND($C$5*$C$18*$C$19*$C$20*S2*$C$24,0)</f>
        <v>#DIV/0!</v>
      </c>
      <c r="U2" s="2566"/>
      <c r="V2" s="2577" t="e">
        <f>ROUND(T2*U2/10000,0)</f>
        <v>#DIV/0!</v>
      </c>
      <c r="W2" s="2025"/>
      <c r="X2" s="2025"/>
      <c r="Y2" s="2025"/>
      <c r="Z2" s="2025"/>
      <c r="AA2" s="2025"/>
      <c r="AB2" s="2025"/>
      <c r="AC2" s="2026"/>
    </row>
    <row r="3" spans="1:39" ht="15.6">
      <c r="A3" s="1316" t="s">
        <v>1487</v>
      </c>
      <c r="B3" s="1008" t="e">
        <f>ROUND(B2*10000/D1,0)</f>
        <v>#DIV/0!</v>
      </c>
      <c r="C3" s="1312" t="s">
        <v>906</v>
      </c>
      <c r="D3" s="1313" t="s">
        <v>907</v>
      </c>
      <c r="E3" s="1317"/>
      <c r="F3" s="1318"/>
      <c r="G3" s="1009">
        <f>IF(F3="宗地容积率",'数据-汇总表'!I4,IF(F3="估价对象容积率",'数据-汇总表'!I6,'数据-汇总表'!I7))</f>
        <v>4</v>
      </c>
      <c r="H3" s="1319" t="s">
        <v>908</v>
      </c>
      <c r="I3" s="1010">
        <v>8</v>
      </c>
      <c r="J3" s="1315" t="s">
        <v>909</v>
      </c>
      <c r="K3" s="3141"/>
      <c r="L3" s="1755" t="s">
        <v>2032</v>
      </c>
      <c r="M3" s="1756">
        <f>SUMPRODUCT((区片价!B29:B48=I2)*(区片价!C3:F3=E2)*(区片价!C29:F48))</f>
        <v>0</v>
      </c>
      <c r="N3" s="1757">
        <f>SUMPRODUCT((因素修正幅度!B29:B48=I2)*(因素修正幅度!C3:F3=E2)*(因素修正幅度!C29:F48))</f>
        <v>0</v>
      </c>
      <c r="O3" s="3141"/>
      <c r="P3" s="2025"/>
      <c r="Q3" s="2025"/>
      <c r="R3" s="2577">
        <v>2</v>
      </c>
      <c r="S3" s="2577">
        <f>ROUND(IF(G3&gt;1,IF(R3&lt;7,SUMPRODUCT((B93:B98=R3)*(C92:N92=G2)*(C93:N98)),SUMIF(C92:N92,G2,C100:N100)),IF(R3&lt;7,SUMPRODUCT((B102:B107=R3)*(C92:N92=G2)*(C102:N107)),SUMIF(C92:N92,G2,C109:N109))),4)</f>
        <v>0</v>
      </c>
      <c r="T3" s="2577" t="e">
        <f t="shared" ref="T3:T16" si="0">ROUND($C$5*$C$18*$C$19*$C$20*S3*$C$24,0)</f>
        <v>#DIV/0!</v>
      </c>
      <c r="U3" s="2566"/>
      <c r="V3" s="2577" t="e">
        <f t="shared" ref="V3:V16" si="1">ROUND(T3*U3/10000,0)</f>
        <v>#DIV/0!</v>
      </c>
      <c r="W3" s="2025"/>
      <c r="X3" s="2025"/>
      <c r="Y3" s="2025"/>
      <c r="Z3" s="2025"/>
      <c r="AA3" s="2025"/>
      <c r="AB3" s="2025"/>
      <c r="AC3" s="2026"/>
    </row>
    <row r="4" spans="1:39" ht="31.2">
      <c r="A4" s="1761" t="s">
        <v>2071</v>
      </c>
      <c r="B4" s="2263" t="e">
        <f>ROUND(B2*10000/F1,0)</f>
        <v>#DIV/0!</v>
      </c>
      <c r="C4" s="1764" t="s">
        <v>2046</v>
      </c>
      <c r="D4" s="1764" t="e">
        <f>ROUND(B2/(F1/666.67),0)</f>
        <v>#DIV/0!</v>
      </c>
      <c r="E4" s="1764" t="s">
        <v>2047</v>
      </c>
      <c r="F4" s="1762"/>
      <c r="G4" s="1762"/>
      <c r="H4" s="1762"/>
      <c r="I4" s="1762"/>
      <c r="J4" s="1763"/>
      <c r="K4" s="3142"/>
      <c r="L4" s="1755" t="s">
        <v>2033</v>
      </c>
      <c r="M4" s="1756">
        <f>SUMPRODUCT((区片价!B49:B75=I2)*(区片价!C3:F3=E2)*(区片价!C49:F75))</f>
        <v>0</v>
      </c>
      <c r="N4" s="1757">
        <f>SUMPRODUCT((因素修正幅度!B49:B75=I2)*(因素修正幅度!C3:F3=E2)*(因素修正幅度!C49:F75))</f>
        <v>0</v>
      </c>
      <c r="O4" s="3142"/>
      <c r="P4" s="2025"/>
      <c r="Q4" s="2025"/>
      <c r="R4" s="2577">
        <v>3</v>
      </c>
      <c r="S4" s="2577">
        <f>ROUND(IF(G3&gt;1,IF(R4&lt;7,SUMPRODUCT((B93:B98=R4)*(C92:N92=G2)*(C93:N98)),SUMIF(C92:N92,G2,C100:N100)),IF(R4&lt;7,SUMPRODUCT((B102:B107=R4)*(C92:N92=G2)*(C102:N107)),SUMIF(C92:N92,G2,C109:N109))),4)</f>
        <v>0</v>
      </c>
      <c r="T4" s="2577" t="e">
        <f t="shared" si="0"/>
        <v>#DIV/0!</v>
      </c>
      <c r="U4" s="2566"/>
      <c r="V4" s="2577" t="e">
        <f t="shared" si="1"/>
        <v>#DIV/0!</v>
      </c>
      <c r="W4" s="2025"/>
      <c r="X4" s="2025"/>
      <c r="Y4" s="2025"/>
      <c r="Z4" s="2025"/>
      <c r="AA4" s="2025"/>
      <c r="AB4" s="2025"/>
      <c r="AC4" s="2026"/>
    </row>
    <row r="5" spans="1:39" s="1326" customFormat="1" ht="15.6" thickBot="1">
      <c r="A5" s="1522" t="s">
        <v>1623</v>
      </c>
      <c r="B5" s="1320" t="s">
        <v>910</v>
      </c>
      <c r="C5" s="1011" t="e">
        <f>ROUND(IF(E2="商业",C6*C7+C16,(IF(E2="住宅",C6*C12+C16,C6+C16))),0)</f>
        <v>#DIV/0!</v>
      </c>
      <c r="D5" s="2712" t="e">
        <f>ROUND(C6+C16,0)</f>
        <v>#DIV/0!</v>
      </c>
      <c r="E5" s="2712"/>
      <c r="F5" s="1321"/>
      <c r="G5" s="1322"/>
      <c r="H5" s="1322"/>
      <c r="I5" s="1322"/>
      <c r="J5" s="1323"/>
      <c r="K5" s="3143"/>
      <c r="L5" s="1755" t="s">
        <v>2034</v>
      </c>
      <c r="M5" s="1756">
        <f>SUMPRODUCT((区片价!B76:B109=I2)*(区片价!C3:F3=E2)*(区片价!C76:F109))</f>
        <v>0</v>
      </c>
      <c r="N5" s="1757">
        <f>SUMPRODUCT((因素修正幅度!B76:B109=I2)*(因素修正幅度!C3:F3=E2)*(因素修正幅度!C76:F109))</f>
        <v>0</v>
      </c>
      <c r="O5" s="3143"/>
      <c r="P5" s="3146"/>
      <c r="Q5" s="2025"/>
      <c r="R5" s="2577">
        <v>4</v>
      </c>
      <c r="S5" s="2577">
        <f>ROUND(IF(G3&gt;1,IF(R5&lt;7,SUMPRODUCT((B93:B98=R5)*(C92:N92=G2)*(C93:N98)),SUMIF(C92:N92,G2,C100:N100)),IF(R5&lt;7,SUMPRODUCT((B102:B107=R5)*(C92:N92=G2)*(C102:N107)),SUMIF(C92:N92,G2,C109:N109))),4)</f>
        <v>0</v>
      </c>
      <c r="T5" s="2577" t="e">
        <f t="shared" si="0"/>
        <v>#DIV/0!</v>
      </c>
      <c r="U5" s="2566"/>
      <c r="V5" s="2577" t="e">
        <f t="shared" si="1"/>
        <v>#DIV/0!</v>
      </c>
      <c r="W5" s="2025"/>
      <c r="X5" s="2025"/>
      <c r="Y5" s="2025"/>
      <c r="Z5" s="2025"/>
      <c r="AA5" s="2025"/>
      <c r="AB5" s="2025"/>
      <c r="AC5" s="2027"/>
      <c r="AD5" s="1324"/>
      <c r="AE5" s="1324"/>
      <c r="AF5" s="1324"/>
      <c r="AG5" s="1324"/>
      <c r="AH5" s="1324"/>
      <c r="AI5" s="1324"/>
      <c r="AJ5" s="1325"/>
      <c r="AK5" s="1325"/>
      <c r="AL5" s="1325"/>
      <c r="AM5" s="1325"/>
    </row>
    <row r="6" spans="1:39" ht="15.6" thickBot="1">
      <c r="A6" s="1523" t="s">
        <v>1666</v>
      </c>
      <c r="B6" s="1327" t="s">
        <v>910</v>
      </c>
      <c r="C6" s="1012">
        <f>SUMIF(L1:L12,基准地价!G2,M1:M12)</f>
        <v>0</v>
      </c>
      <c r="D6" s="1328" t="s">
        <v>1495</v>
      </c>
      <c r="E6" s="1329"/>
      <c r="F6" s="1329"/>
      <c r="G6" s="1330"/>
      <c r="H6" s="1330"/>
      <c r="I6" s="1330"/>
      <c r="J6" s="1331"/>
      <c r="K6" s="3144"/>
      <c r="L6" s="1755" t="s">
        <v>2035</v>
      </c>
      <c r="M6" s="1756">
        <f>SUMPRODUCT((区片价!B110:B157=I2)*(区片价!C3:F3=E2)*(区片价!C110:F157))</f>
        <v>0</v>
      </c>
      <c r="N6" s="1757">
        <f>SUMPRODUCT((因素修正幅度!B110:B157=I2)*(因素修正幅度!C3:F3=E2)*(因素修正幅度!C110:F157))</f>
        <v>0</v>
      </c>
      <c r="O6" s="3144"/>
      <c r="P6" s="3147"/>
      <c r="Q6" s="2025"/>
      <c r="R6" s="2577">
        <v>5</v>
      </c>
      <c r="S6" s="2577">
        <f>ROUND(IF(G3&gt;1,IF(R6&lt;7,SUMPRODUCT((B93:B98=R6)*(C92:N92=G2)*(C93:N98)),SUMIF(C92:N92,G2,C100:N100)),IF(R6&lt;7,SUMPRODUCT((B102:B107=R6)*(C92:N92=G2)*(C102:N107)),SUMIF(C92:N92,G2,C109:N109))),4)</f>
        <v>0</v>
      </c>
      <c r="T6" s="2577" t="e">
        <f t="shared" si="0"/>
        <v>#DIV/0!</v>
      </c>
      <c r="U6" s="2566"/>
      <c r="V6" s="2577" t="e">
        <f t="shared" si="1"/>
        <v>#DIV/0!</v>
      </c>
      <c r="W6" s="2025"/>
      <c r="X6" s="2025"/>
      <c r="Y6" s="2025"/>
      <c r="Z6" s="2025"/>
      <c r="AA6" s="2025"/>
      <c r="AB6" s="2025"/>
      <c r="AC6" s="2027"/>
      <c r="AD6" s="1324"/>
      <c r="AE6" s="1324"/>
      <c r="AF6" s="1324"/>
      <c r="AG6" s="1324"/>
      <c r="AH6" s="1324"/>
      <c r="AI6" s="1324"/>
      <c r="AJ6" s="1325"/>
    </row>
    <row r="7" spans="1:39" ht="24">
      <c r="A7" s="3690" t="str">
        <f>IF(E2="商业",IF(C8="不临58条商业街","",2),"")</f>
        <v/>
      </c>
      <c r="B7" s="1332" t="s">
        <v>911</v>
      </c>
      <c r="C7" s="1013" t="e">
        <f>IF(C8="不临58条商业街",1,ROUND(1+(1.6*E8+1.2*E9+0.8*E10+0.4*E11)*C9,4))</f>
        <v>#DIV/0!</v>
      </c>
      <c r="D7" s="1333" t="s">
        <v>912</v>
      </c>
      <c r="E7" s="1014"/>
      <c r="F7" s="1334"/>
      <c r="G7" s="1335"/>
      <c r="H7" s="1335"/>
      <c r="I7" s="1335"/>
      <c r="J7" s="1336"/>
      <c r="K7" s="3144"/>
      <c r="L7" s="1755" t="s">
        <v>2036</v>
      </c>
      <c r="M7" s="1756">
        <f>SUMPRODUCT((区片价!B158:B205=I2)*(区片价!C3:F3=E2)*(区片价!C158:F205))</f>
        <v>0</v>
      </c>
      <c r="N7" s="1757">
        <f>SUMPRODUCT((因素修正幅度!B158:B205=I2)*(因素修正幅度!C3:F3=E2)*(因素修正幅度!C158:F205))</f>
        <v>0</v>
      </c>
      <c r="O7" s="3144"/>
      <c r="P7" s="3147"/>
      <c r="Q7" s="2025"/>
      <c r="R7" s="2577">
        <v>6</v>
      </c>
      <c r="S7" s="2577">
        <f>ROUND(IF(G3&gt;1,IF(R7&lt;7,SUMPRODUCT((B93:B98=R7)*(C92:N92=G2)*(C93:N98)),SUMIF(C92:N92,G2,C100:N100)),IF(R7&lt;7,SUMPRODUCT((B102:B107=R7)*(C92:N92=G2)*(C102:N107)),SUMIF(C92:N92,G2,C109:N109))),4)</f>
        <v>0</v>
      </c>
      <c r="T7" s="2577" t="e">
        <f t="shared" si="0"/>
        <v>#DIV/0!</v>
      </c>
      <c r="U7" s="2566"/>
      <c r="V7" s="2577" t="e">
        <f t="shared" si="1"/>
        <v>#DIV/0!</v>
      </c>
      <c r="W7" s="2575" t="s">
        <v>2481</v>
      </c>
      <c r="X7" s="2567">
        <f>G2</f>
        <v>0</v>
      </c>
      <c r="Y7" s="2567" t="s">
        <v>2482</v>
      </c>
      <c r="Z7" s="2568">
        <f>G3</f>
        <v>4</v>
      </c>
      <c r="AA7" s="2028"/>
      <c r="AB7" s="2028"/>
      <c r="AC7" s="2029"/>
      <c r="AD7" s="2569"/>
      <c r="AE7" s="2569"/>
      <c r="AF7" s="2569"/>
      <c r="AG7" s="2569"/>
      <c r="AH7" s="2569"/>
      <c r="AI7" s="2569"/>
      <c r="AJ7" s="2570"/>
    </row>
    <row r="8" spans="1:39" ht="15">
      <c r="A8" s="3691"/>
      <c r="B8" s="1319" t="s">
        <v>913</v>
      </c>
      <c r="C8" s="1425"/>
      <c r="D8" s="1015" t="s">
        <v>914</v>
      </c>
      <c r="E8" s="1016" t="e">
        <f>ROUND(C11/E7,4)</f>
        <v>#DIV/0!</v>
      </c>
      <c r="F8" s="1337" t="s">
        <v>915</v>
      </c>
      <c r="G8" s="1338"/>
      <c r="H8" s="1338"/>
      <c r="I8" s="1338"/>
      <c r="J8" s="1339"/>
      <c r="K8" s="3144"/>
      <c r="L8" s="1755" t="s">
        <v>2037</v>
      </c>
      <c r="M8" s="1756">
        <f>SUMPRODUCT((区片价!B206:B244=I2)*(区片价!C3:F3=E2)*(区片价!C206:F244))</f>
        <v>0</v>
      </c>
      <c r="N8" s="1757">
        <f>SUMPRODUCT((因素修正幅度!B206:B244=I2)*(因素修正幅度!C3:F3=E2)*(因素修正幅度!C206:F244))</f>
        <v>0</v>
      </c>
      <c r="O8" s="3144"/>
      <c r="P8" s="2025"/>
      <c r="Q8" s="2025"/>
      <c r="R8" s="2577">
        <v>7</v>
      </c>
      <c r="S8" s="2566"/>
      <c r="T8" s="2577" t="e">
        <f t="shared" si="0"/>
        <v>#DIV/0!</v>
      </c>
      <c r="U8" s="2566"/>
      <c r="V8" s="2577" t="e">
        <f t="shared" si="1"/>
        <v>#DIV/0!</v>
      </c>
      <c r="W8" s="3677" t="s">
        <v>2499</v>
      </c>
      <c r="X8" s="3678"/>
      <c r="Y8" s="1719" t="s">
        <v>2483</v>
      </c>
      <c r="Z8" s="1719" t="s">
        <v>2484</v>
      </c>
      <c r="AA8" s="1719" t="s">
        <v>2485</v>
      </c>
      <c r="AB8" s="1719" t="s">
        <v>2486</v>
      </c>
      <c r="AC8" s="1719" t="s">
        <v>2487</v>
      </c>
      <c r="AD8" s="1719" t="s">
        <v>2488</v>
      </c>
      <c r="AE8" s="1719" t="s">
        <v>2489</v>
      </c>
      <c r="AF8" s="1719" t="s">
        <v>2490</v>
      </c>
      <c r="AG8" s="1719" t="s">
        <v>2491</v>
      </c>
      <c r="AH8" s="1719" t="s">
        <v>2492</v>
      </c>
      <c r="AI8" s="1719" t="s">
        <v>2493</v>
      </c>
      <c r="AJ8" s="1719" t="s">
        <v>2494</v>
      </c>
    </row>
    <row r="9" spans="1:39" ht="15">
      <c r="A9" s="3691"/>
      <c r="B9" s="1319" t="s">
        <v>916</v>
      </c>
      <c r="C9" s="1017">
        <f>SUMIF(修正!C71:C139,C8,修正!E71:E139)</f>
        <v>0</v>
      </c>
      <c r="D9" s="1018" t="s">
        <v>917</v>
      </c>
      <c r="E9" s="1018" t="e">
        <f>ROUND(C11/E7,4)</f>
        <v>#DIV/0!</v>
      </c>
      <c r="F9" s="1337" t="s">
        <v>918</v>
      </c>
      <c r="G9" s="1338"/>
      <c r="H9" s="1338"/>
      <c r="I9" s="1338"/>
      <c r="J9" s="1339"/>
      <c r="K9" s="3144"/>
      <c r="L9" s="1755" t="s">
        <v>2038</v>
      </c>
      <c r="M9" s="1756">
        <f>SUMPRODUCT((区片价!B245:B289=I2)*(区片价!C3:F3=E2)*(区片价!C245:F289))</f>
        <v>0</v>
      </c>
      <c r="N9" s="1757">
        <f>SUMPRODUCT((因素修正幅度!B245:B289=I2)*(因素修正幅度!C3:F3=E2)*(因素修正幅度!C245:F289))</f>
        <v>0</v>
      </c>
      <c r="O9" s="3144"/>
      <c r="P9" s="2025"/>
      <c r="Q9" s="2025"/>
      <c r="R9" s="2577">
        <v>8</v>
      </c>
      <c r="S9" s="2566"/>
      <c r="T9" s="2577" t="e">
        <f t="shared" si="0"/>
        <v>#DIV/0!</v>
      </c>
      <c r="U9" s="2566"/>
      <c r="V9" s="2577" t="e">
        <f t="shared" si="1"/>
        <v>#DIV/0!</v>
      </c>
      <c r="W9" s="3676" t="s">
        <v>2495</v>
      </c>
      <c r="X9" s="2571" t="s">
        <v>2496</v>
      </c>
      <c r="Y9" s="2705"/>
      <c r="Z9" s="2572">
        <f t="shared" ref="Z9:AJ9" si="2">$Y$9</f>
        <v>0</v>
      </c>
      <c r="AA9" s="2572">
        <f t="shared" si="2"/>
        <v>0</v>
      </c>
      <c r="AB9" s="2572">
        <f t="shared" si="2"/>
        <v>0</v>
      </c>
      <c r="AC9" s="2572">
        <f t="shared" si="2"/>
        <v>0</v>
      </c>
      <c r="AD9" s="2572">
        <f t="shared" si="2"/>
        <v>0</v>
      </c>
      <c r="AE9" s="2572">
        <f t="shared" si="2"/>
        <v>0</v>
      </c>
      <c r="AF9" s="2572">
        <f t="shared" si="2"/>
        <v>0</v>
      </c>
      <c r="AG9" s="2572">
        <f t="shared" si="2"/>
        <v>0</v>
      </c>
      <c r="AH9" s="2572">
        <f t="shared" si="2"/>
        <v>0</v>
      </c>
      <c r="AI9" s="2572">
        <f t="shared" si="2"/>
        <v>0</v>
      </c>
      <c r="AJ9" s="2572">
        <f t="shared" si="2"/>
        <v>0</v>
      </c>
    </row>
    <row r="10" spans="1:39" ht="15">
      <c r="A10" s="3691"/>
      <c r="B10" s="1319" t="s">
        <v>919</v>
      </c>
      <c r="C10" s="1018">
        <f>SUMIF(修正!C71:C139,C8,修正!F71:F139)</f>
        <v>0</v>
      </c>
      <c r="D10" s="1018" t="s">
        <v>920</v>
      </c>
      <c r="E10" s="1018" t="e">
        <f>ROUND(C11/E7,4)</f>
        <v>#DIV/0!</v>
      </c>
      <c r="F10" s="1337" t="s">
        <v>921</v>
      </c>
      <c r="G10" s="1338"/>
      <c r="H10" s="1338"/>
      <c r="I10" s="1338"/>
      <c r="J10" s="1339"/>
      <c r="K10" s="3144"/>
      <c r="L10" s="1755" t="s">
        <v>2039</v>
      </c>
      <c r="M10" s="1756">
        <f>SUMPRODUCT((区片价!B290:B316=I2)*(区片价!C3:F3=E2)*(区片价!C290:F316))</f>
        <v>0</v>
      </c>
      <c r="N10" s="1757">
        <f>SUMPRODUCT((因素修正幅度!B290:B316=I2)*(因素修正幅度!C3:F3=E2)*(因素修正幅度!C290:F316))</f>
        <v>0</v>
      </c>
      <c r="O10" s="3144"/>
      <c r="P10" s="2025"/>
      <c r="Q10" s="2025"/>
      <c r="R10" s="2577">
        <v>9</v>
      </c>
      <c r="S10" s="2566"/>
      <c r="T10" s="2577" t="e">
        <f t="shared" si="0"/>
        <v>#DIV/0!</v>
      </c>
      <c r="U10" s="2566"/>
      <c r="V10" s="2577" t="e">
        <f t="shared" si="1"/>
        <v>#DIV/0!</v>
      </c>
      <c r="W10" s="3676"/>
      <c r="X10" s="2571">
        <v>7</v>
      </c>
      <c r="Y10" s="2573">
        <f>(-0.163*(Y9^2)-0.59*Y9+7617)*(10^(-4))</f>
        <v>0.76170000000000004</v>
      </c>
      <c r="Z10" s="2573">
        <f>(-0.163*(Z9^2)-0.59*Z9+7617)*(10^(-4))</f>
        <v>0.76170000000000004</v>
      </c>
      <c r="AA10" s="2573">
        <f>(-0.161*(AA9^2)-7.509*AA9+6533)*(10^(-4))</f>
        <v>0.65329999999999999</v>
      </c>
      <c r="AB10" s="2573">
        <f>(-0.161*(AB9^2)-7.509*AB9+6533)*(10^(-4))</f>
        <v>0.65329999999999999</v>
      </c>
      <c r="AC10" s="2573">
        <f>(-0.161*(AC9^2)-7.509*AC9+6533)*(10^(-4))</f>
        <v>0.65329999999999999</v>
      </c>
      <c r="AD10" s="2573">
        <f>(-0.161*(AD9^2)-7.509*AD9+6533)*(10^(-4))</f>
        <v>0.65329999999999999</v>
      </c>
      <c r="AE10" s="2573">
        <f>(-0.161*(AE9^2)-7.509*AE9+6533)*(10^(-4))</f>
        <v>0.65329999999999999</v>
      </c>
      <c r="AF10" s="2573">
        <f>(-0.214*(AF9^2)-21.991*AF9+4665)*(10^(-4))</f>
        <v>0.46650000000000003</v>
      </c>
      <c r="AG10" s="2573">
        <f>(-0.214*(AG9^2)-21.991*AG9+4665)*(10^(-4))</f>
        <v>0.46650000000000003</v>
      </c>
      <c r="AH10" s="2573">
        <f>(-0.214*(AH9^2)-21.991*AH9+4665)*(10^(-4))</f>
        <v>0.46650000000000003</v>
      </c>
      <c r="AI10" s="2573">
        <f>(-0.214*(AI9^2)-21.991*AI9+4665)*(10^(-4))</f>
        <v>0.46650000000000003</v>
      </c>
      <c r="AJ10" s="2573">
        <f>(-0.214*(AJ9^2)-21.991*AJ9+4665)*(10^(-4))</f>
        <v>0.46650000000000003</v>
      </c>
    </row>
    <row r="11" spans="1:39" ht="15.75" customHeight="1" thickBot="1">
      <c r="A11" s="3691"/>
      <c r="B11" s="1340" t="s">
        <v>922</v>
      </c>
      <c r="C11" s="1019">
        <f>C10/4</f>
        <v>0</v>
      </c>
      <c r="D11" s="1019" t="s">
        <v>923</v>
      </c>
      <c r="E11" s="1019" t="e">
        <f>ROUND(C11/E7,4)</f>
        <v>#DIV/0!</v>
      </c>
      <c r="F11" s="1341" t="s">
        <v>924</v>
      </c>
      <c r="G11" s="1342"/>
      <c r="H11" s="1342"/>
      <c r="I11" s="1342"/>
      <c r="J11" s="1343"/>
      <c r="K11" s="3144"/>
      <c r="L11" s="1755" t="s">
        <v>2040</v>
      </c>
      <c r="M11" s="1756">
        <f>SUMPRODUCT((区片价!B317:B337=I2)*(区片价!C3:F3=E2)*(区片价!C317:F337))</f>
        <v>0</v>
      </c>
      <c r="N11" s="1757">
        <f>SUMPRODUCT((因素修正幅度!B317:B337=I2)*(因素修正幅度!C3:F3=E2)*(因素修正幅度!C317:F337))</f>
        <v>0</v>
      </c>
      <c r="O11" s="3144"/>
      <c r="P11" s="2025"/>
      <c r="Q11" s="2025"/>
      <c r="R11" s="2577">
        <v>10</v>
      </c>
      <c r="S11" s="2566"/>
      <c r="T11" s="2577" t="e">
        <f t="shared" si="0"/>
        <v>#DIV/0!</v>
      </c>
      <c r="U11" s="2566"/>
      <c r="V11" s="2577" t="e">
        <f t="shared" si="1"/>
        <v>#DIV/0!</v>
      </c>
      <c r="W11" s="3676" t="s">
        <v>2497</v>
      </c>
      <c r="X11" s="1018" t="s">
        <v>2482</v>
      </c>
      <c r="Y11" s="1537">
        <f>$G$3</f>
        <v>4</v>
      </c>
      <c r="Z11" s="1537">
        <f t="shared" ref="Z11:AJ11" si="3">$G$3</f>
        <v>4</v>
      </c>
      <c r="AA11" s="1537">
        <f t="shared" si="3"/>
        <v>4</v>
      </c>
      <c r="AB11" s="1537">
        <f t="shared" si="3"/>
        <v>4</v>
      </c>
      <c r="AC11" s="1537">
        <f t="shared" si="3"/>
        <v>4</v>
      </c>
      <c r="AD11" s="1537">
        <f t="shared" si="3"/>
        <v>4</v>
      </c>
      <c r="AE11" s="1537">
        <f t="shared" si="3"/>
        <v>4</v>
      </c>
      <c r="AF11" s="1537">
        <f t="shared" si="3"/>
        <v>4</v>
      </c>
      <c r="AG11" s="1537">
        <f t="shared" si="3"/>
        <v>4</v>
      </c>
      <c r="AH11" s="1537">
        <f t="shared" si="3"/>
        <v>4</v>
      </c>
      <c r="AI11" s="1537">
        <f t="shared" si="3"/>
        <v>4</v>
      </c>
      <c r="AJ11" s="1537">
        <f t="shared" si="3"/>
        <v>4</v>
      </c>
    </row>
    <row r="12" spans="1:39" ht="25.8" thickBot="1">
      <c r="A12" s="3690" t="s">
        <v>1667</v>
      </c>
      <c r="B12" s="1344" t="s">
        <v>925</v>
      </c>
      <c r="C12" s="1013">
        <f>ROUND(C15*D15*E15*F15*G15*H15*I15*J15,4)</f>
        <v>1</v>
      </c>
      <c r="D12" s="1345" t="s">
        <v>926</v>
      </c>
      <c r="E12" s="1346"/>
      <c r="F12" s="1346"/>
      <c r="G12" s="1347"/>
      <c r="H12" s="1347"/>
      <c r="I12" s="1347"/>
      <c r="J12" s="1348"/>
      <c r="K12" s="3144"/>
      <c r="L12" s="1758" t="s">
        <v>2041</v>
      </c>
      <c r="M12" s="1759">
        <f>SUMPRODUCT((区片价!B338:B344=I2)*(区片价!C3:F3=E2)*(区片价!C338:F344))</f>
        <v>0</v>
      </c>
      <c r="N12" s="1760">
        <f>SUMPRODUCT((因素修正幅度!B338:B344=I2)*(因素修正幅度!C3:F3=E2)*(因素修正幅度!C338:F344))</f>
        <v>0</v>
      </c>
      <c r="O12" s="3144"/>
      <c r="P12" s="2025"/>
      <c r="Q12" s="2025"/>
      <c r="R12" s="2577">
        <v>11</v>
      </c>
      <c r="S12" s="2566"/>
      <c r="T12" s="2577" t="e">
        <f t="shared" si="0"/>
        <v>#DIV/0!</v>
      </c>
      <c r="U12" s="2566"/>
      <c r="V12" s="2577" t="e">
        <f t="shared" si="1"/>
        <v>#DIV/0!</v>
      </c>
      <c r="W12" s="3676"/>
      <c r="X12" s="2574" t="s">
        <v>2498</v>
      </c>
      <c r="Y12" s="2572">
        <f t="shared" ref="Y12:AJ12" si="4">Y9</f>
        <v>0</v>
      </c>
      <c r="Z12" s="2572">
        <f t="shared" si="4"/>
        <v>0</v>
      </c>
      <c r="AA12" s="2572">
        <f t="shared" si="4"/>
        <v>0</v>
      </c>
      <c r="AB12" s="2572">
        <f t="shared" si="4"/>
        <v>0</v>
      </c>
      <c r="AC12" s="2572">
        <f t="shared" si="4"/>
        <v>0</v>
      </c>
      <c r="AD12" s="2572">
        <f t="shared" si="4"/>
        <v>0</v>
      </c>
      <c r="AE12" s="2572">
        <f t="shared" si="4"/>
        <v>0</v>
      </c>
      <c r="AF12" s="2572">
        <f t="shared" si="4"/>
        <v>0</v>
      </c>
      <c r="AG12" s="2572">
        <f t="shared" si="4"/>
        <v>0</v>
      </c>
      <c r="AH12" s="2572">
        <f t="shared" si="4"/>
        <v>0</v>
      </c>
      <c r="AI12" s="2572">
        <f t="shared" si="4"/>
        <v>0</v>
      </c>
      <c r="AJ12" s="2572">
        <f t="shared" si="4"/>
        <v>0</v>
      </c>
    </row>
    <row r="13" spans="1:39" ht="24">
      <c r="A13" s="3692"/>
      <c r="B13" s="1349" t="s">
        <v>1496</v>
      </c>
      <c r="C13" s="1350" t="s">
        <v>1497</v>
      </c>
      <c r="D13" s="1055" t="s">
        <v>1498</v>
      </c>
      <c r="E13" s="1055" t="s">
        <v>1499</v>
      </c>
      <c r="F13" s="1351" t="s">
        <v>927</v>
      </c>
      <c r="G13" s="1352" t="s">
        <v>1443</v>
      </c>
      <c r="H13" s="1353" t="s">
        <v>1443</v>
      </c>
      <c r="I13" s="1354" t="s">
        <v>1443</v>
      </c>
      <c r="J13" s="1355" t="s">
        <v>1443</v>
      </c>
      <c r="K13" s="2762"/>
      <c r="L13" s="2762"/>
      <c r="M13" s="2762"/>
      <c r="N13" s="2762"/>
      <c r="O13" s="2762"/>
      <c r="P13" s="2025"/>
      <c r="Q13" s="2025"/>
      <c r="R13" s="2577">
        <v>12</v>
      </c>
      <c r="S13" s="2566"/>
      <c r="T13" s="2577" t="e">
        <f t="shared" si="0"/>
        <v>#DIV/0!</v>
      </c>
      <c r="U13" s="2566"/>
      <c r="V13" s="2577" t="e">
        <f t="shared" si="1"/>
        <v>#DIV/0!</v>
      </c>
      <c r="W13" s="3676"/>
      <c r="X13" s="2574"/>
      <c r="Y13" s="2573">
        <f>(-0.163*(Y12^2)-0.59*Y12+7617)*(10^(-4))/Y11</f>
        <v>0.19042500000000001</v>
      </c>
      <c r="Z13" s="2573">
        <f t="shared" ref="Z13:AJ13" si="5">(-0.163*(Z12^2)-0.59*Z12+7617)*(10^(-4))/Z11</f>
        <v>0.19042500000000001</v>
      </c>
      <c r="AA13" s="2573">
        <f t="shared" si="5"/>
        <v>0.19042500000000001</v>
      </c>
      <c r="AB13" s="2573">
        <f t="shared" si="5"/>
        <v>0.19042500000000001</v>
      </c>
      <c r="AC13" s="2573">
        <f t="shared" si="5"/>
        <v>0.19042500000000001</v>
      </c>
      <c r="AD13" s="2573">
        <f t="shared" si="5"/>
        <v>0.19042500000000001</v>
      </c>
      <c r="AE13" s="2573">
        <f t="shared" si="5"/>
        <v>0.19042500000000001</v>
      </c>
      <c r="AF13" s="2573">
        <f t="shared" si="5"/>
        <v>0.19042500000000001</v>
      </c>
      <c r="AG13" s="2573">
        <f t="shared" si="5"/>
        <v>0.19042500000000001</v>
      </c>
      <c r="AH13" s="2573">
        <f t="shared" si="5"/>
        <v>0.19042500000000001</v>
      </c>
      <c r="AI13" s="2573">
        <f t="shared" si="5"/>
        <v>0.19042500000000001</v>
      </c>
      <c r="AJ13" s="2573">
        <f t="shared" si="5"/>
        <v>0.19042500000000001</v>
      </c>
    </row>
    <row r="14" spans="1:39" ht="12.75" customHeight="1">
      <c r="A14" s="3692"/>
      <c r="B14" s="1356"/>
      <c r="C14" s="1357"/>
      <c r="D14" s="1358"/>
      <c r="E14" s="1358"/>
      <c r="F14" s="1359"/>
      <c r="G14" s="1360" t="s">
        <v>928</v>
      </c>
      <c r="H14" s="1361"/>
      <c r="I14" s="1362"/>
      <c r="J14" s="1363"/>
      <c r="K14" s="3145"/>
      <c r="L14" s="3145"/>
      <c r="M14" s="3145"/>
      <c r="N14" s="3145"/>
      <c r="O14" s="3145"/>
      <c r="P14" s="2025"/>
      <c r="Q14" s="2025"/>
      <c r="R14" s="2577">
        <v>13</v>
      </c>
      <c r="S14" s="2566"/>
      <c r="T14" s="2577" t="e">
        <f t="shared" si="0"/>
        <v>#DIV/0!</v>
      </c>
      <c r="U14" s="2566"/>
      <c r="V14" s="2577" t="e">
        <f t="shared" si="1"/>
        <v>#DIV/0!</v>
      </c>
      <c r="W14" s="2025"/>
      <c r="X14" s="2025"/>
      <c r="Y14" s="2025"/>
      <c r="Z14" s="2025"/>
      <c r="AA14" s="2025"/>
      <c r="AB14" s="2025"/>
      <c r="AC14" s="2026"/>
    </row>
    <row r="15" spans="1:39" ht="13.5" customHeight="1" thickBot="1">
      <c r="A15" s="3693"/>
      <c r="B15" s="2767" t="s">
        <v>1500</v>
      </c>
      <c r="C15" s="1019">
        <f>IF(C14="有",1.1,1)</f>
        <v>1</v>
      </c>
      <c r="D15" s="1019">
        <f>IF(D14="有",1.1,1)</f>
        <v>1</v>
      </c>
      <c r="E15" s="1019">
        <f>IF(E14="有",1.1,1)</f>
        <v>1</v>
      </c>
      <c r="F15" s="1019">
        <f>IF(F14="500米范围内",1.2,IF(F14="500-1000米",1.1,1))</f>
        <v>1</v>
      </c>
      <c r="G15" s="2759">
        <v>1</v>
      </c>
      <c r="H15" s="2759">
        <v>1</v>
      </c>
      <c r="I15" s="2759">
        <v>1</v>
      </c>
      <c r="J15" s="2760">
        <v>1</v>
      </c>
      <c r="K15" s="2763"/>
      <c r="L15" s="2763"/>
      <c r="M15" s="2763"/>
      <c r="N15" s="2763"/>
      <c r="O15" s="2763"/>
      <c r="P15" s="2025"/>
      <c r="Q15" s="2025"/>
      <c r="R15" s="2577">
        <v>14</v>
      </c>
      <c r="S15" s="2566"/>
      <c r="T15" s="2577" t="e">
        <f t="shared" si="0"/>
        <v>#DIV/0!</v>
      </c>
      <c r="U15" s="2566"/>
      <c r="V15" s="2577" t="e">
        <f t="shared" si="1"/>
        <v>#DIV/0!</v>
      </c>
      <c r="W15" s="2025"/>
      <c r="X15" s="2025"/>
      <c r="Y15" s="2025"/>
      <c r="Z15" s="2025"/>
      <c r="AA15" s="2025"/>
      <c r="AB15" s="2025"/>
      <c r="AC15" s="2026"/>
    </row>
    <row r="16" spans="1:39" ht="24.6" customHeight="1">
      <c r="A16" s="3690" t="s">
        <v>1638</v>
      </c>
      <c r="B16" s="1332" t="s">
        <v>929</v>
      </c>
      <c r="C16" s="1022" t="e">
        <f>ROUND(IF(F17="与级别开发程度一致",0,(G17-E17)/C17),0)</f>
        <v>#DIV/0!</v>
      </c>
      <c r="D16" s="3684" t="s">
        <v>933</v>
      </c>
      <c r="E16" s="3685"/>
      <c r="F16" s="3684" t="s">
        <v>930</v>
      </c>
      <c r="G16" s="3685"/>
      <c r="H16" s="1364"/>
      <c r="I16" s="1364"/>
      <c r="J16" s="1364"/>
      <c r="K16" s="1364"/>
      <c r="L16" s="1364"/>
      <c r="M16" s="1364"/>
      <c r="N16" s="1364"/>
      <c r="O16" s="2772"/>
      <c r="P16" s="2025"/>
      <c r="Q16" s="2028"/>
      <c r="R16" s="2577">
        <v>15</v>
      </c>
      <c r="S16" s="2566"/>
      <c r="T16" s="2577" t="e">
        <f t="shared" si="0"/>
        <v>#DIV/0!</v>
      </c>
      <c r="U16" s="2566"/>
      <c r="V16" s="2577" t="e">
        <f t="shared" si="1"/>
        <v>#DIV/0!</v>
      </c>
      <c r="W16" s="2028"/>
      <c r="X16" s="2028"/>
      <c r="Y16" s="2028"/>
      <c r="Z16" s="2028"/>
      <c r="AA16" s="2028"/>
      <c r="AB16" s="2028"/>
      <c r="AC16" s="2029"/>
    </row>
    <row r="17" spans="1:40" ht="13.8" thickBot="1">
      <c r="A17" s="3694"/>
      <c r="B17" s="2773" t="s">
        <v>932</v>
      </c>
      <c r="C17" s="2774">
        <f>SUMPRODUCT((修正!A2:A7=E2)*(修正!B1:M1=G2)*(修正!B2:M7))</f>
        <v>0</v>
      </c>
      <c r="D17" s="2775" t="str">
        <f>IF(OR(G2="八级",G2="九级",G2="十级",G2="十一级",G2="十二级"),"五通一平","七通一平")</f>
        <v>七通一平</v>
      </c>
      <c r="E17" s="2765">
        <f>SUMPRODUCT((修正!B1:M1=G2)*(修正!B17:M17))</f>
        <v>0</v>
      </c>
      <c r="F17" s="2766"/>
      <c r="G17" s="2765">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6">
        <f>SUMPRODUCT((七通一平=O16)*(修正!B1:M1=G2)*(修正!B8:M16))</f>
        <v>0</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 thickBot="1">
      <c r="A18" s="2420" t="s">
        <v>1629</v>
      </c>
      <c r="B18" s="2768" t="s">
        <v>934</v>
      </c>
      <c r="C18" s="2769">
        <f>SUMIF(修正!C20:C51,E3,修正!E20:E51)</f>
        <v>0</v>
      </c>
      <c r="D18" s="2770"/>
      <c r="E18" s="2771"/>
      <c r="F18" s="2754"/>
      <c r="G18" s="2753"/>
      <c r="H18" s="2753"/>
      <c r="I18" s="2753"/>
      <c r="J18" s="2761"/>
      <c r="K18" s="3143"/>
      <c r="L18" s="2753"/>
      <c r="M18" s="2753"/>
      <c r="N18" s="2753"/>
      <c r="O18" s="2753"/>
      <c r="P18" s="3148"/>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9.4"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0</v>
      </c>
      <c r="H19" s="1372" t="s">
        <v>2687</v>
      </c>
      <c r="I19" s="2426" t="str">
        <f>IF(H19="季度增幅（自定义）",SUMIF(N21:N24,E2,O21:O24),"")</f>
        <v/>
      </c>
      <c r="J19" s="1368"/>
      <c r="K19" s="3143"/>
      <c r="L19" s="2673" t="s">
        <v>2555</v>
      </c>
      <c r="M19" s="2674">
        <f>ROUND(SUMIF(地价!B2:F2,E2,地价!B41:F41),0)</f>
        <v>0</v>
      </c>
      <c r="N19" s="2428" t="s">
        <v>1476</v>
      </c>
      <c r="O19" s="2427" t="e">
        <f>ROUNDDOWN(DATEDIF(E19,G19,"M")/3,0)</f>
        <v>#NUM!</v>
      </c>
      <c r="P19" s="2029"/>
      <c r="Q19" s="2565"/>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9.4" thickBot="1">
      <c r="A20" s="2420" t="s">
        <v>1636</v>
      </c>
      <c r="B20" s="2421" t="s">
        <v>950</v>
      </c>
      <c r="C20" s="2422" t="e">
        <f>ROUND(POWER(1+G20,J20-I20)*(POWER(1+G20,I20)-1)/(POWER(1+G20,J20)-1),4)</f>
        <v>#DIV/0!</v>
      </c>
      <c r="D20" s="2423" t="s">
        <v>951</v>
      </c>
      <c r="E20" s="2702">
        <f>存贷款利率!E22/100</f>
        <v>4.3499999999999997E-2</v>
      </c>
      <c r="F20" s="2423" t="s">
        <v>952</v>
      </c>
      <c r="G20" s="2424">
        <f>SUMIF(M26:P26,E2,M28:P28)</f>
        <v>0</v>
      </c>
      <c r="H20" s="2423" t="s">
        <v>953</v>
      </c>
      <c r="I20" s="2419" t="e">
        <f>SUMIF('数据-取费表'!C6:C15,E2,'数据-取费表'!F6:F15)/COUNTIF('数据-取费表'!C6:C15,E2)</f>
        <v>#DIV/0!</v>
      </c>
      <c r="J20" s="2425">
        <f>IF(E2="住宅",70,IF(E2="商业",40,50))</f>
        <v>50</v>
      </c>
      <c r="K20" s="2763"/>
      <c r="L20" s="2675" t="s">
        <v>2556</v>
      </c>
      <c r="M20" s="2756">
        <f>ROUND(SUMPRODUCT((地价!A4:A41=YEAR(G19)&amp;"-"&amp;ROUNDUP(MONTH(G19)/3,0))*(地价!B2:F2=E2)*(地价!B4:F41)),0)</f>
        <v>0</v>
      </c>
      <c r="N20" s="2431" t="s">
        <v>2362</v>
      </c>
      <c r="O20" s="2429" t="s">
        <v>2361</v>
      </c>
      <c r="P20" s="2430" t="s">
        <v>2367</v>
      </c>
      <c r="Q20" s="2565"/>
      <c r="R20" s="2031"/>
      <c r="S20" s="2031"/>
      <c r="T20" s="2031"/>
      <c r="U20" s="2031"/>
      <c r="V20" s="2031"/>
      <c r="W20" s="2031"/>
      <c r="X20" s="2031"/>
      <c r="Y20" s="1369"/>
      <c r="Z20" s="1369"/>
      <c r="AA20" s="1369"/>
      <c r="AB20" s="1369"/>
      <c r="AC20" s="1369"/>
      <c r="AD20" s="1369"/>
    </row>
    <row r="21" spans="1:40" s="1326" customFormat="1" ht="14.4">
      <c r="A21" s="1526" t="s">
        <v>1637</v>
      </c>
      <c r="B21" s="1377" t="s">
        <v>2720</v>
      </c>
      <c r="C21" s="1105" t="b">
        <f>IF(B21="容积率修正",IF(G3&lt;=10,D22,J22),C23)</f>
        <v>0</v>
      </c>
      <c r="D21" s="1378"/>
      <c r="E21" s="1378"/>
      <c r="F21" s="1378"/>
      <c r="G21" s="1378"/>
      <c r="H21" s="1378"/>
      <c r="I21" s="1378"/>
      <c r="J21" s="1379"/>
      <c r="K21" s="3143"/>
      <c r="L21" s="1378"/>
      <c r="M21" s="1378"/>
      <c r="N21" s="1375" t="s">
        <v>954</v>
      </c>
      <c r="O21" s="1438"/>
      <c r="P21" s="2418">
        <f>SUMPRODUCT((地价!A3:A41=YEAR(G19)&amp;"-"&amp;ROUNDUP(MONTH(G19)/3,0))*(地价!AD2:AH2=N21)*(地价!AD3:AH41))</f>
        <v>0</v>
      </c>
      <c r="Q21" s="2565"/>
      <c r="R21" s="2031"/>
      <c r="S21" s="2031"/>
      <c r="T21" s="2031"/>
      <c r="U21" s="2031"/>
      <c r="V21" s="2031"/>
      <c r="W21" s="2031"/>
      <c r="X21" s="2031"/>
      <c r="Y21" s="1308"/>
      <c r="Z21" s="1308"/>
      <c r="AA21" s="1308"/>
      <c r="AB21" s="1308"/>
      <c r="AC21" s="1369"/>
      <c r="AD21" s="1369"/>
    </row>
    <row r="22" spans="1:40" s="1326" customFormat="1" ht="14.4">
      <c r="A22" s="1527" t="s">
        <v>1666</v>
      </c>
      <c r="B22" s="1380" t="s">
        <v>955</v>
      </c>
      <c r="C22" s="1026" t="s">
        <v>1502</v>
      </c>
      <c r="D22" s="1026" t="b">
        <f>IF(E22=G22,F22,IF(G3&lt;=10,ROUND(F22+(H22-F22)*(G3-E22)/(G22-E22),4),"——"))</f>
        <v>0</v>
      </c>
      <c r="E22" s="1009">
        <f>ROUNDDOWN(G3,1)</f>
        <v>4</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4</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9"/>
      <c r="L22" s="1378"/>
      <c r="M22" s="1378"/>
      <c r="N22" s="1375" t="s">
        <v>957</v>
      </c>
      <c r="O22" s="1438"/>
      <c r="P22" s="2418">
        <f>SUMPRODUCT((地价!A3:A41=YEAR(G19)&amp;"-"&amp;ROUNDUP(MONTH(G19)/3,0))*(地价!AD2:AH2=N22)*(地价!AD3:AH41))</f>
        <v>0</v>
      </c>
      <c r="Q22" s="2565"/>
      <c r="R22" s="2031"/>
      <c r="S22" s="2031"/>
      <c r="T22" s="2031"/>
      <c r="U22" s="2031"/>
      <c r="V22" s="2031"/>
      <c r="W22" s="2031"/>
      <c r="X22" s="2031"/>
      <c r="Y22" s="1369"/>
      <c r="Z22" s="1369"/>
      <c r="AA22" s="1369"/>
      <c r="AB22" s="1369"/>
      <c r="AC22" s="1369"/>
      <c r="AD22" s="1369"/>
    </row>
    <row r="23" spans="1:40" ht="1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50"/>
      <c r="L23" s="1306"/>
      <c r="M23" s="1306"/>
      <c r="N23" s="1375" t="s">
        <v>902</v>
      </c>
      <c r="O23" s="1438"/>
      <c r="P23" s="2418">
        <f>SUMPRODUCT((地价!A3:A41=YEAR(G19)&amp;"-"&amp;ROUNDUP(MONTH(G19)/3,0))*(地价!AD2:AH2=N23)*(地价!AD3:AH41))</f>
        <v>0</v>
      </c>
      <c r="Q23" s="2565"/>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 thickBot="1">
      <c r="A24" s="1525" t="s">
        <v>1668</v>
      </c>
      <c r="B24" s="1320" t="s">
        <v>959</v>
      </c>
      <c r="C24" s="1028">
        <f>SUMIF(A44:A87,E2,B44:B87)</f>
        <v>0</v>
      </c>
      <c r="D24" s="1431"/>
      <c r="E24" s="1432"/>
      <c r="F24" s="1432"/>
      <c r="G24" s="1432"/>
      <c r="H24" s="1432"/>
      <c r="I24" s="1432"/>
      <c r="J24" s="1432"/>
      <c r="K24" s="3150"/>
      <c r="L24" s="1378"/>
      <c r="M24" s="1378"/>
      <c r="N24" s="1375" t="s">
        <v>960</v>
      </c>
      <c r="O24" s="2755"/>
      <c r="P24" s="2418">
        <f>SUMPRODUCT((地价!A3:A41=YEAR(G19)&amp;"-"&amp;ROUNDUP(MONTH(G19)/3,0))*(地价!AD2:AH2=N24)*(地价!AD3:AH41))</f>
        <v>0</v>
      </c>
      <c r="Q24" s="2565"/>
      <c r="R24" s="2031"/>
      <c r="S24" s="2031"/>
      <c r="T24" s="2031"/>
      <c r="U24" s="2031"/>
      <c r="V24" s="2031"/>
      <c r="W24" s="2031"/>
      <c r="X24" s="2031"/>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4"/>
      <c r="L25" s="2031"/>
      <c r="M25" s="2031"/>
      <c r="N25" s="2757" t="s">
        <v>2365</v>
      </c>
      <c r="O25" s="2758"/>
      <c r="P25" s="2257">
        <f>SUMPRODUCT((地价!A3:A41=YEAR(G19)&amp;"-"&amp;ROUNDUP(MONTH(G19)/3,0))*(地价!AD2:AH2=N25)*(地价!AD3:AH41))</f>
        <v>0</v>
      </c>
      <c r="Q25" s="2565"/>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4">
      <c r="A26" s="1385"/>
      <c r="B26" s="1380" t="s">
        <v>965</v>
      </c>
      <c r="C26" s="2926" t="e">
        <f>IF(B21="容积率修正",E29+SUM(E33:E39),SUM(V2:V16)+SUM(E33:E39))</f>
        <v>#DIV/0!</v>
      </c>
      <c r="D26" s="1386"/>
      <c r="E26" s="1361"/>
      <c r="F26" s="1387"/>
      <c r="G26" s="1361"/>
      <c r="H26" s="1361"/>
      <c r="I26" s="1361"/>
      <c r="J26" s="1388"/>
      <c r="K26" s="3144"/>
      <c r="L26" s="1485" t="s">
        <v>877</v>
      </c>
      <c r="M26" s="1333" t="s">
        <v>962</v>
      </c>
      <c r="N26" s="1333" t="s">
        <v>963</v>
      </c>
      <c r="O26" s="1333" t="s">
        <v>881</v>
      </c>
      <c r="P26" s="1373" t="s">
        <v>964</v>
      </c>
      <c r="Q26" s="2565"/>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4"/>
      <c r="L27" s="1365" t="s">
        <v>966</v>
      </c>
      <c r="M27" s="1017">
        <v>0.25</v>
      </c>
      <c r="N27" s="1017">
        <v>0.2</v>
      </c>
      <c r="O27" s="1017">
        <v>0.15</v>
      </c>
      <c r="P27" s="1435">
        <v>0.1</v>
      </c>
      <c r="Q27" s="2031"/>
      <c r="R27" s="2565"/>
      <c r="S27" s="2565"/>
      <c r="T27" s="2565"/>
      <c r="U27" s="2565"/>
      <c r="V27" s="2565"/>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4"/>
      <c r="L28" s="1366" t="s">
        <v>952</v>
      </c>
      <c r="M28" s="1436">
        <f>ROUND($E$20*(1+M27),3)</f>
        <v>5.3999999999999999E-2</v>
      </c>
      <c r="N28" s="1436">
        <f>ROUND($E$20*(1+N27),3)</f>
        <v>5.1999999999999998E-2</v>
      </c>
      <c r="O28" s="1436">
        <f>ROUND($E$20*(1+O27),3)</f>
        <v>0.05</v>
      </c>
      <c r="P28" s="1437">
        <f>ROUND($E$20*(1+P27),3)</f>
        <v>4.8000000000000001E-2</v>
      </c>
      <c r="Q28" s="2031"/>
      <c r="R28" s="2565"/>
      <c r="S28" s="2565"/>
      <c r="T28" s="2565"/>
      <c r="U28" s="2565"/>
      <c r="V28" s="2565"/>
      <c r="W28" s="2031"/>
      <c r="X28" s="2031"/>
      <c r="Y28" s="2031"/>
      <c r="Z28" s="2031"/>
      <c r="AA28" s="2031"/>
      <c r="AB28" s="2031"/>
      <c r="AC28" s="2031"/>
      <c r="AD28" s="1369"/>
      <c r="AE28" s="1369"/>
      <c r="AF28" s="1369"/>
      <c r="AG28" s="1369"/>
    </row>
    <row r="29" spans="1:40" ht="24">
      <c r="A29" s="1398"/>
      <c r="B29" s="1399" t="s">
        <v>972</v>
      </c>
      <c r="C29" s="1029" t="e">
        <f>ROUND(C5*C18*C19*C20*C21*C24,0)</f>
        <v>#DIV/0!</v>
      </c>
      <c r="D29" s="1400"/>
      <c r="E29" s="1719" t="e">
        <f>ROUND(C29*D29/10000,0)</f>
        <v>#DIV/0!</v>
      </c>
      <c r="F29" s="1401" t="s">
        <v>1501</v>
      </c>
      <c r="G29" s="1402"/>
      <c r="H29" s="1402"/>
      <c r="I29" s="1402"/>
      <c r="J29" s="1403"/>
      <c r="K29" s="3151"/>
      <c r="L29" s="3151"/>
      <c r="M29" s="3151"/>
      <c r="N29" s="3151"/>
      <c r="O29" s="3151"/>
      <c r="P29" s="2025"/>
      <c r="Q29" s="2031"/>
      <c r="R29" s="2031"/>
      <c r="S29" s="2031"/>
      <c r="T29" s="2031"/>
      <c r="U29" s="2031"/>
      <c r="V29" s="2031"/>
      <c r="W29" s="2565"/>
      <c r="X29" s="2565"/>
      <c r="Y29" s="2565"/>
      <c r="Z29" s="2565"/>
      <c r="AA29" s="2565"/>
      <c r="AB29" s="2031"/>
      <c r="AC29" s="2031"/>
      <c r="AD29" s="2031"/>
      <c r="AE29" s="2031"/>
      <c r="AF29" s="2031"/>
      <c r="AG29" s="2031"/>
      <c r="AH29" s="2031"/>
      <c r="AJ29" s="1308"/>
      <c r="AK29" s="1308"/>
      <c r="AL29" s="1308"/>
      <c r="AM29" s="1307"/>
      <c r="AN29" s="1307"/>
    </row>
    <row r="30" spans="1:40" ht="24.6" thickBot="1">
      <c r="A30" s="1404"/>
      <c r="B30" s="1405" t="s">
        <v>973</v>
      </c>
      <c r="C30" s="1021" t="e">
        <f>ROUND(IF(E2="工业",C29*M39,C29*M38),0)</f>
        <v>#DIV/0!</v>
      </c>
      <c r="D30" s="1406"/>
      <c r="E30" s="1719" t="e">
        <f>ROUND(C30*D30/10000,0)</f>
        <v>#DIV/0!</v>
      </c>
      <c r="F30" s="1407" t="s">
        <v>974</v>
      </c>
      <c r="G30" s="1408"/>
      <c r="H30" s="1408"/>
      <c r="I30" s="1408"/>
      <c r="J30" s="1409"/>
      <c r="K30" s="3144"/>
      <c r="L30" s="3144"/>
      <c r="M30" s="3144"/>
      <c r="N30" s="3144"/>
      <c r="O30" s="3144"/>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4"/>
      <c r="L31" s="3144"/>
      <c r="M31" s="3144"/>
      <c r="N31" s="3144"/>
      <c r="O31" s="3144"/>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36">
      <c r="A32" s="1398"/>
      <c r="B32" s="1414"/>
      <c r="C32" s="1415" t="s">
        <v>969</v>
      </c>
      <c r="D32" s="1416" t="s">
        <v>970</v>
      </c>
      <c r="E32" s="1416" t="s">
        <v>971</v>
      </c>
      <c r="F32" s="1417" t="s">
        <v>977</v>
      </c>
      <c r="G32" s="1376" t="s">
        <v>969</v>
      </c>
      <c r="H32" s="1376" t="s">
        <v>970</v>
      </c>
      <c r="I32" s="1376" t="s">
        <v>971</v>
      </c>
      <c r="J32" s="1418"/>
      <c r="K32" s="3152"/>
      <c r="L32" s="3152"/>
      <c r="M32" s="3152"/>
      <c r="N32" s="3152"/>
      <c r="O32" s="3152"/>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3.2">
      <c r="A33" s="3686"/>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686" t="s">
        <v>2724</v>
      </c>
      <c r="K33" s="2762"/>
      <c r="L33" s="2762"/>
      <c r="M33" s="2762"/>
      <c r="N33" s="2762"/>
      <c r="O33" s="2762"/>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3.2">
      <c r="A34" s="3687"/>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687"/>
      <c r="K34" s="2762"/>
      <c r="L34" s="2762"/>
      <c r="M34" s="2762"/>
      <c r="N34" s="2762"/>
      <c r="O34" s="2762"/>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3.2">
      <c r="A35" s="3687"/>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687"/>
      <c r="K35" s="2762"/>
      <c r="L35" s="2762"/>
      <c r="M35" s="2762"/>
      <c r="N35" s="2762"/>
      <c r="O35" s="2762"/>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8" thickBot="1">
      <c r="A36" s="3688"/>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688"/>
      <c r="K36" s="2762"/>
      <c r="L36" s="2762"/>
      <c r="M36" s="2762"/>
      <c r="N36" s="2762"/>
      <c r="O36" s="2762"/>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3.2">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5"/>
      <c r="L37" s="1439" t="s">
        <v>1503</v>
      </c>
      <c r="M37" s="1440"/>
      <c r="N37" s="2025"/>
      <c r="O37" s="2025"/>
      <c r="P37" s="2025"/>
      <c r="Q37" s="2025"/>
      <c r="R37" s="2026"/>
      <c r="S37" s="2026"/>
      <c r="T37" s="2026"/>
      <c r="U37" s="2026"/>
      <c r="V37" s="2026"/>
      <c r="W37" s="2025"/>
      <c r="X37" s="2025"/>
      <c r="Y37" s="2025"/>
      <c r="Z37" s="2025"/>
      <c r="AA37" s="2025"/>
      <c r="AB37" s="2025"/>
      <c r="AC37" s="2026"/>
    </row>
    <row r="38" spans="1:44" ht="13.2">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5"/>
      <c r="L38" s="1441" t="s">
        <v>1505</v>
      </c>
      <c r="M38" s="1442">
        <v>0.25</v>
      </c>
      <c r="N38" s="2025"/>
      <c r="O38" s="2025"/>
      <c r="P38" s="2025"/>
      <c r="Q38" s="2025"/>
      <c r="R38" s="2026"/>
      <c r="S38" s="2026"/>
      <c r="T38" s="2026"/>
      <c r="U38" s="2026"/>
      <c r="V38" s="2026"/>
      <c r="W38" s="2025"/>
      <c r="X38" s="2025"/>
      <c r="Y38" s="2025"/>
      <c r="Z38" s="2025"/>
      <c r="AA38" s="2025"/>
      <c r="AB38" s="2025"/>
      <c r="AC38" s="2026"/>
    </row>
    <row r="39" spans="1:44" ht="13.8"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5"/>
      <c r="L39" s="1443" t="s">
        <v>1504</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24">
      <c r="A41" s="1308"/>
      <c r="B41" s="2752" t="s">
        <v>2682</v>
      </c>
      <c r="C41" s="811" t="e">
        <f>ROUND(POWER(1+E41,H41-G41)*(POWER(1+E41,G41)-1)/(POWER(1+E41,H41)-1),4)</f>
        <v>#DIV/0!</v>
      </c>
      <c r="D41" s="372" t="s">
        <v>2680</v>
      </c>
      <c r="E41" s="2751">
        <f>G20</f>
        <v>0</v>
      </c>
      <c r="F41" s="372" t="s">
        <v>2681</v>
      </c>
      <c r="G41" s="390"/>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985</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4.4">
      <c r="A45" s="2234" t="s">
        <v>986</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c r="A46" s="1033" t="s">
        <v>987</v>
      </c>
      <c r="B46" s="2218" t="s">
        <v>988</v>
      </c>
      <c r="C46" s="2240" t="s">
        <v>989</v>
      </c>
      <c r="D46" s="2241" t="s">
        <v>990</v>
      </c>
      <c r="E46" s="2242" t="s">
        <v>992</v>
      </c>
      <c r="F46" s="2243" t="s">
        <v>2042</v>
      </c>
      <c r="G46" s="2241" t="s">
        <v>993</v>
      </c>
      <c r="H46" s="2224" t="s">
        <v>2205</v>
      </c>
      <c r="I46" s="2241" t="s">
        <v>991</v>
      </c>
      <c r="J46" s="2244" t="s">
        <v>994</v>
      </c>
      <c r="K46" s="2244" t="s">
        <v>995</v>
      </c>
      <c r="L46" s="2244" t="s">
        <v>996</v>
      </c>
      <c r="M46" s="2244" t="s">
        <v>997</v>
      </c>
      <c r="N46" s="2244" t="s">
        <v>998</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c r="A47" s="1033" t="s">
        <v>999</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c r="A48" s="1033" t="s">
        <v>1000</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c r="A49" s="1033" t="s">
        <v>1001</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48">
      <c r="A50" s="1033" t="s">
        <v>1002</v>
      </c>
      <c r="B50" s="2704" t="s">
        <v>2639</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c r="A51" s="1033" t="s">
        <v>1003</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36">
      <c r="A52" s="1033" t="s">
        <v>1004</v>
      </c>
      <c r="B52" s="2703" t="s">
        <v>2638</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c r="A53" s="2250" t="s">
        <v>1005</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c r="A54" s="2250" t="s">
        <v>1006</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36.6" thickBot="1">
      <c r="A55" s="2251" t="s">
        <v>1007</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4.4">
      <c r="A56" s="2234" t="s">
        <v>1008</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c r="A57" s="1033" t="s">
        <v>987</v>
      </c>
      <c r="B57" s="2218"/>
      <c r="C57" s="2240" t="s">
        <v>989</v>
      </c>
      <c r="D57" s="2241" t="s">
        <v>990</v>
      </c>
      <c r="E57" s="2242" t="s">
        <v>992</v>
      </c>
      <c r="F57" s="2243" t="s">
        <v>2043</v>
      </c>
      <c r="G57" s="2241" t="s">
        <v>993</v>
      </c>
      <c r="H57" s="2224" t="s">
        <v>2205</v>
      </c>
      <c r="I57" s="2241" t="s">
        <v>991</v>
      </c>
      <c r="J57" s="2244" t="s">
        <v>994</v>
      </c>
      <c r="K57" s="2244" t="s">
        <v>995</v>
      </c>
      <c r="L57" s="2244" t="s">
        <v>996</v>
      </c>
      <c r="M57" s="2244" t="s">
        <v>997</v>
      </c>
      <c r="N57" s="2244" t="s">
        <v>998</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48">
      <c r="A58" s="1033" t="s">
        <v>1009</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c r="A59" s="1033" t="s">
        <v>1000</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c r="A60" s="1033" t="s">
        <v>1001</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48">
      <c r="A61" s="1033" t="s">
        <v>1002</v>
      </c>
      <c r="B61" s="2704" t="s">
        <v>2640</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c r="A62" s="1033" t="s">
        <v>1003</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36">
      <c r="A63" s="1033" t="s">
        <v>1004</v>
      </c>
      <c r="B63" s="2703" t="s">
        <v>2638</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c r="A64" s="1033" t="s">
        <v>1005</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c r="A65" s="1033" t="s">
        <v>1006</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36.6" thickBot="1">
      <c r="A66" s="2251" t="s">
        <v>1007</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4.4">
      <c r="A67" s="2234" t="s">
        <v>1010</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c r="A68" s="1033" t="s">
        <v>987</v>
      </c>
      <c r="B68" s="2218"/>
      <c r="C68" s="2240" t="s">
        <v>989</v>
      </c>
      <c r="D68" s="2241" t="s">
        <v>990</v>
      </c>
      <c r="E68" s="2242" t="s">
        <v>992</v>
      </c>
      <c r="F68" s="2243" t="s">
        <v>2044</v>
      </c>
      <c r="G68" s="2241" t="s">
        <v>993</v>
      </c>
      <c r="H68" s="2224" t="s">
        <v>2205</v>
      </c>
      <c r="I68" s="2241" t="s">
        <v>991</v>
      </c>
      <c r="J68" s="2244" t="s">
        <v>994</v>
      </c>
      <c r="K68" s="2244" t="s">
        <v>995</v>
      </c>
      <c r="L68" s="2244" t="s">
        <v>996</v>
      </c>
      <c r="M68" s="2244" t="s">
        <v>997</v>
      </c>
      <c r="N68" s="2244" t="s">
        <v>998</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60">
      <c r="A69" s="1033" t="s">
        <v>1011</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c r="A70" s="1033" t="s">
        <v>1012</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c r="A71" s="1033" t="s">
        <v>1001</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3.8">
      <c r="A72" s="1033" t="s">
        <v>1013</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c r="A73" s="1033" t="s">
        <v>1005</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c r="A74" s="1033" t="s">
        <v>1006</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36">
      <c r="A75" s="1033" t="s">
        <v>1004</v>
      </c>
      <c r="B75" s="2703" t="s">
        <v>2638</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36">
      <c r="A76" s="1033" t="s">
        <v>1007</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36.6" thickBot="1">
      <c r="A77" s="2251" t="s">
        <v>1014</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4.4">
      <c r="A78" s="2234" t="s">
        <v>1015</v>
      </c>
      <c r="B78" s="2235">
        <f>1+E80</f>
        <v>1</v>
      </c>
      <c r="C78" s="2254"/>
      <c r="D78" s="2237"/>
      <c r="E78" s="2238"/>
      <c r="F78" s="2239"/>
      <c r="G78" s="2233"/>
      <c r="H78" s="2233"/>
      <c r="I78" s="2233"/>
      <c r="J78" s="1032"/>
      <c r="K78" s="1032"/>
      <c r="L78" s="1032"/>
      <c r="M78" s="1032"/>
      <c r="N78" s="1032"/>
      <c r="AC78" s="1310"/>
      <c r="AD78" s="1309"/>
      <c r="AJ78" s="1308"/>
      <c r="AN78" s="1309"/>
    </row>
    <row r="79" spans="1:40" ht="24">
      <c r="A79" s="1033" t="s">
        <v>987</v>
      </c>
      <c r="B79" s="2218"/>
      <c r="C79" s="2240" t="s">
        <v>989</v>
      </c>
      <c r="D79" s="2241" t="s">
        <v>990</v>
      </c>
      <c r="E79" s="2242" t="s">
        <v>992</v>
      </c>
      <c r="F79" s="2243" t="s">
        <v>2045</v>
      </c>
      <c r="G79" s="2241" t="s">
        <v>993</v>
      </c>
      <c r="H79" s="2224" t="s">
        <v>2205</v>
      </c>
      <c r="I79" s="2241" t="s">
        <v>991</v>
      </c>
      <c r="J79" s="2244" t="s">
        <v>994</v>
      </c>
      <c r="K79" s="2244" t="s">
        <v>995</v>
      </c>
      <c r="L79" s="2244" t="s">
        <v>996</v>
      </c>
      <c r="M79" s="2244" t="s">
        <v>997</v>
      </c>
      <c r="N79" s="2244" t="s">
        <v>998</v>
      </c>
      <c r="AC79" s="1310"/>
      <c r="AD79" s="1309"/>
      <c r="AJ79" s="1308"/>
      <c r="AN79" s="1309"/>
    </row>
    <row r="80" spans="1:40" ht="36">
      <c r="A80" s="1033" t="s">
        <v>1016</v>
      </c>
      <c r="B80" s="2218" t="str">
        <f>估价对象房地状况!G15</f>
        <v>估价对象位于XX开发区，园区建设成熟度XX，产业集聚程度XX</v>
      </c>
      <c r="C80" s="1020"/>
      <c r="D80" s="2227">
        <f t="shared" ref="D80:D87" si="25">SUMIF($J$79:$N$79,C80,J80:N80)</f>
        <v>0</v>
      </c>
      <c r="E80" s="2246">
        <f>ROUND(SUM(D80:D87),4)</f>
        <v>0</v>
      </c>
      <c r="F80" s="2247" t="str">
        <f>IF(E2="工业",SUMIF(L1:L12,G2,N1:N12),"——")</f>
        <v>——</v>
      </c>
      <c r="G80" s="2225"/>
      <c r="H80" s="2270" t="str">
        <f t="shared" ref="H80:H87" si="26">IFERROR(ROUNDDOWN($F$80*I80/2,4),"——")</f>
        <v>——</v>
      </c>
      <c r="I80" s="2245">
        <v>0.26</v>
      </c>
      <c r="J80" s="2248">
        <f t="shared" ref="J80:J87" si="27">K80+$G80</f>
        <v>0</v>
      </c>
      <c r="K80" s="2248">
        <f t="shared" ref="K80:K87" si="28">$L80+$G80</f>
        <v>0</v>
      </c>
      <c r="L80" s="2248">
        <v>0</v>
      </c>
      <c r="M80" s="2248">
        <f t="shared" ref="M80:N87" si="29">L80-$G80</f>
        <v>0</v>
      </c>
      <c r="N80" s="2248">
        <f t="shared" si="29"/>
        <v>0</v>
      </c>
      <c r="AC80" s="1310"/>
      <c r="AD80" s="1309"/>
      <c r="AJ80" s="1308"/>
      <c r="AN80" s="1309"/>
    </row>
    <row r="81" spans="1:40" ht="48">
      <c r="A81" s="1033" t="s">
        <v>1012</v>
      </c>
      <c r="B81" s="2218" t="str">
        <f>估价对象房地状况!G16</f>
        <v>估价对象周边道路状况、公共交通通达情况、停车便捷程度，综合评价交通便捷度较好</v>
      </c>
      <c r="C81" s="1020"/>
      <c r="D81" s="2227">
        <f t="shared" si="25"/>
        <v>0</v>
      </c>
      <c r="E81" s="2255"/>
      <c r="F81" s="2256"/>
      <c r="G81" s="2225"/>
      <c r="H81" s="2270" t="str">
        <f t="shared" si="26"/>
        <v>——</v>
      </c>
      <c r="I81" s="2245">
        <v>0.33</v>
      </c>
      <c r="J81" s="2248">
        <f t="shared" si="27"/>
        <v>0</v>
      </c>
      <c r="K81" s="2248">
        <f t="shared" si="28"/>
        <v>0</v>
      </c>
      <c r="L81" s="2248">
        <v>0</v>
      </c>
      <c r="M81" s="2248">
        <f t="shared" si="29"/>
        <v>0</v>
      </c>
      <c r="N81" s="2248">
        <f t="shared" si="29"/>
        <v>0</v>
      </c>
      <c r="AC81" s="1310"/>
      <c r="AD81" s="1309"/>
      <c r="AJ81" s="1308"/>
      <c r="AN81" s="1309"/>
    </row>
    <row r="82" spans="1:40" ht="24">
      <c r="A82" s="1033" t="s">
        <v>1001</v>
      </c>
      <c r="B82" s="2218">
        <f>估价对象房地状况!G17</f>
        <v>0</v>
      </c>
      <c r="C82" s="1020"/>
      <c r="D82" s="2227">
        <f t="shared" si="25"/>
        <v>0</v>
      </c>
      <c r="E82" s="2255"/>
      <c r="F82" s="2256"/>
      <c r="G82" s="2225"/>
      <c r="H82" s="2270" t="str">
        <f t="shared" si="26"/>
        <v>——</v>
      </c>
      <c r="I82" s="2245">
        <v>0.05</v>
      </c>
      <c r="J82" s="2248">
        <f t="shared" si="27"/>
        <v>0</v>
      </c>
      <c r="K82" s="2248">
        <f t="shared" si="28"/>
        <v>0</v>
      </c>
      <c r="L82" s="2248">
        <v>0</v>
      </c>
      <c r="M82" s="2248">
        <f t="shared" si="29"/>
        <v>0</v>
      </c>
      <c r="N82" s="2248">
        <f t="shared" si="29"/>
        <v>0</v>
      </c>
      <c r="AC82" s="1310"/>
      <c r="AD82" s="1309"/>
      <c r="AJ82" s="1308"/>
      <c r="AN82" s="1309"/>
    </row>
    <row r="83" spans="1:40" ht="13.8">
      <c r="A83" s="1033" t="s">
        <v>1013</v>
      </c>
      <c r="B83" s="2218">
        <f>估价对象房地状况!G22</f>
        <v>0</v>
      </c>
      <c r="C83" s="1020"/>
      <c r="D83" s="2227">
        <f t="shared" si="25"/>
        <v>0</v>
      </c>
      <c r="E83" s="2255"/>
      <c r="F83" s="2256"/>
      <c r="G83" s="2225"/>
      <c r="H83" s="2270" t="str">
        <f t="shared" si="26"/>
        <v>——</v>
      </c>
      <c r="I83" s="2245">
        <v>0.04</v>
      </c>
      <c r="J83" s="2248">
        <f t="shared" si="27"/>
        <v>0</v>
      </c>
      <c r="K83" s="2248">
        <f t="shared" si="28"/>
        <v>0</v>
      </c>
      <c r="L83" s="2248">
        <v>0</v>
      </c>
      <c r="M83" s="2248">
        <f t="shared" si="29"/>
        <v>0</v>
      </c>
      <c r="N83" s="2248">
        <f t="shared" si="29"/>
        <v>0</v>
      </c>
      <c r="AC83" s="1310"/>
      <c r="AD83" s="1309"/>
      <c r="AJ83" s="1308"/>
      <c r="AN83" s="1309"/>
    </row>
    <row r="84" spans="1:40" ht="24">
      <c r="A84" s="1033" t="s">
        <v>1005</v>
      </c>
      <c r="B84" s="2219" t="str">
        <f>估价对象房地状况!G19</f>
        <v>估价对象所在区域公共配套设施齐备情况</v>
      </c>
      <c r="C84" s="1020"/>
      <c r="D84" s="2227">
        <f t="shared" si="25"/>
        <v>0</v>
      </c>
      <c r="E84" s="2255"/>
      <c r="F84" s="2256"/>
      <c r="G84" s="2225"/>
      <c r="H84" s="2270" t="str">
        <f t="shared" si="26"/>
        <v>——</v>
      </c>
      <c r="I84" s="2245">
        <v>0.06</v>
      </c>
      <c r="J84" s="2248">
        <f t="shared" si="27"/>
        <v>0</v>
      </c>
      <c r="K84" s="2248">
        <f t="shared" si="28"/>
        <v>0</v>
      </c>
      <c r="L84" s="2248">
        <v>0</v>
      </c>
      <c r="M84" s="2248">
        <f t="shared" si="29"/>
        <v>0</v>
      </c>
      <c r="N84" s="2248">
        <f t="shared" si="29"/>
        <v>0</v>
      </c>
      <c r="AC84" s="1310"/>
      <c r="AD84" s="1309"/>
      <c r="AJ84" s="1308"/>
      <c r="AN84" s="1309"/>
    </row>
    <row r="85" spans="1:40" ht="24">
      <c r="A85" s="1033" t="s">
        <v>1006</v>
      </c>
      <c r="B85" s="2219" t="str">
        <f>估价对象房地状况!G20</f>
        <v>估价对象所在区域基础设施水平</v>
      </c>
      <c r="C85" s="1020"/>
      <c r="D85" s="2227">
        <f t="shared" si="25"/>
        <v>0</v>
      </c>
      <c r="E85" s="2255"/>
      <c r="F85" s="2256"/>
      <c r="G85" s="2225"/>
      <c r="H85" s="2270" t="str">
        <f t="shared" si="26"/>
        <v>——</v>
      </c>
      <c r="I85" s="2245">
        <v>0.15</v>
      </c>
      <c r="J85" s="2248">
        <f t="shared" si="27"/>
        <v>0</v>
      </c>
      <c r="K85" s="2248">
        <f t="shared" si="28"/>
        <v>0</v>
      </c>
      <c r="L85" s="2248">
        <v>0</v>
      </c>
      <c r="M85" s="2248">
        <f t="shared" si="29"/>
        <v>0</v>
      </c>
      <c r="N85" s="2248">
        <f t="shared" si="29"/>
        <v>0</v>
      </c>
      <c r="AC85" s="1310"/>
      <c r="AD85" s="1309"/>
      <c r="AJ85" s="1308"/>
      <c r="AN85" s="1309"/>
    </row>
    <row r="86" spans="1:40" ht="36">
      <c r="A86" s="1033" t="s">
        <v>1004</v>
      </c>
      <c r="B86" s="2703" t="s">
        <v>2638</v>
      </c>
      <c r="C86" s="1020"/>
      <c r="D86" s="2227">
        <f t="shared" si="25"/>
        <v>0</v>
      </c>
      <c r="E86" s="2255"/>
      <c r="F86" s="2256"/>
      <c r="G86" s="2225"/>
      <c r="H86" s="2270" t="str">
        <f t="shared" si="26"/>
        <v>——</v>
      </c>
      <c r="I86" s="2245">
        <v>0.05</v>
      </c>
      <c r="J86" s="2248">
        <f t="shared" si="27"/>
        <v>0</v>
      </c>
      <c r="K86" s="2248">
        <f t="shared" si="28"/>
        <v>0</v>
      </c>
      <c r="L86" s="2248">
        <v>0</v>
      </c>
      <c r="M86" s="2248">
        <f t="shared" si="29"/>
        <v>0</v>
      </c>
      <c r="N86" s="2248">
        <f t="shared" si="29"/>
        <v>0</v>
      </c>
      <c r="AC86" s="1310"/>
      <c r="AD86" s="1309"/>
      <c r="AJ86" s="1308"/>
      <c r="AN86" s="1309"/>
    </row>
    <row r="87" spans="1:40" ht="48.6" thickBot="1">
      <c r="A87" s="2251" t="s">
        <v>1017</v>
      </c>
      <c r="B87" s="2220" t="str">
        <f>估价对象房地状况!G18</f>
        <v>该园区内是否有污染型企业，绿化情况，卫生条件，整体环境状况判断</v>
      </c>
      <c r="C87" s="1020"/>
      <c r="D87" s="2227">
        <f t="shared" si="25"/>
        <v>0</v>
      </c>
      <c r="E87" s="2257"/>
      <c r="F87" s="2256"/>
      <c r="G87" s="2225"/>
      <c r="H87" s="2270" t="str">
        <f t="shared" si="26"/>
        <v>——</v>
      </c>
      <c r="I87" s="2252">
        <v>0.06</v>
      </c>
      <c r="J87" s="2248">
        <f t="shared" si="27"/>
        <v>0</v>
      </c>
      <c r="K87" s="2248">
        <f t="shared" si="28"/>
        <v>0</v>
      </c>
      <c r="L87" s="2248">
        <v>0</v>
      </c>
      <c r="M87" s="2248">
        <f t="shared" si="29"/>
        <v>0</v>
      </c>
      <c r="N87" s="2248">
        <f t="shared" si="29"/>
        <v>0</v>
      </c>
      <c r="AC87" s="1310"/>
      <c r="AD87" s="1309"/>
      <c r="AJ87" s="1308"/>
      <c r="AN87" s="1309"/>
    </row>
    <row r="90" spans="1:40">
      <c r="A90" s="3695" t="s">
        <v>1434</v>
      </c>
      <c r="B90" s="3695"/>
      <c r="C90" s="3695"/>
      <c r="D90" s="3695"/>
      <c r="E90" s="3695"/>
      <c r="F90" s="3695"/>
      <c r="G90" s="3695"/>
      <c r="H90" s="3695"/>
      <c r="I90" s="3695"/>
      <c r="J90" s="3695"/>
      <c r="K90" s="2260"/>
      <c r="L90" s="2260"/>
      <c r="M90" s="2260"/>
      <c r="N90" s="2260"/>
    </row>
    <row r="91" spans="1:40">
      <c r="A91" s="3696" t="s">
        <v>1422</v>
      </c>
      <c r="B91" s="3696" t="s">
        <v>1435</v>
      </c>
      <c r="C91" s="1087" t="s">
        <v>1436</v>
      </c>
      <c r="D91" s="1088"/>
      <c r="E91" s="1088"/>
      <c r="F91" s="1088"/>
      <c r="G91" s="1088"/>
      <c r="H91" s="1088"/>
      <c r="I91" s="1088"/>
      <c r="J91" s="1089"/>
      <c r="K91" s="1081"/>
      <c r="L91" s="1081"/>
      <c r="M91" s="1081"/>
      <c r="N91" s="1081"/>
    </row>
    <row r="92" spans="1:40">
      <c r="A92" s="3696"/>
      <c r="B92" s="3696"/>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679"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680"/>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680"/>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680"/>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680"/>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680"/>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680"/>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681"/>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679" t="s">
        <v>1438</v>
      </c>
      <c r="B101" s="1094" t="s">
        <v>885</v>
      </c>
      <c r="C101" s="1095">
        <f>$G$3</f>
        <v>4</v>
      </c>
      <c r="D101" s="1095">
        <f t="shared" ref="D101:N101" si="31">$G$3</f>
        <v>4</v>
      </c>
      <c r="E101" s="1095">
        <f t="shared" si="31"/>
        <v>4</v>
      </c>
      <c r="F101" s="1095">
        <f t="shared" si="31"/>
        <v>4</v>
      </c>
      <c r="G101" s="1095">
        <f t="shared" si="31"/>
        <v>4</v>
      </c>
      <c r="H101" s="1095">
        <f t="shared" si="31"/>
        <v>4</v>
      </c>
      <c r="I101" s="1095">
        <f t="shared" si="31"/>
        <v>4</v>
      </c>
      <c r="J101" s="1095">
        <f t="shared" si="31"/>
        <v>4</v>
      </c>
      <c r="K101" s="1095">
        <f t="shared" si="31"/>
        <v>4</v>
      </c>
      <c r="L101" s="1095">
        <f t="shared" si="31"/>
        <v>4</v>
      </c>
      <c r="M101" s="1095">
        <f t="shared" si="31"/>
        <v>4</v>
      </c>
      <c r="N101" s="1095">
        <f t="shared" si="31"/>
        <v>4</v>
      </c>
    </row>
    <row r="102" spans="1:14">
      <c r="A102" s="3680"/>
      <c r="B102" s="1090">
        <v>1</v>
      </c>
      <c r="C102" s="1091">
        <f>1.9362/C101</f>
        <v>0.48404999999999998</v>
      </c>
      <c r="D102" s="1091">
        <f>1.9362/D101</f>
        <v>0.48404999999999998</v>
      </c>
      <c r="E102" s="1091">
        <f>1.8629/E101</f>
        <v>0.465725</v>
      </c>
      <c r="F102" s="1091">
        <f>1.8629/F101</f>
        <v>0.465725</v>
      </c>
      <c r="G102" s="1091">
        <f>1.8629/G101</f>
        <v>0.465725</v>
      </c>
      <c r="H102" s="1091">
        <f>1.8629/H101</f>
        <v>0.465725</v>
      </c>
      <c r="I102" s="1091">
        <f>1.8629/I101</f>
        <v>0.465725</v>
      </c>
      <c r="J102" s="1091">
        <f>1.942/J101</f>
        <v>0.48549999999999999</v>
      </c>
      <c r="K102" s="1091">
        <f>1.942/K101</f>
        <v>0.48549999999999999</v>
      </c>
      <c r="L102" s="1091">
        <f>1.942/L101</f>
        <v>0.48549999999999999</v>
      </c>
      <c r="M102" s="1091">
        <f>1.942/M101</f>
        <v>0.48549999999999999</v>
      </c>
      <c r="N102" s="1091">
        <f>1.942/N101</f>
        <v>0.48549999999999999</v>
      </c>
    </row>
    <row r="103" spans="1:14">
      <c r="A103" s="3680"/>
      <c r="B103" s="1090">
        <v>2</v>
      </c>
      <c r="C103" s="1091">
        <f>1.4198/C101</f>
        <v>0.35494999999999999</v>
      </c>
      <c r="D103" s="1091">
        <f>1.4198/D101</f>
        <v>0.35494999999999999</v>
      </c>
      <c r="E103" s="1091">
        <f>1.3372/E101</f>
        <v>0.33429999999999999</v>
      </c>
      <c r="F103" s="1091">
        <f>1.3372/F101</f>
        <v>0.33429999999999999</v>
      </c>
      <c r="G103" s="1091">
        <f>1.3372/G101</f>
        <v>0.33429999999999999</v>
      </c>
      <c r="H103" s="1091">
        <f>1.3372/H101</f>
        <v>0.33429999999999999</v>
      </c>
      <c r="I103" s="1091">
        <f>1.3372/I101</f>
        <v>0.33429999999999999</v>
      </c>
      <c r="J103" s="1091">
        <f>1.2799/J101</f>
        <v>0.31997500000000001</v>
      </c>
      <c r="K103" s="1091">
        <f>1.2799/K101</f>
        <v>0.31997500000000001</v>
      </c>
      <c r="L103" s="1091">
        <f>1.2799/L101</f>
        <v>0.31997500000000001</v>
      </c>
      <c r="M103" s="1091">
        <f>1.2799/M101</f>
        <v>0.31997500000000001</v>
      </c>
      <c r="N103" s="1091">
        <f>1.2799/N101</f>
        <v>0.31997500000000001</v>
      </c>
    </row>
    <row r="104" spans="1:14">
      <c r="A104" s="3680"/>
      <c r="B104" s="1090">
        <v>3</v>
      </c>
      <c r="C104" s="1091">
        <f>1.1594/C101</f>
        <v>0.28985</v>
      </c>
      <c r="D104" s="1091">
        <f>1.1594/D101</f>
        <v>0.28985</v>
      </c>
      <c r="E104" s="1091">
        <f>1.0788/E101</f>
        <v>0.2697</v>
      </c>
      <c r="F104" s="1091">
        <f>1.0788/F101</f>
        <v>0.2697</v>
      </c>
      <c r="G104" s="1091">
        <f>1.0788/G101</f>
        <v>0.2697</v>
      </c>
      <c r="H104" s="1091">
        <f>1.0788/H101</f>
        <v>0.2697</v>
      </c>
      <c r="I104" s="1091">
        <f>1.0788/I101</f>
        <v>0.2697</v>
      </c>
      <c r="J104" s="1091">
        <f>1.0072/J101</f>
        <v>0.25180000000000002</v>
      </c>
      <c r="K104" s="1091">
        <f>1.0072/K101</f>
        <v>0.25180000000000002</v>
      </c>
      <c r="L104" s="1091">
        <f>1.0072/L101</f>
        <v>0.25180000000000002</v>
      </c>
      <c r="M104" s="1091">
        <f>1.0072/M101</f>
        <v>0.25180000000000002</v>
      </c>
      <c r="N104" s="1091">
        <f>1.0072/N101</f>
        <v>0.25180000000000002</v>
      </c>
    </row>
    <row r="105" spans="1:14">
      <c r="A105" s="3680"/>
      <c r="B105" s="1090">
        <v>4</v>
      </c>
      <c r="C105" s="1091">
        <f>0.9622/C101</f>
        <v>0.24055000000000001</v>
      </c>
      <c r="D105" s="1091">
        <f>0.9622/D101</f>
        <v>0.24055000000000001</v>
      </c>
      <c r="E105" s="1091">
        <f>0.8656/E101</f>
        <v>0.21640000000000001</v>
      </c>
      <c r="F105" s="1091">
        <f>0.8656/F101</f>
        <v>0.21640000000000001</v>
      </c>
      <c r="G105" s="1091">
        <f>0.8656/G101</f>
        <v>0.21640000000000001</v>
      </c>
      <c r="H105" s="1091">
        <f>0.8656/H101</f>
        <v>0.21640000000000001</v>
      </c>
      <c r="I105" s="1091">
        <f>0.8656/I101</f>
        <v>0.21640000000000001</v>
      </c>
      <c r="J105" s="1091">
        <f>0.7525/J101</f>
        <v>0.18812499999999999</v>
      </c>
      <c r="K105" s="1091">
        <f>0.7525/K101</f>
        <v>0.18812499999999999</v>
      </c>
      <c r="L105" s="1091">
        <f>0.7525/L101</f>
        <v>0.18812499999999999</v>
      </c>
      <c r="M105" s="1091">
        <f>0.7525/M101</f>
        <v>0.18812499999999999</v>
      </c>
      <c r="N105" s="1091">
        <f>0.7525/N101</f>
        <v>0.18812499999999999</v>
      </c>
    </row>
    <row r="106" spans="1:14">
      <c r="A106" s="3680"/>
      <c r="B106" s="1090">
        <v>5</v>
      </c>
      <c r="C106" s="1091">
        <f>0.8417/C101</f>
        <v>0.210425</v>
      </c>
      <c r="D106" s="1091">
        <f>0.8417/D101</f>
        <v>0.210425</v>
      </c>
      <c r="E106" s="1091">
        <f>0.7371/E101</f>
        <v>0.18427499999999999</v>
      </c>
      <c r="F106" s="1091">
        <f>0.7371/F101</f>
        <v>0.18427499999999999</v>
      </c>
      <c r="G106" s="1091">
        <f>0.7371/G101</f>
        <v>0.18427499999999999</v>
      </c>
      <c r="H106" s="1091">
        <f>0.7371/H101</f>
        <v>0.18427499999999999</v>
      </c>
      <c r="I106" s="1091">
        <f>0.7371/I101</f>
        <v>0.18427499999999999</v>
      </c>
      <c r="J106" s="1091">
        <f>0.5659/J101</f>
        <v>0.14147499999999999</v>
      </c>
      <c r="K106" s="1091">
        <f>0.5659/K101</f>
        <v>0.14147499999999999</v>
      </c>
      <c r="L106" s="1091">
        <f>0.5659/L101</f>
        <v>0.14147499999999999</v>
      </c>
      <c r="M106" s="1091">
        <f>0.5659/M101</f>
        <v>0.14147499999999999</v>
      </c>
      <c r="N106" s="1091">
        <f>0.5659/N101</f>
        <v>0.14147499999999999</v>
      </c>
    </row>
    <row r="107" spans="1:14">
      <c r="A107" s="3680"/>
      <c r="B107" s="1090">
        <v>6</v>
      </c>
      <c r="C107" s="1091">
        <f>0.7608/C101</f>
        <v>0.19020000000000001</v>
      </c>
      <c r="D107" s="1091">
        <f>0.7608/D101</f>
        <v>0.19020000000000001</v>
      </c>
      <c r="E107" s="1091">
        <f>0.6482/E101</f>
        <v>0.16205</v>
      </c>
      <c r="F107" s="1091">
        <f>0.6482/F101</f>
        <v>0.16205</v>
      </c>
      <c r="G107" s="1091">
        <f>0.6482/G101</f>
        <v>0.16205</v>
      </c>
      <c r="H107" s="1091">
        <f>0.6482/H101</f>
        <v>0.16205</v>
      </c>
      <c r="I107" s="1091">
        <f>0.6482/I101</f>
        <v>0.16205</v>
      </c>
      <c r="J107" s="1091">
        <f>0.4525/J101</f>
        <v>0.113125</v>
      </c>
      <c r="K107" s="1091">
        <f>0.4525/K101</f>
        <v>0.113125</v>
      </c>
      <c r="L107" s="1091">
        <f>0.4525/L101</f>
        <v>0.113125</v>
      </c>
      <c r="M107" s="1091">
        <f>0.4525/M101</f>
        <v>0.113125</v>
      </c>
      <c r="N107" s="1091">
        <f>0.4525/N101</f>
        <v>0.113125</v>
      </c>
    </row>
    <row r="108" spans="1:14">
      <c r="A108" s="3680"/>
      <c r="B108" s="3682"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681"/>
      <c r="B109" s="3683"/>
      <c r="C109" s="1093">
        <f>(-0.163*(C108^2)-0.59*C108+7617)*(10^(-4))/C101</f>
        <v>0.1900462</v>
      </c>
      <c r="D109" s="1093">
        <f>(-0.163*(D108^2)-0.59*D108+7617)*(10^(-4))/D101</f>
        <v>0.1900462</v>
      </c>
      <c r="E109" s="1093">
        <f>(-0.161*(E108^2)-7.509*E108+6533)*(10^(-4))/E101</f>
        <v>0.1615656</v>
      </c>
      <c r="F109" s="1093">
        <f>(-0.161*(F108^2)-7.509*F108+6533)*(10^(-4))/F101</f>
        <v>0.1615656</v>
      </c>
      <c r="G109" s="1093">
        <f>(-0.161*(G108^2)-7.509*G108+6533)*(10^(-4))/G101</f>
        <v>0.1615656</v>
      </c>
      <c r="H109" s="1093">
        <f>(-0.161*(H108^2)-7.509*H108+6533)*(10^(-4))/H101</f>
        <v>0.1615656</v>
      </c>
      <c r="I109" s="1093">
        <f>(-0.161*(I108^2)-7.509*I108+6533)*(10^(-4))/I101</f>
        <v>0.1615656</v>
      </c>
      <c r="J109" s="1093">
        <f>(-0.214*(J108^2)-21.991*J108+4665)*(10^(-4))/J101</f>
        <v>0.11188440000000001</v>
      </c>
      <c r="K109" s="1093">
        <f>(-0.214*(K108^2)-21.991*K108+4665)*(10^(-4))/K101</f>
        <v>0.11188440000000001</v>
      </c>
      <c r="L109" s="1093">
        <f>(-0.214*(L108^2)-21.991*L108+4665)*(10^(-4))/L101</f>
        <v>0.11188440000000001</v>
      </c>
      <c r="M109" s="1093">
        <f>(-0.214*(M108^2)-21.991*M108+4665)*(10^(-4))/M101</f>
        <v>0.11188440000000001</v>
      </c>
      <c r="N109" s="1093">
        <f>(-0.214*(N108^2)-21.991*N108+4665)*(10^(-4))/N101</f>
        <v>0.11188440000000001</v>
      </c>
    </row>
    <row r="110" spans="1:14">
      <c r="A110" s="3689" t="s">
        <v>1440</v>
      </c>
      <c r="B110" s="3689"/>
      <c r="C110" s="3689"/>
      <c r="D110" s="3689"/>
      <c r="E110" s="3689"/>
      <c r="F110" s="3689"/>
      <c r="G110" s="3689"/>
      <c r="H110" s="3689"/>
      <c r="I110" s="3689"/>
      <c r="J110" s="3689"/>
      <c r="K110" s="2258"/>
      <c r="L110" s="2258"/>
      <c r="M110" s="2258"/>
      <c r="N110" s="2258"/>
    </row>
    <row r="112" spans="1:14" ht="12.6" thickBot="1"/>
    <row r="113" spans="1:13" ht="25.8" thickBot="1">
      <c r="A113" s="986" t="s">
        <v>875</v>
      </c>
      <c r="B113" s="2261">
        <f>G3</f>
        <v>4</v>
      </c>
      <c r="C113" s="987" t="s">
        <v>876</v>
      </c>
      <c r="D113" s="988">
        <f>SUMPRODUCT((A115:A118=F113)*(B114:M114=H113)*B115:M118)</f>
        <v>0</v>
      </c>
      <c r="E113" s="989" t="s">
        <v>877</v>
      </c>
      <c r="F113" s="990">
        <f>E2</f>
        <v>0</v>
      </c>
      <c r="G113" s="989" t="s">
        <v>878</v>
      </c>
      <c r="H113" s="990">
        <f>G2</f>
        <v>0</v>
      </c>
      <c r="I113" s="989"/>
      <c r="J113" s="981"/>
      <c r="K113" s="981"/>
      <c r="L113" s="981"/>
      <c r="M113" s="981"/>
    </row>
    <row r="114" spans="1:13" ht="13.2">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3.2">
      <c r="A115" s="999" t="s">
        <v>879</v>
      </c>
      <c r="B115" s="1000">
        <f>ROUND(0.9335-0.0094*B113,4)</f>
        <v>0.89590000000000003</v>
      </c>
      <c r="C115" s="1000">
        <f>B115</f>
        <v>0.89590000000000003</v>
      </c>
      <c r="D115" s="1000">
        <f>ROUND(0.8331-0.0109*B113,4)</f>
        <v>0.78949999999999998</v>
      </c>
      <c r="E115" s="1000">
        <f>D115</f>
        <v>0.78949999999999998</v>
      </c>
      <c r="F115" s="1000">
        <f>E115</f>
        <v>0.78949999999999998</v>
      </c>
      <c r="G115" s="1000">
        <f>F115</f>
        <v>0.78949999999999998</v>
      </c>
      <c r="H115" s="1000">
        <f>G115</f>
        <v>0.78949999999999998</v>
      </c>
      <c r="I115" s="1000">
        <f>ROUND(0.689-0.0155*B113,4)</f>
        <v>0.627</v>
      </c>
      <c r="J115" s="1000">
        <f t="shared" ref="J115:M118" si="33">I115</f>
        <v>0.627</v>
      </c>
      <c r="K115" s="1000">
        <f t="shared" si="33"/>
        <v>0.627</v>
      </c>
      <c r="L115" s="1000">
        <f t="shared" si="33"/>
        <v>0.627</v>
      </c>
      <c r="M115" s="1001">
        <f t="shared" si="33"/>
        <v>0.627</v>
      </c>
    </row>
    <row r="116" spans="1:13" ht="13.2">
      <c r="A116" s="999" t="s">
        <v>880</v>
      </c>
      <c r="B116" s="1000">
        <f>ROUND(0.949-0.012*B113,4)</f>
        <v>0.90100000000000002</v>
      </c>
      <c r="C116" s="1000">
        <f>B116</f>
        <v>0.90100000000000002</v>
      </c>
      <c r="D116" s="1000">
        <f>ROUND(0.8567-0.013*B113,4)</f>
        <v>0.80469999999999997</v>
      </c>
      <c r="E116" s="1000">
        <f t="shared" ref="E116:H117" si="34">D116</f>
        <v>0.80469999999999997</v>
      </c>
      <c r="F116" s="1000">
        <f t="shared" si="34"/>
        <v>0.80469999999999997</v>
      </c>
      <c r="G116" s="1000">
        <f t="shared" si="34"/>
        <v>0.80469999999999997</v>
      </c>
      <c r="H116" s="1000">
        <f t="shared" si="34"/>
        <v>0.80469999999999997</v>
      </c>
      <c r="I116" s="1000">
        <f>ROUND(0.7694-0.014*B113,4)</f>
        <v>0.71340000000000003</v>
      </c>
      <c r="J116" s="1000">
        <f t="shared" si="33"/>
        <v>0.71340000000000003</v>
      </c>
      <c r="K116" s="1000">
        <f t="shared" si="33"/>
        <v>0.71340000000000003</v>
      </c>
      <c r="L116" s="1000">
        <f t="shared" si="33"/>
        <v>0.71340000000000003</v>
      </c>
      <c r="M116" s="1001">
        <f t="shared" si="33"/>
        <v>0.71340000000000003</v>
      </c>
    </row>
    <row r="117" spans="1:13" ht="13.2">
      <c r="A117" s="1002" t="s">
        <v>881</v>
      </c>
      <c r="B117" s="1000">
        <f>ROUND(0.8808-0.006*B113,4)</f>
        <v>0.85680000000000001</v>
      </c>
      <c r="C117" s="1000">
        <f>B117</f>
        <v>0.85680000000000001</v>
      </c>
      <c r="D117" s="1000">
        <f>ROUND(0.8748-0.008*B113,4)</f>
        <v>0.84279999999999999</v>
      </c>
      <c r="E117" s="1000">
        <f t="shared" si="34"/>
        <v>0.84279999999999999</v>
      </c>
      <c r="F117" s="1000">
        <f t="shared" si="34"/>
        <v>0.84279999999999999</v>
      </c>
      <c r="G117" s="1000">
        <f t="shared" si="34"/>
        <v>0.84279999999999999</v>
      </c>
      <c r="H117" s="1000">
        <f t="shared" si="34"/>
        <v>0.84279999999999999</v>
      </c>
      <c r="I117" s="1000">
        <f>ROUND(0.7412-0.0095*B113,4)</f>
        <v>0.70320000000000005</v>
      </c>
      <c r="J117" s="1000">
        <f t="shared" si="33"/>
        <v>0.70320000000000005</v>
      </c>
      <c r="K117" s="1000">
        <f t="shared" si="33"/>
        <v>0.70320000000000005</v>
      </c>
      <c r="L117" s="1000">
        <f t="shared" si="33"/>
        <v>0.70320000000000005</v>
      </c>
      <c r="M117" s="1001">
        <f t="shared" si="33"/>
        <v>0.70320000000000005</v>
      </c>
    </row>
    <row r="118" spans="1:13" ht="13.8" thickBot="1">
      <c r="A118" s="1003" t="s">
        <v>882</v>
      </c>
      <c r="B118" s="1004">
        <f>ROUND(0.7275-0.01*B113,4)</f>
        <v>0.6875</v>
      </c>
      <c r="C118" s="1004">
        <f>B118</f>
        <v>0.6875</v>
      </c>
      <c r="D118" s="1004">
        <f>ROUND(0.7043-0.012*B113,4)</f>
        <v>0.65629999999999999</v>
      </c>
      <c r="E118" s="1004">
        <f>D118</f>
        <v>0.65629999999999999</v>
      </c>
      <c r="F118" s="1004">
        <f>E118</f>
        <v>0.65629999999999999</v>
      </c>
      <c r="G118" s="1004">
        <f>ROUND(0.6299-0.0122*B113,4)</f>
        <v>0.58109999999999995</v>
      </c>
      <c r="H118" s="1004">
        <f>G118</f>
        <v>0.58109999999999995</v>
      </c>
      <c r="I118" s="1004">
        <f>ROUND(0.5667-0.0136*B113,4)</f>
        <v>0.51229999999999998</v>
      </c>
      <c r="J118" s="1004">
        <f t="shared" si="33"/>
        <v>0.51229999999999998</v>
      </c>
      <c r="K118" s="1004">
        <f t="shared" si="33"/>
        <v>0.51229999999999998</v>
      </c>
      <c r="L118" s="1004">
        <f t="shared" si="33"/>
        <v>0.51229999999999998</v>
      </c>
      <c r="M118" s="1005">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8671875" defaultRowHeight="14.4"/>
  <cols>
    <col min="1" max="1" width="13.88671875" style="1032"/>
    <col min="2" max="9" width="13.88671875" style="1071"/>
    <col min="10" max="16384" width="13.88671875" style="1032"/>
  </cols>
  <sheetData>
    <row r="1" spans="1:13" ht="1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401" t="s">
        <v>2895</v>
      </c>
      <c r="B2" s="3402">
        <v>3.5</v>
      </c>
      <c r="C2" s="3402">
        <v>3.5</v>
      </c>
      <c r="D2" s="3403">
        <v>2.5</v>
      </c>
      <c r="E2" s="3403">
        <v>2.5</v>
      </c>
      <c r="F2" s="3403">
        <v>2.5</v>
      </c>
      <c r="G2" s="3403">
        <v>2.5</v>
      </c>
      <c r="H2" s="3403">
        <v>2.5</v>
      </c>
      <c r="I2" s="3402">
        <v>2</v>
      </c>
      <c r="J2" s="3402">
        <v>2</v>
      </c>
      <c r="K2" s="3402">
        <v>2</v>
      </c>
      <c r="L2" s="3402">
        <v>2</v>
      </c>
      <c r="M2" s="3404">
        <v>2</v>
      </c>
    </row>
    <row r="3" spans="1:13">
      <c r="A3" s="3405" t="s">
        <v>2896</v>
      </c>
      <c r="B3" s="3406">
        <v>3.5</v>
      </c>
      <c r="C3" s="3406">
        <v>3.5</v>
      </c>
      <c r="D3" s="3407">
        <v>2.5</v>
      </c>
      <c r="E3" s="3407">
        <v>2.5</v>
      </c>
      <c r="F3" s="3407">
        <v>2.5</v>
      </c>
      <c r="G3" s="3407">
        <v>2.5</v>
      </c>
      <c r="H3" s="3407">
        <v>2.5</v>
      </c>
      <c r="I3" s="3406">
        <v>2</v>
      </c>
      <c r="J3" s="3406">
        <v>2</v>
      </c>
      <c r="K3" s="3406">
        <v>2</v>
      </c>
      <c r="L3" s="3406">
        <v>2</v>
      </c>
      <c r="M3" s="3408">
        <v>2</v>
      </c>
    </row>
    <row r="4" spans="1:13">
      <c r="A4" s="3405" t="s">
        <v>2897</v>
      </c>
      <c r="B4" s="3407">
        <v>2.5</v>
      </c>
      <c r="C4" s="3407">
        <v>2.5</v>
      </c>
      <c r="D4" s="3407">
        <v>2.5</v>
      </c>
      <c r="E4" s="3407">
        <v>2.5</v>
      </c>
      <c r="F4" s="3407">
        <v>2.5</v>
      </c>
      <c r="G4" s="3407">
        <v>2.5</v>
      </c>
      <c r="H4" s="3407">
        <v>2.5</v>
      </c>
      <c r="I4" s="3406">
        <v>1.5</v>
      </c>
      <c r="J4" s="3406">
        <v>1.5</v>
      </c>
      <c r="K4" s="3406">
        <v>1.5</v>
      </c>
      <c r="L4" s="3406">
        <v>1.5</v>
      </c>
      <c r="M4" s="3408">
        <v>1.5</v>
      </c>
    </row>
    <row r="5" spans="1:13">
      <c r="A5" s="3409" t="s">
        <v>2898</v>
      </c>
      <c r="B5" s="3406">
        <v>1.5</v>
      </c>
      <c r="C5" s="3406">
        <v>1.5</v>
      </c>
      <c r="D5" s="3406">
        <v>1.5</v>
      </c>
      <c r="E5" s="3406">
        <v>1.5</v>
      </c>
      <c r="F5" s="3406">
        <v>1.5</v>
      </c>
      <c r="G5" s="3406">
        <v>1.2</v>
      </c>
      <c r="H5" s="3406">
        <v>1.2</v>
      </c>
      <c r="I5" s="3406">
        <v>1</v>
      </c>
      <c r="J5" s="3406">
        <v>1</v>
      </c>
      <c r="K5" s="3406">
        <v>1</v>
      </c>
      <c r="L5" s="3406">
        <v>1</v>
      </c>
      <c r="M5" s="3408">
        <v>1</v>
      </c>
    </row>
    <row r="6" spans="1:13">
      <c r="A6" s="3410" t="s">
        <v>2899</v>
      </c>
      <c r="B6" s="3411">
        <v>2.5</v>
      </c>
      <c r="C6" s="3411">
        <v>2.5</v>
      </c>
      <c r="D6" s="3411">
        <v>2</v>
      </c>
      <c r="E6" s="3411">
        <v>2</v>
      </c>
      <c r="F6" s="3411">
        <v>2</v>
      </c>
      <c r="G6" s="3411">
        <v>2</v>
      </c>
      <c r="H6" s="3411">
        <v>2</v>
      </c>
      <c r="I6" s="3412">
        <v>1.5</v>
      </c>
      <c r="J6" s="3412">
        <v>1.5</v>
      </c>
      <c r="K6" s="3412">
        <v>1.5</v>
      </c>
      <c r="L6" s="3412">
        <v>1.5</v>
      </c>
      <c r="M6" s="3413">
        <v>1.5</v>
      </c>
    </row>
    <row r="7" spans="1:13" ht="15" thickBot="1">
      <c r="A7" s="3414" t="s">
        <v>2900</v>
      </c>
      <c r="B7" s="3415">
        <v>2.5</v>
      </c>
      <c r="C7" s="3415">
        <v>2.5</v>
      </c>
      <c r="D7" s="3415">
        <v>2</v>
      </c>
      <c r="E7" s="3415">
        <v>2</v>
      </c>
      <c r="F7" s="3415">
        <v>2</v>
      </c>
      <c r="G7" s="3415">
        <v>2</v>
      </c>
      <c r="H7" s="3415">
        <v>2</v>
      </c>
      <c r="I7" s="3416">
        <v>1.5</v>
      </c>
      <c r="J7" s="3416">
        <v>1.5</v>
      </c>
      <c r="K7" s="3416">
        <v>1.5</v>
      </c>
      <c r="L7" s="3416">
        <v>1.5</v>
      </c>
      <c r="M7" s="3417">
        <v>1.5</v>
      </c>
    </row>
    <row r="8" spans="1:13">
      <c r="A8" s="1073" t="s">
        <v>1412</v>
      </c>
      <c r="B8" s="3418">
        <v>80</v>
      </c>
      <c r="C8" s="3418">
        <v>80</v>
      </c>
      <c r="D8" s="3418">
        <v>70</v>
      </c>
      <c r="E8" s="3418">
        <v>70</v>
      </c>
      <c r="F8" s="3418">
        <v>70</v>
      </c>
      <c r="G8" s="3418">
        <v>70</v>
      </c>
      <c r="H8" s="3418">
        <v>70</v>
      </c>
      <c r="I8" s="3418">
        <v>60</v>
      </c>
      <c r="J8" s="3418">
        <v>60</v>
      </c>
      <c r="K8" s="3418">
        <v>60</v>
      </c>
      <c r="L8" s="3418">
        <v>60</v>
      </c>
      <c r="M8" s="3419">
        <v>60</v>
      </c>
    </row>
    <row r="9" spans="1:13">
      <c r="A9" s="1033" t="s">
        <v>1413</v>
      </c>
      <c r="B9" s="3420">
        <v>70</v>
      </c>
      <c r="C9" s="3420">
        <v>70</v>
      </c>
      <c r="D9" s="3420">
        <v>60</v>
      </c>
      <c r="E9" s="3420">
        <v>60</v>
      </c>
      <c r="F9" s="3420">
        <v>60</v>
      </c>
      <c r="G9" s="3420">
        <v>60</v>
      </c>
      <c r="H9" s="3420">
        <v>60</v>
      </c>
      <c r="I9" s="3420">
        <v>50</v>
      </c>
      <c r="J9" s="3420">
        <v>50</v>
      </c>
      <c r="K9" s="3420">
        <v>50</v>
      </c>
      <c r="L9" s="3420">
        <v>50</v>
      </c>
      <c r="M9" s="3421">
        <v>50</v>
      </c>
    </row>
    <row r="10" spans="1:13">
      <c r="A10" s="1033" t="s">
        <v>1414</v>
      </c>
      <c r="B10" s="3420">
        <v>20</v>
      </c>
      <c r="C10" s="3420">
        <v>20</v>
      </c>
      <c r="D10" s="3420">
        <v>15</v>
      </c>
      <c r="E10" s="3420">
        <v>15</v>
      </c>
      <c r="F10" s="3420">
        <v>15</v>
      </c>
      <c r="G10" s="3420">
        <v>15</v>
      </c>
      <c r="H10" s="3420">
        <v>15</v>
      </c>
      <c r="I10" s="3420">
        <v>10</v>
      </c>
      <c r="J10" s="3420">
        <v>10</v>
      </c>
      <c r="K10" s="3420">
        <v>10</v>
      </c>
      <c r="L10" s="3420">
        <v>10</v>
      </c>
      <c r="M10" s="3421">
        <v>10</v>
      </c>
    </row>
    <row r="11" spans="1:13">
      <c r="A11" s="1033" t="s">
        <v>1415</v>
      </c>
      <c r="B11" s="3420">
        <v>30</v>
      </c>
      <c r="C11" s="3420">
        <v>30</v>
      </c>
      <c r="D11" s="3420">
        <v>25</v>
      </c>
      <c r="E11" s="3420">
        <v>25</v>
      </c>
      <c r="F11" s="3420">
        <v>25</v>
      </c>
      <c r="G11" s="3420">
        <v>25</v>
      </c>
      <c r="H11" s="3420">
        <v>25</v>
      </c>
      <c r="I11" s="3420">
        <v>20</v>
      </c>
      <c r="J11" s="3420">
        <v>20</v>
      </c>
      <c r="K11" s="3420">
        <v>20</v>
      </c>
      <c r="L11" s="3420">
        <v>20</v>
      </c>
      <c r="M11" s="3421">
        <v>20</v>
      </c>
    </row>
    <row r="12" spans="1:13">
      <c r="A12" s="1033" t="s">
        <v>1416</v>
      </c>
      <c r="B12" s="3420">
        <v>45</v>
      </c>
      <c r="C12" s="3420">
        <v>45</v>
      </c>
      <c r="D12" s="3420">
        <v>40</v>
      </c>
      <c r="E12" s="3420">
        <v>40</v>
      </c>
      <c r="F12" s="3420">
        <v>40</v>
      </c>
      <c r="G12" s="3420">
        <v>40</v>
      </c>
      <c r="H12" s="3420">
        <v>40</v>
      </c>
      <c r="I12" s="3420">
        <v>35</v>
      </c>
      <c r="J12" s="3420">
        <v>35</v>
      </c>
      <c r="K12" s="3420">
        <v>35</v>
      </c>
      <c r="L12" s="3420">
        <v>35</v>
      </c>
      <c r="M12" s="3421">
        <v>35</v>
      </c>
    </row>
    <row r="13" spans="1:13">
      <c r="A13" s="1033" t="s">
        <v>1417</v>
      </c>
      <c r="B13" s="3420">
        <v>60</v>
      </c>
      <c r="C13" s="3420">
        <v>60</v>
      </c>
      <c r="D13" s="3420">
        <v>50</v>
      </c>
      <c r="E13" s="3420">
        <v>50</v>
      </c>
      <c r="F13" s="3420">
        <v>50</v>
      </c>
      <c r="G13" s="3420">
        <v>50</v>
      </c>
      <c r="H13" s="3420">
        <v>50</v>
      </c>
      <c r="I13" s="3420">
        <v>40</v>
      </c>
      <c r="J13" s="3420">
        <v>40</v>
      </c>
      <c r="K13" s="3420">
        <v>40</v>
      </c>
      <c r="L13" s="3420">
        <v>40</v>
      </c>
      <c r="M13" s="3421">
        <v>40</v>
      </c>
    </row>
    <row r="14" spans="1:13">
      <c r="A14" s="1033" t="s">
        <v>1418</v>
      </c>
      <c r="B14" s="3420">
        <v>50</v>
      </c>
      <c r="C14" s="3420">
        <v>50</v>
      </c>
      <c r="D14" s="3420">
        <v>40</v>
      </c>
      <c r="E14" s="3420">
        <v>40</v>
      </c>
      <c r="F14" s="3420">
        <v>40</v>
      </c>
      <c r="G14" s="3420">
        <v>40</v>
      </c>
      <c r="H14" s="3420">
        <v>40</v>
      </c>
      <c r="I14" s="3420">
        <v>30</v>
      </c>
      <c r="J14" s="3420">
        <v>30</v>
      </c>
      <c r="K14" s="3420">
        <v>30</v>
      </c>
      <c r="L14" s="3420">
        <v>30</v>
      </c>
      <c r="M14" s="3421">
        <v>30</v>
      </c>
    </row>
    <row r="15" spans="1:13">
      <c r="A15" s="1074" t="s">
        <v>1419</v>
      </c>
      <c r="B15" s="3422">
        <v>20</v>
      </c>
      <c r="C15" s="3422">
        <v>20</v>
      </c>
      <c r="D15" s="3422">
        <v>15</v>
      </c>
      <c r="E15" s="3422">
        <v>15</v>
      </c>
      <c r="F15" s="3422">
        <v>15</v>
      </c>
      <c r="G15" s="3422">
        <v>15</v>
      </c>
      <c r="H15" s="3422">
        <v>15</v>
      </c>
      <c r="I15" s="3422">
        <v>10</v>
      </c>
      <c r="J15" s="3422">
        <v>10</v>
      </c>
      <c r="K15" s="3422">
        <v>10</v>
      </c>
      <c r="L15" s="3422">
        <v>10</v>
      </c>
      <c r="M15" s="3423">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4" t="s">
        <v>2684</v>
      </c>
      <c r="B17" s="2710">
        <f>SUM(B8:B15)</f>
        <v>375</v>
      </c>
      <c r="C17" s="2710">
        <f t="shared" ref="C17:H17" si="0">SUM(C8:C15)</f>
        <v>375</v>
      </c>
      <c r="D17" s="2710">
        <f t="shared" si="0"/>
        <v>315</v>
      </c>
      <c r="E17" s="2710">
        <f t="shared" si="0"/>
        <v>315</v>
      </c>
      <c r="F17" s="2710">
        <f t="shared" si="0"/>
        <v>315</v>
      </c>
      <c r="G17" s="2710">
        <f t="shared" si="0"/>
        <v>315</v>
      </c>
      <c r="H17" s="2710">
        <f t="shared" si="0"/>
        <v>315</v>
      </c>
      <c r="I17" s="2710">
        <f>SUM(I8:I12,I15)</f>
        <v>185</v>
      </c>
      <c r="J17" s="2710">
        <f t="shared" ref="J17:M17" si="1">SUM(J8:J12,J15)</f>
        <v>185</v>
      </c>
      <c r="K17" s="2710">
        <f t="shared" si="1"/>
        <v>185</v>
      </c>
      <c r="L17" s="2710">
        <f t="shared" si="1"/>
        <v>185</v>
      </c>
      <c r="M17" s="2710">
        <f t="shared" si="1"/>
        <v>185</v>
      </c>
    </row>
    <row r="18" spans="1:13">
      <c r="A18" s="1076" t="s">
        <v>1421</v>
      </c>
      <c r="B18" s="1076"/>
      <c r="C18" s="1077"/>
      <c r="D18" s="1077"/>
      <c r="E18" s="1076"/>
      <c r="F18" s="1077"/>
      <c r="G18" s="1077"/>
    </row>
    <row r="19" spans="1:13" ht="15" thickBot="1">
      <c r="A19" s="3422" t="s">
        <v>2901</v>
      </c>
      <c r="B19" s="3424" t="s">
        <v>2902</v>
      </c>
      <c r="C19" s="3425" t="s">
        <v>2903</v>
      </c>
      <c r="D19" s="3426"/>
      <c r="E19" s="3420" t="s">
        <v>2904</v>
      </c>
      <c r="F19" s="1079"/>
      <c r="G19" s="1079"/>
    </row>
    <row r="20" spans="1:13" s="1486" customFormat="1">
      <c r="A20" s="3697" t="s">
        <v>2895</v>
      </c>
      <c r="B20" s="3700" t="s">
        <v>2905</v>
      </c>
      <c r="C20" s="3427" t="s">
        <v>2906</v>
      </c>
      <c r="D20" s="3428"/>
      <c r="E20" s="3429">
        <v>1</v>
      </c>
      <c r="F20" s="3430" t="s">
        <v>2907</v>
      </c>
      <c r="G20" s="1081"/>
      <c r="H20" s="1071"/>
      <c r="I20" s="1071"/>
    </row>
    <row r="21" spans="1:13" s="1486" customFormat="1">
      <c r="A21" s="3698"/>
      <c r="B21" s="3701"/>
      <c r="C21" s="3431" t="s">
        <v>2908</v>
      </c>
      <c r="D21" s="3432"/>
      <c r="E21" s="3433">
        <v>1</v>
      </c>
      <c r="F21" s="3430" t="s">
        <v>2909</v>
      </c>
      <c r="G21" s="1081"/>
      <c r="H21" s="1071"/>
      <c r="I21" s="1071"/>
    </row>
    <row r="22" spans="1:13" s="1486" customFormat="1">
      <c r="A22" s="3698"/>
      <c r="B22" s="3701"/>
      <c r="C22" s="3431" t="s">
        <v>2910</v>
      </c>
      <c r="D22" s="3432"/>
      <c r="E22" s="3433">
        <v>0.9</v>
      </c>
      <c r="F22" s="3430" t="s">
        <v>2911</v>
      </c>
      <c r="G22" s="1081"/>
      <c r="H22" s="1071"/>
      <c r="I22" s="1071"/>
    </row>
    <row r="23" spans="1:13" s="1486" customFormat="1">
      <c r="A23" s="3698"/>
      <c r="B23" s="3701"/>
      <c r="C23" s="3431" t="s">
        <v>2912</v>
      </c>
      <c r="D23" s="3432"/>
      <c r="E23" s="3433">
        <v>0.9</v>
      </c>
      <c r="F23" s="3430" t="s">
        <v>2913</v>
      </c>
      <c r="G23" s="1081"/>
      <c r="H23" s="1071"/>
      <c r="I23" s="1071"/>
    </row>
    <row r="24" spans="1:13" s="1486" customFormat="1">
      <c r="A24" s="3698"/>
      <c r="B24" s="3701"/>
      <c r="C24" s="3431" t="s">
        <v>2914</v>
      </c>
      <c r="D24" s="3432"/>
      <c r="E24" s="3433">
        <v>0.8</v>
      </c>
      <c r="F24" s="3430" t="s">
        <v>2915</v>
      </c>
      <c r="G24" s="1081"/>
      <c r="H24" s="1071"/>
      <c r="I24" s="1071"/>
    </row>
    <row r="25" spans="1:13" s="1486" customFormat="1" ht="15" thickBot="1">
      <c r="A25" s="3699"/>
      <c r="B25" s="3702"/>
      <c r="C25" s="3434" t="s">
        <v>2916</v>
      </c>
      <c r="D25" s="3435"/>
      <c r="E25" s="3436">
        <v>0.8</v>
      </c>
      <c r="F25" s="3430" t="s">
        <v>2917</v>
      </c>
      <c r="G25" s="1081"/>
      <c r="H25" s="1071"/>
      <c r="I25" s="1071"/>
    </row>
    <row r="26" spans="1:13" s="1486" customFormat="1" ht="15" thickBot="1">
      <c r="A26" s="3437" t="s">
        <v>2896</v>
      </c>
      <c r="B26" s="3438" t="s">
        <v>2905</v>
      </c>
      <c r="C26" s="3439" t="s">
        <v>2918</v>
      </c>
      <c r="D26" s="3440"/>
      <c r="E26" s="3441">
        <v>1</v>
      </c>
      <c r="F26" s="3430" t="s">
        <v>2919</v>
      </c>
      <c r="G26" s="1081"/>
      <c r="H26" s="1071"/>
      <c r="I26" s="1071"/>
    </row>
    <row r="27" spans="1:13" s="1486" customFormat="1">
      <c r="A27" s="3703" t="s">
        <v>2900</v>
      </c>
      <c r="B27" s="3700" t="s">
        <v>2900</v>
      </c>
      <c r="C27" s="3427" t="s">
        <v>2920</v>
      </c>
      <c r="D27" s="3428"/>
      <c r="E27" s="3429">
        <v>1</v>
      </c>
      <c r="F27" s="3430" t="s">
        <v>2921</v>
      </c>
      <c r="G27" s="1081"/>
      <c r="H27" s="1071"/>
      <c r="I27" s="1071"/>
    </row>
    <row r="28" spans="1:13" s="1486" customFormat="1">
      <c r="A28" s="3704"/>
      <c r="B28" s="3701"/>
      <c r="C28" s="3431" t="s">
        <v>2922</v>
      </c>
      <c r="D28" s="3432"/>
      <c r="E28" s="3433">
        <v>1</v>
      </c>
      <c r="F28" s="3430" t="s">
        <v>2923</v>
      </c>
      <c r="G28" s="1081"/>
      <c r="H28" s="1071"/>
      <c r="I28" s="1071"/>
    </row>
    <row r="29" spans="1:13" s="1486" customFormat="1">
      <c r="A29" s="3704"/>
      <c r="B29" s="3701"/>
      <c r="C29" s="3431" t="s">
        <v>2924</v>
      </c>
      <c r="D29" s="3432"/>
      <c r="E29" s="3433">
        <v>0.8</v>
      </c>
      <c r="F29" s="3430" t="s">
        <v>2925</v>
      </c>
      <c r="G29" s="1081"/>
      <c r="H29" s="1071"/>
      <c r="I29" s="1071"/>
    </row>
    <row r="30" spans="1:13" s="1486" customFormat="1">
      <c r="A30" s="3704"/>
      <c r="B30" s="3701"/>
      <c r="C30" s="3431" t="s">
        <v>2926</v>
      </c>
      <c r="D30" s="3432"/>
      <c r="E30" s="3433">
        <v>0.8</v>
      </c>
      <c r="F30" s="3430" t="s">
        <v>2927</v>
      </c>
      <c r="G30" s="1081"/>
      <c r="H30" s="1071"/>
      <c r="I30" s="1071"/>
    </row>
    <row r="31" spans="1:13" s="1486" customFormat="1">
      <c r="A31" s="3704"/>
      <c r="B31" s="3701"/>
      <c r="C31" s="3431" t="s">
        <v>2928</v>
      </c>
      <c r="D31" s="3432"/>
      <c r="E31" s="3433">
        <v>0.8</v>
      </c>
      <c r="F31" s="3430" t="s">
        <v>2929</v>
      </c>
      <c r="G31" s="1081"/>
      <c r="H31" s="1071"/>
      <c r="I31" s="1071"/>
    </row>
    <row r="32" spans="1:13" s="1486" customFormat="1">
      <c r="A32" s="3704"/>
      <c r="B32" s="3701"/>
      <c r="C32" s="3431" t="s">
        <v>2930</v>
      </c>
      <c r="D32" s="3432"/>
      <c r="E32" s="3433">
        <v>0.7</v>
      </c>
      <c r="F32" s="3430" t="s">
        <v>2931</v>
      </c>
      <c r="G32" s="1081"/>
      <c r="H32" s="1071"/>
      <c r="I32" s="1071"/>
    </row>
    <row r="33" spans="1:9" s="1486" customFormat="1">
      <c r="A33" s="3704"/>
      <c r="B33" s="3701"/>
      <c r="C33" s="3431" t="s">
        <v>2932</v>
      </c>
      <c r="D33" s="3432"/>
      <c r="E33" s="3433">
        <v>0.8</v>
      </c>
      <c r="F33" s="3430" t="s">
        <v>2933</v>
      </c>
      <c r="G33" s="1081"/>
      <c r="H33" s="1071"/>
      <c r="I33" s="1071"/>
    </row>
    <row r="34" spans="1:9" s="1486" customFormat="1">
      <c r="A34" s="3704"/>
      <c r="B34" s="3701"/>
      <c r="C34" s="3431" t="s">
        <v>2934</v>
      </c>
      <c r="D34" s="3432"/>
      <c r="E34" s="3433">
        <v>0.6</v>
      </c>
      <c r="F34" s="3430" t="s">
        <v>2935</v>
      </c>
      <c r="G34" s="1081"/>
      <c r="H34" s="1071"/>
      <c r="I34" s="1071"/>
    </row>
    <row r="35" spans="1:9" s="1486" customFormat="1">
      <c r="A35" s="3704"/>
      <c r="B35" s="3701"/>
      <c r="C35" s="3431" t="s">
        <v>2936</v>
      </c>
      <c r="D35" s="3432"/>
      <c r="E35" s="3433">
        <v>0.2</v>
      </c>
      <c r="F35" s="3430" t="s">
        <v>2937</v>
      </c>
      <c r="G35" s="1081"/>
      <c r="H35" s="1071"/>
      <c r="I35" s="1071"/>
    </row>
    <row r="36" spans="1:9" s="1486" customFormat="1">
      <c r="A36" s="3704"/>
      <c r="B36" s="3701"/>
      <c r="C36" s="3431" t="s">
        <v>2938</v>
      </c>
      <c r="D36" s="3432"/>
      <c r="E36" s="3433">
        <v>0.2</v>
      </c>
      <c r="F36" s="3430" t="s">
        <v>2939</v>
      </c>
      <c r="G36" s="1081"/>
      <c r="H36" s="1071"/>
      <c r="I36" s="1071"/>
    </row>
    <row r="37" spans="1:9" s="1486" customFormat="1">
      <c r="A37" s="3704"/>
      <c r="B37" s="3706" t="s">
        <v>2940</v>
      </c>
      <c r="C37" s="3431" t="s">
        <v>2941</v>
      </c>
      <c r="D37" s="3432"/>
      <c r="E37" s="3433">
        <v>0.6</v>
      </c>
      <c r="F37" s="3430" t="s">
        <v>2942</v>
      </c>
      <c r="G37" s="1081"/>
      <c r="H37" s="1071"/>
      <c r="I37" s="1071"/>
    </row>
    <row r="38" spans="1:9" s="1486" customFormat="1">
      <c r="A38" s="3704"/>
      <c r="B38" s="3701"/>
      <c r="C38" s="3431" t="s">
        <v>2943</v>
      </c>
      <c r="D38" s="3432"/>
      <c r="E38" s="3433">
        <v>0.6</v>
      </c>
      <c r="F38" s="3430" t="s">
        <v>2944</v>
      </c>
      <c r="G38" s="1081"/>
      <c r="H38" s="1071"/>
      <c r="I38" s="1071"/>
    </row>
    <row r="39" spans="1:9" s="1486" customFormat="1" ht="15" thickBot="1">
      <c r="A39" s="3705"/>
      <c r="B39" s="3702"/>
      <c r="C39" s="3434" t="s">
        <v>2945</v>
      </c>
      <c r="D39" s="3435"/>
      <c r="E39" s="3436">
        <v>0.6</v>
      </c>
      <c r="F39" s="3430" t="s">
        <v>2946</v>
      </c>
      <c r="G39" s="1081"/>
      <c r="H39" s="1071"/>
      <c r="I39" s="1071"/>
    </row>
    <row r="40" spans="1:9" s="1486" customFormat="1" ht="15" thickBot="1">
      <c r="A40" s="3437" t="s">
        <v>2897</v>
      </c>
      <c r="B40" s="3438" t="s">
        <v>2897</v>
      </c>
      <c r="C40" s="3439" t="s">
        <v>2947</v>
      </c>
      <c r="D40" s="3440"/>
      <c r="E40" s="3441">
        <v>1</v>
      </c>
      <c r="F40" s="3430" t="s">
        <v>2948</v>
      </c>
      <c r="G40" s="1081"/>
      <c r="H40" s="1071"/>
      <c r="I40" s="1071"/>
    </row>
    <row r="41" spans="1:9" s="1486" customFormat="1">
      <c r="A41" s="3697" t="s">
        <v>2898</v>
      </c>
      <c r="B41" s="3700" t="s">
        <v>2949</v>
      </c>
      <c r="C41" s="3427" t="s">
        <v>2950</v>
      </c>
      <c r="D41" s="3428"/>
      <c r="E41" s="3429">
        <v>1</v>
      </c>
      <c r="F41" s="3430" t="s">
        <v>2951</v>
      </c>
      <c r="G41" s="1081"/>
      <c r="H41" s="1071"/>
      <c r="I41" s="1071"/>
    </row>
    <row r="42" spans="1:9" s="1486" customFormat="1">
      <c r="A42" s="3698"/>
      <c r="B42" s="3701"/>
      <c r="C42" s="3431" t="s">
        <v>2952</v>
      </c>
      <c r="D42" s="3432"/>
      <c r="E42" s="3433">
        <v>1</v>
      </c>
      <c r="F42" s="3430" t="s">
        <v>2953</v>
      </c>
      <c r="G42" s="1081"/>
      <c r="H42" s="1071"/>
      <c r="I42" s="1071"/>
    </row>
    <row r="43" spans="1:9" s="1486" customFormat="1">
      <c r="A43" s="3698"/>
      <c r="B43" s="3707"/>
      <c r="C43" s="3431" t="s">
        <v>2954</v>
      </c>
      <c r="D43" s="3432"/>
      <c r="E43" s="3433">
        <v>1.5</v>
      </c>
      <c r="F43" s="3430" t="s">
        <v>2955</v>
      </c>
      <c r="G43" s="1081"/>
      <c r="H43" s="1071"/>
      <c r="I43" s="1071"/>
    </row>
    <row r="44" spans="1:9" s="1486" customFormat="1">
      <c r="A44" s="3698"/>
      <c r="B44" s="3442" t="s">
        <v>2900</v>
      </c>
      <c r="C44" s="3431" t="s">
        <v>2899</v>
      </c>
      <c r="D44" s="3432"/>
      <c r="E44" s="3433">
        <v>2</v>
      </c>
      <c r="F44" s="3430" t="s">
        <v>2956</v>
      </c>
      <c r="G44" s="1081"/>
      <c r="H44" s="1071"/>
      <c r="I44" s="1071"/>
    </row>
    <row r="45" spans="1:9" s="1486" customFormat="1">
      <c r="A45" s="3698"/>
      <c r="B45" s="3706" t="s">
        <v>2957</v>
      </c>
      <c r="C45" s="3431" t="s">
        <v>2958</v>
      </c>
      <c r="D45" s="3432"/>
      <c r="E45" s="3433">
        <v>1</v>
      </c>
      <c r="F45" s="3430" t="s">
        <v>2959</v>
      </c>
      <c r="G45" s="1081"/>
      <c r="H45" s="1071"/>
      <c r="I45" s="1071"/>
    </row>
    <row r="46" spans="1:9" s="1486" customFormat="1">
      <c r="A46" s="3698"/>
      <c r="B46" s="3701"/>
      <c r="C46" s="3431" t="s">
        <v>2960</v>
      </c>
      <c r="D46" s="3432"/>
      <c r="E46" s="3433">
        <v>1</v>
      </c>
      <c r="F46" s="3430" t="s">
        <v>2961</v>
      </c>
      <c r="G46" s="1081"/>
      <c r="H46" s="1071"/>
      <c r="I46" s="1071"/>
    </row>
    <row r="47" spans="1:9" s="1486" customFormat="1">
      <c r="A47" s="3698"/>
      <c r="B47" s="3701"/>
      <c r="C47" s="3431" t="s">
        <v>2962</v>
      </c>
      <c r="D47" s="3432"/>
      <c r="E47" s="3433">
        <v>1</v>
      </c>
      <c r="F47" s="3430" t="s">
        <v>2963</v>
      </c>
      <c r="G47" s="1081"/>
      <c r="H47" s="1071"/>
      <c r="I47" s="1071"/>
    </row>
    <row r="48" spans="1:9" s="1486" customFormat="1">
      <c r="A48" s="3698"/>
      <c r="B48" s="3701"/>
      <c r="C48" s="3431" t="s">
        <v>2964</v>
      </c>
      <c r="D48" s="3432"/>
      <c r="E48" s="3433">
        <v>1</v>
      </c>
      <c r="F48" s="3430" t="s">
        <v>2965</v>
      </c>
      <c r="G48" s="1081"/>
      <c r="H48" s="1071"/>
      <c r="I48" s="1071"/>
    </row>
    <row r="49" spans="1:9" s="1486" customFormat="1">
      <c r="A49" s="3698"/>
      <c r="B49" s="3701"/>
      <c r="C49" s="3431" t="s">
        <v>2966</v>
      </c>
      <c r="D49" s="3432"/>
      <c r="E49" s="3433">
        <v>1</v>
      </c>
      <c r="F49" s="3430" t="s">
        <v>2967</v>
      </c>
      <c r="G49" s="1081"/>
      <c r="H49" s="1071"/>
      <c r="I49" s="1071"/>
    </row>
    <row r="50" spans="1:9" s="1486" customFormat="1">
      <c r="A50" s="3698"/>
      <c r="B50" s="3701"/>
      <c r="C50" s="3431" t="s">
        <v>2968</v>
      </c>
      <c r="D50" s="3432"/>
      <c r="E50" s="3433">
        <v>1</v>
      </c>
      <c r="F50" s="3430" t="s">
        <v>2969</v>
      </c>
      <c r="G50" s="1081"/>
      <c r="H50" s="1071"/>
      <c r="I50" s="1071"/>
    </row>
    <row r="51" spans="1:9" s="1486" customFormat="1" ht="15" thickBot="1">
      <c r="A51" s="3699"/>
      <c r="B51" s="3702"/>
      <c r="C51" s="3434" t="s">
        <v>2970</v>
      </c>
      <c r="D51" s="3435"/>
      <c r="E51" s="3436">
        <v>1</v>
      </c>
      <c r="F51" s="3430" t="s">
        <v>2971</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20">
        <v>0.7</v>
      </c>
      <c r="C57" s="3420">
        <v>0.4</v>
      </c>
      <c r="D57" s="3420">
        <v>0.3</v>
      </c>
      <c r="E57" s="3426">
        <v>0.3</v>
      </c>
      <c r="F57" s="3420">
        <v>0.3</v>
      </c>
      <c r="G57" s="3420">
        <v>0.2</v>
      </c>
      <c r="I57" s="1032"/>
    </row>
    <row r="58" spans="1:9">
      <c r="A58" s="1099" t="s">
        <v>887</v>
      </c>
      <c r="B58" s="3420">
        <v>0.7</v>
      </c>
      <c r="C58" s="3420">
        <v>0.4</v>
      </c>
      <c r="D58" s="3420">
        <v>0.3</v>
      </c>
      <c r="E58" s="3420">
        <v>0.3</v>
      </c>
      <c r="F58" s="3420">
        <v>0.3</v>
      </c>
      <c r="G58" s="3420">
        <v>0.2</v>
      </c>
      <c r="I58" s="1032"/>
    </row>
    <row r="59" spans="1:9">
      <c r="A59" s="1099" t="s">
        <v>888</v>
      </c>
      <c r="B59" s="3420">
        <v>0.6</v>
      </c>
      <c r="C59" s="3420">
        <v>0.3</v>
      </c>
      <c r="D59" s="3420">
        <v>0.25</v>
      </c>
      <c r="E59" s="3420">
        <v>0.25</v>
      </c>
      <c r="F59" s="3420">
        <v>0.25</v>
      </c>
      <c r="G59" s="3420">
        <v>0.15</v>
      </c>
      <c r="I59" s="1032"/>
    </row>
    <row r="60" spans="1:9">
      <c r="A60" s="1099" t="s">
        <v>889</v>
      </c>
      <c r="B60" s="3420">
        <v>0.6</v>
      </c>
      <c r="C60" s="3420">
        <v>0.3</v>
      </c>
      <c r="D60" s="3420">
        <v>0.25</v>
      </c>
      <c r="E60" s="3420">
        <v>0.25</v>
      </c>
      <c r="F60" s="3420">
        <v>0.25</v>
      </c>
      <c r="G60" s="3420">
        <v>0.15</v>
      </c>
      <c r="I60" s="1032"/>
    </row>
    <row r="61" spans="1:9" s="1071" customFormat="1">
      <c r="A61" s="1099" t="s">
        <v>890</v>
      </c>
      <c r="B61" s="3420">
        <v>0.6</v>
      </c>
      <c r="C61" s="3420">
        <v>0.3</v>
      </c>
      <c r="D61" s="3420">
        <v>0.25</v>
      </c>
      <c r="E61" s="3420">
        <v>0.25</v>
      </c>
      <c r="F61" s="3420">
        <v>0.25</v>
      </c>
      <c r="G61" s="3420">
        <v>0.15</v>
      </c>
    </row>
    <row r="62" spans="1:9" s="1071" customFormat="1">
      <c r="A62" s="1099" t="s">
        <v>891</v>
      </c>
      <c r="B62" s="3420">
        <v>0.6</v>
      </c>
      <c r="C62" s="3420">
        <v>0.3</v>
      </c>
      <c r="D62" s="3420">
        <v>0.25</v>
      </c>
      <c r="E62" s="3420">
        <v>0.25</v>
      </c>
      <c r="F62" s="3420">
        <v>0.25</v>
      </c>
      <c r="G62" s="3420">
        <v>0.15</v>
      </c>
    </row>
    <row r="63" spans="1:9" s="1071" customFormat="1">
      <c r="A63" s="1099" t="s">
        <v>892</v>
      </c>
      <c r="B63" s="3420">
        <v>0.6</v>
      </c>
      <c r="C63" s="3420">
        <v>0.3</v>
      </c>
      <c r="D63" s="3420">
        <v>0.25</v>
      </c>
      <c r="E63" s="3420">
        <v>0.25</v>
      </c>
      <c r="F63" s="3420">
        <v>0.25</v>
      </c>
      <c r="G63" s="3420">
        <v>0.15</v>
      </c>
    </row>
    <row r="64" spans="1:9" s="1071" customFormat="1">
      <c r="A64" s="1099" t="s">
        <v>893</v>
      </c>
      <c r="B64" s="3420">
        <v>0.5</v>
      </c>
      <c r="C64" s="3420">
        <v>0.2</v>
      </c>
      <c r="D64" s="3420">
        <v>0.2</v>
      </c>
      <c r="E64" s="3420">
        <v>0.2</v>
      </c>
      <c r="F64" s="3420">
        <v>0.2</v>
      </c>
      <c r="G64" s="3420">
        <v>0.1</v>
      </c>
    </row>
    <row r="65" spans="1:8" s="1071" customFormat="1">
      <c r="A65" s="1099" t="s">
        <v>894</v>
      </c>
      <c r="B65" s="3420">
        <v>0.5</v>
      </c>
      <c r="C65" s="3420">
        <v>0.2</v>
      </c>
      <c r="D65" s="3420">
        <v>0.2</v>
      </c>
      <c r="E65" s="3420">
        <v>0.2</v>
      </c>
      <c r="F65" s="3420">
        <v>0.2</v>
      </c>
      <c r="G65" s="3420">
        <v>0.1</v>
      </c>
    </row>
    <row r="66" spans="1:8" s="1071" customFormat="1">
      <c r="A66" s="1099" t="s">
        <v>895</v>
      </c>
      <c r="B66" s="3420">
        <v>0.5</v>
      </c>
      <c r="C66" s="3420">
        <v>0.2</v>
      </c>
      <c r="D66" s="3420">
        <v>0.2</v>
      </c>
      <c r="E66" s="3420">
        <v>0.2</v>
      </c>
      <c r="F66" s="3420">
        <v>0.2</v>
      </c>
      <c r="G66" s="3420">
        <v>0.1</v>
      </c>
    </row>
    <row r="67" spans="1:8" s="1071" customFormat="1">
      <c r="A67" s="1099" t="s">
        <v>896</v>
      </c>
      <c r="B67" s="3420">
        <v>0.5</v>
      </c>
      <c r="C67" s="3420">
        <v>0.2</v>
      </c>
      <c r="D67" s="3420">
        <v>0.2</v>
      </c>
      <c r="E67" s="3420">
        <v>0.2</v>
      </c>
      <c r="F67" s="3420">
        <v>0.2</v>
      </c>
      <c r="G67" s="3420">
        <v>0.1</v>
      </c>
    </row>
    <row r="68" spans="1:8" s="1071" customFormat="1">
      <c r="A68" s="1099" t="s">
        <v>897</v>
      </c>
      <c r="B68" s="3420">
        <v>0.5</v>
      </c>
      <c r="C68" s="3420">
        <v>0.2</v>
      </c>
      <c r="D68" s="3420">
        <v>0.2</v>
      </c>
      <c r="E68" s="3420">
        <v>0.2</v>
      </c>
      <c r="F68" s="3420">
        <v>0.2</v>
      </c>
      <c r="G68" s="3420">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2972</v>
      </c>
      <c r="D72" s="1101"/>
      <c r="E72" s="1086" t="s">
        <v>1420</v>
      </c>
      <c r="F72" s="1101" t="s">
        <v>1420</v>
      </c>
    </row>
    <row r="73" spans="1:8" s="1071" customFormat="1" ht="24">
      <c r="A73" s="3442">
        <v>1</v>
      </c>
      <c r="B73" s="3706" t="s">
        <v>2973</v>
      </c>
      <c r="C73" s="3420" t="s">
        <v>2974</v>
      </c>
      <c r="D73" s="3420" t="s">
        <v>2975</v>
      </c>
      <c r="E73" s="3443">
        <v>0.2</v>
      </c>
      <c r="F73" s="3442">
        <v>25</v>
      </c>
      <c r="H73" s="1071">
        <f>SUMIF(C71:C139,基准地价!C8,E71:E139)</f>
        <v>0</v>
      </c>
    </row>
    <row r="74" spans="1:8" s="1071" customFormat="1" ht="36">
      <c r="A74" s="3442">
        <v>2</v>
      </c>
      <c r="B74" s="3701"/>
      <c r="C74" s="3420" t="s">
        <v>2976</v>
      </c>
      <c r="D74" s="3420" t="s">
        <v>2977</v>
      </c>
      <c r="E74" s="3443">
        <v>0.2</v>
      </c>
      <c r="F74" s="3442">
        <v>25</v>
      </c>
    </row>
    <row r="75" spans="1:8" s="1071" customFormat="1" ht="24">
      <c r="A75" s="3442">
        <v>3</v>
      </c>
      <c r="B75" s="3701"/>
      <c r="C75" s="3420" t="s">
        <v>2978</v>
      </c>
      <c r="D75" s="3420" t="s">
        <v>2979</v>
      </c>
      <c r="E75" s="3443">
        <v>0.2</v>
      </c>
      <c r="F75" s="3442">
        <v>25</v>
      </c>
    </row>
    <row r="76" spans="1:8" s="1071" customFormat="1" ht="24">
      <c r="A76" s="3442">
        <v>4</v>
      </c>
      <c r="B76" s="3701"/>
      <c r="C76" s="3420" t="s">
        <v>2980</v>
      </c>
      <c r="D76" s="3420" t="s">
        <v>2981</v>
      </c>
      <c r="E76" s="3443">
        <v>0.15</v>
      </c>
      <c r="F76" s="3442">
        <v>20</v>
      </c>
    </row>
    <row r="77" spans="1:8" s="1071" customFormat="1" ht="24">
      <c r="A77" s="3442">
        <v>5</v>
      </c>
      <c r="B77" s="3701"/>
      <c r="C77" s="3420" t="s">
        <v>2982</v>
      </c>
      <c r="D77" s="3420" t="s">
        <v>2983</v>
      </c>
      <c r="E77" s="3443">
        <v>0.15</v>
      </c>
      <c r="F77" s="3442">
        <v>20</v>
      </c>
    </row>
    <row r="78" spans="1:8" s="1071" customFormat="1" ht="24">
      <c r="A78" s="3442">
        <v>6</v>
      </c>
      <c r="B78" s="3701"/>
      <c r="C78" s="3420" t="s">
        <v>2984</v>
      </c>
      <c r="D78" s="3420" t="s">
        <v>2985</v>
      </c>
      <c r="E78" s="3443">
        <v>0.15</v>
      </c>
      <c r="F78" s="3442">
        <v>20</v>
      </c>
    </row>
    <row r="79" spans="1:8" s="1071" customFormat="1" ht="36">
      <c r="A79" s="3442">
        <v>7</v>
      </c>
      <c r="B79" s="3701"/>
      <c r="C79" s="3420" t="s">
        <v>2986</v>
      </c>
      <c r="D79" s="3420" t="s">
        <v>2987</v>
      </c>
      <c r="E79" s="3443">
        <v>0.15</v>
      </c>
      <c r="F79" s="3442">
        <v>20</v>
      </c>
    </row>
    <row r="80" spans="1:8" s="1071" customFormat="1" ht="24">
      <c r="A80" s="3442">
        <v>8</v>
      </c>
      <c r="B80" s="3701"/>
      <c r="C80" s="3420" t="s">
        <v>2988</v>
      </c>
      <c r="D80" s="3420" t="s">
        <v>2989</v>
      </c>
      <c r="E80" s="3443">
        <v>0.1</v>
      </c>
      <c r="F80" s="3442">
        <v>15</v>
      </c>
    </row>
    <row r="81" spans="1:6" s="1071" customFormat="1" ht="24">
      <c r="A81" s="3442">
        <v>9</v>
      </c>
      <c r="B81" s="3701"/>
      <c r="C81" s="3420" t="s">
        <v>2990</v>
      </c>
      <c r="D81" s="3420" t="s">
        <v>2991</v>
      </c>
      <c r="E81" s="3443">
        <v>0.1</v>
      </c>
      <c r="F81" s="3442">
        <v>15</v>
      </c>
    </row>
    <row r="82" spans="1:6" s="1071" customFormat="1" ht="24">
      <c r="A82" s="3442">
        <v>10</v>
      </c>
      <c r="B82" s="3701"/>
      <c r="C82" s="3420" t="s">
        <v>2992</v>
      </c>
      <c r="D82" s="3420" t="s">
        <v>2993</v>
      </c>
      <c r="E82" s="3443">
        <v>0.1</v>
      </c>
      <c r="F82" s="3442">
        <v>15</v>
      </c>
    </row>
    <row r="83" spans="1:6" s="1071" customFormat="1" ht="36">
      <c r="A83" s="3442">
        <v>11</v>
      </c>
      <c r="B83" s="3701"/>
      <c r="C83" s="3420" t="s">
        <v>2994</v>
      </c>
      <c r="D83" s="3420" t="s">
        <v>2995</v>
      </c>
      <c r="E83" s="3443">
        <v>0.1</v>
      </c>
      <c r="F83" s="3442">
        <v>15</v>
      </c>
    </row>
    <row r="84" spans="1:6" s="1071" customFormat="1" ht="36">
      <c r="A84" s="3442">
        <v>12</v>
      </c>
      <c r="B84" s="3701"/>
      <c r="C84" s="3420" t="s">
        <v>2996</v>
      </c>
      <c r="D84" s="3420" t="s">
        <v>2997</v>
      </c>
      <c r="E84" s="3443">
        <v>0.1</v>
      </c>
      <c r="F84" s="3442">
        <v>15</v>
      </c>
    </row>
    <row r="85" spans="1:6" s="1071" customFormat="1" ht="24">
      <c r="A85" s="3442">
        <v>13</v>
      </c>
      <c r="B85" s="3701"/>
      <c r="C85" s="3420" t="s">
        <v>2998</v>
      </c>
      <c r="D85" s="3420" t="s">
        <v>2999</v>
      </c>
      <c r="E85" s="3443">
        <v>0.1</v>
      </c>
      <c r="F85" s="3442">
        <v>15</v>
      </c>
    </row>
    <row r="86" spans="1:6" s="1071" customFormat="1" ht="24">
      <c r="A86" s="3442">
        <v>14</v>
      </c>
      <c r="B86" s="3701"/>
      <c r="C86" s="3420" t="s">
        <v>3000</v>
      </c>
      <c r="D86" s="3420" t="s">
        <v>3001</v>
      </c>
      <c r="E86" s="3443">
        <v>0.1</v>
      </c>
      <c r="F86" s="3442">
        <v>15</v>
      </c>
    </row>
    <row r="87" spans="1:6" s="1071" customFormat="1" ht="24">
      <c r="A87" s="3442">
        <v>15</v>
      </c>
      <c r="B87" s="3701"/>
      <c r="C87" s="3420" t="s">
        <v>3002</v>
      </c>
      <c r="D87" s="3420" t="s">
        <v>3003</v>
      </c>
      <c r="E87" s="3443">
        <v>0.1</v>
      </c>
      <c r="F87" s="3442">
        <v>15</v>
      </c>
    </row>
    <row r="88" spans="1:6" s="1071" customFormat="1" ht="24">
      <c r="A88" s="3442">
        <v>16</v>
      </c>
      <c r="B88" s="3701"/>
      <c r="C88" s="3420" t="s">
        <v>3004</v>
      </c>
      <c r="D88" s="3420" t="s">
        <v>3005</v>
      </c>
      <c r="E88" s="3443">
        <v>0.1</v>
      </c>
      <c r="F88" s="3442">
        <v>15</v>
      </c>
    </row>
    <row r="89" spans="1:6" s="1071" customFormat="1" ht="36">
      <c r="A89" s="3442">
        <v>17</v>
      </c>
      <c r="B89" s="3707"/>
      <c r="C89" s="3420" t="s">
        <v>3006</v>
      </c>
      <c r="D89" s="3420" t="s">
        <v>3007</v>
      </c>
      <c r="E89" s="3443">
        <v>0.1</v>
      </c>
      <c r="F89" s="3442">
        <v>15</v>
      </c>
    </row>
    <row r="90" spans="1:6" s="1071" customFormat="1" ht="24">
      <c r="A90" s="3442">
        <v>18</v>
      </c>
      <c r="B90" s="3706" t="s">
        <v>3008</v>
      </c>
      <c r="C90" s="3420" t="s">
        <v>3009</v>
      </c>
      <c r="D90" s="3420" t="s">
        <v>3010</v>
      </c>
      <c r="E90" s="3443">
        <v>0.2</v>
      </c>
      <c r="F90" s="3442">
        <v>25</v>
      </c>
    </row>
    <row r="91" spans="1:6" s="1071" customFormat="1" ht="36">
      <c r="A91" s="3442">
        <v>19</v>
      </c>
      <c r="B91" s="3701"/>
      <c r="C91" s="3420" t="s">
        <v>3011</v>
      </c>
      <c r="D91" s="3420" t="s">
        <v>3012</v>
      </c>
      <c r="E91" s="3443">
        <v>0.2</v>
      </c>
      <c r="F91" s="3442">
        <v>25</v>
      </c>
    </row>
    <row r="92" spans="1:6" s="1071" customFormat="1" ht="24">
      <c r="A92" s="3442">
        <v>20</v>
      </c>
      <c r="B92" s="3701"/>
      <c r="C92" s="3420" t="s">
        <v>3013</v>
      </c>
      <c r="D92" s="3420" t="s">
        <v>3014</v>
      </c>
      <c r="E92" s="3443">
        <v>0.15</v>
      </c>
      <c r="F92" s="3442">
        <v>20</v>
      </c>
    </row>
    <row r="93" spans="1:6" s="1071" customFormat="1" ht="24">
      <c r="A93" s="3442">
        <v>21</v>
      </c>
      <c r="B93" s="3701"/>
      <c r="C93" s="3420" t="s">
        <v>3015</v>
      </c>
      <c r="D93" s="3420" t="s">
        <v>3016</v>
      </c>
      <c r="E93" s="3443">
        <v>0.15</v>
      </c>
      <c r="F93" s="3442">
        <v>20</v>
      </c>
    </row>
    <row r="94" spans="1:6" s="1071" customFormat="1" ht="24">
      <c r="A94" s="3442">
        <v>22</v>
      </c>
      <c r="B94" s="3701"/>
      <c r="C94" s="3420" t="s">
        <v>3017</v>
      </c>
      <c r="D94" s="3420" t="s">
        <v>3018</v>
      </c>
      <c r="E94" s="3443">
        <v>0.15</v>
      </c>
      <c r="F94" s="3442">
        <v>20</v>
      </c>
    </row>
    <row r="95" spans="1:6" s="1071" customFormat="1" ht="48">
      <c r="A95" s="3442">
        <v>23</v>
      </c>
      <c r="B95" s="3701"/>
      <c r="C95" s="3420" t="s">
        <v>3019</v>
      </c>
      <c r="D95" s="3420" t="s">
        <v>3020</v>
      </c>
      <c r="E95" s="3443">
        <v>0.15</v>
      </c>
      <c r="F95" s="3442">
        <v>20</v>
      </c>
    </row>
    <row r="96" spans="1:6" s="1071" customFormat="1" ht="24">
      <c r="A96" s="3442">
        <v>24</v>
      </c>
      <c r="B96" s="3701"/>
      <c r="C96" s="3420" t="s">
        <v>3021</v>
      </c>
      <c r="D96" s="3420" t="s">
        <v>3022</v>
      </c>
      <c r="E96" s="3443">
        <v>0.1</v>
      </c>
      <c r="F96" s="3442">
        <v>15</v>
      </c>
    </row>
    <row r="97" spans="1:6" s="1071" customFormat="1" ht="24">
      <c r="A97" s="3442">
        <v>25</v>
      </c>
      <c r="B97" s="3701"/>
      <c r="C97" s="3420" t="s">
        <v>3023</v>
      </c>
      <c r="D97" s="3420" t="s">
        <v>3024</v>
      </c>
      <c r="E97" s="3443">
        <v>0.1</v>
      </c>
      <c r="F97" s="3442">
        <v>15</v>
      </c>
    </row>
    <row r="98" spans="1:6" s="1071" customFormat="1" ht="36">
      <c r="A98" s="3442">
        <v>26</v>
      </c>
      <c r="B98" s="3701"/>
      <c r="C98" s="3420" t="s">
        <v>3025</v>
      </c>
      <c r="D98" s="3420" t="s">
        <v>3026</v>
      </c>
      <c r="E98" s="3443">
        <v>0.1</v>
      </c>
      <c r="F98" s="3442">
        <v>15</v>
      </c>
    </row>
    <row r="99" spans="1:6" s="1071" customFormat="1" ht="24">
      <c r="A99" s="3442">
        <v>27</v>
      </c>
      <c r="B99" s="3701"/>
      <c r="C99" s="3420" t="s">
        <v>3027</v>
      </c>
      <c r="D99" s="3420" t="s">
        <v>3028</v>
      </c>
      <c r="E99" s="3443">
        <v>0.1</v>
      </c>
      <c r="F99" s="3442">
        <v>15</v>
      </c>
    </row>
    <row r="100" spans="1:6" s="1071" customFormat="1" ht="24">
      <c r="A100" s="3442">
        <v>28</v>
      </c>
      <c r="B100" s="3701"/>
      <c r="C100" s="3420" t="s">
        <v>3029</v>
      </c>
      <c r="D100" s="3420" t="s">
        <v>3030</v>
      </c>
      <c r="E100" s="3443">
        <v>0.1</v>
      </c>
      <c r="F100" s="3442">
        <v>15</v>
      </c>
    </row>
    <row r="101" spans="1:6" s="1071" customFormat="1" ht="24">
      <c r="A101" s="3442">
        <v>29</v>
      </c>
      <c r="B101" s="3701"/>
      <c r="C101" s="3420" t="s">
        <v>3031</v>
      </c>
      <c r="D101" s="3420" t="s">
        <v>3032</v>
      </c>
      <c r="E101" s="3443">
        <v>0.1</v>
      </c>
      <c r="F101" s="3442">
        <v>15</v>
      </c>
    </row>
    <row r="102" spans="1:6" s="1071" customFormat="1" ht="24">
      <c r="A102" s="3442">
        <v>30</v>
      </c>
      <c r="B102" s="3701"/>
      <c r="C102" s="3420" t="s">
        <v>3033</v>
      </c>
      <c r="D102" s="3420" t="s">
        <v>3034</v>
      </c>
      <c r="E102" s="3443">
        <v>0.1</v>
      </c>
      <c r="F102" s="3442">
        <v>15</v>
      </c>
    </row>
    <row r="103" spans="1:6" s="1071" customFormat="1" ht="24">
      <c r="A103" s="3442">
        <v>31</v>
      </c>
      <c r="B103" s="3701"/>
      <c r="C103" s="3420" t="s">
        <v>3035</v>
      </c>
      <c r="D103" s="3420" t="s">
        <v>3036</v>
      </c>
      <c r="E103" s="3443">
        <v>0.1</v>
      </c>
      <c r="F103" s="3442">
        <v>15</v>
      </c>
    </row>
    <row r="104" spans="1:6" s="1071" customFormat="1" ht="36">
      <c r="A104" s="3442">
        <v>32</v>
      </c>
      <c r="B104" s="3701"/>
      <c r="C104" s="3420" t="s">
        <v>3037</v>
      </c>
      <c r="D104" s="3420" t="s">
        <v>3038</v>
      </c>
      <c r="E104" s="3443">
        <v>0.1</v>
      </c>
      <c r="F104" s="3442">
        <v>15</v>
      </c>
    </row>
    <row r="105" spans="1:6" s="1071" customFormat="1" ht="36">
      <c r="A105" s="3442">
        <v>33</v>
      </c>
      <c r="B105" s="3701"/>
      <c r="C105" s="3420" t="s">
        <v>3039</v>
      </c>
      <c r="D105" s="3420" t="s">
        <v>3040</v>
      </c>
      <c r="E105" s="3443">
        <v>0.1</v>
      </c>
      <c r="F105" s="3442">
        <v>15</v>
      </c>
    </row>
    <row r="106" spans="1:6" s="1071" customFormat="1" ht="24">
      <c r="A106" s="3442">
        <v>34</v>
      </c>
      <c r="B106" s="3707"/>
      <c r="C106" s="3420" t="s">
        <v>3041</v>
      </c>
      <c r="D106" s="3420" t="s">
        <v>3042</v>
      </c>
      <c r="E106" s="3443">
        <v>0.1</v>
      </c>
      <c r="F106" s="3442">
        <v>15</v>
      </c>
    </row>
    <row r="107" spans="1:6" s="1071" customFormat="1" ht="36">
      <c r="A107" s="3442">
        <v>35</v>
      </c>
      <c r="B107" s="3706" t="s">
        <v>3043</v>
      </c>
      <c r="C107" s="3442" t="s">
        <v>3044</v>
      </c>
      <c r="D107" s="3420" t="s">
        <v>3045</v>
      </c>
      <c r="E107" s="3443">
        <v>0.15</v>
      </c>
      <c r="F107" s="3442">
        <v>20</v>
      </c>
    </row>
    <row r="108" spans="1:6" s="1071" customFormat="1" ht="24">
      <c r="A108" s="3442">
        <v>36</v>
      </c>
      <c r="B108" s="3701"/>
      <c r="C108" s="3442" t="s">
        <v>3046</v>
      </c>
      <c r="D108" s="3420" t="s">
        <v>3047</v>
      </c>
      <c r="E108" s="3443">
        <v>0.15</v>
      </c>
      <c r="F108" s="3442">
        <v>20</v>
      </c>
    </row>
    <row r="109" spans="1:6" s="1071" customFormat="1" ht="24">
      <c r="A109" s="3442">
        <v>37</v>
      </c>
      <c r="B109" s="3701"/>
      <c r="C109" s="3442" t="s">
        <v>3048</v>
      </c>
      <c r="D109" s="3420" t="s">
        <v>3049</v>
      </c>
      <c r="E109" s="3443">
        <v>0.15</v>
      </c>
      <c r="F109" s="3442">
        <v>20</v>
      </c>
    </row>
    <row r="110" spans="1:6" s="1071" customFormat="1" ht="24">
      <c r="A110" s="3442">
        <v>38</v>
      </c>
      <c r="B110" s="3701"/>
      <c r="C110" s="3442" t="s">
        <v>3050</v>
      </c>
      <c r="D110" s="3420" t="s">
        <v>3051</v>
      </c>
      <c r="E110" s="3443">
        <v>0.1</v>
      </c>
      <c r="F110" s="3442">
        <v>15</v>
      </c>
    </row>
    <row r="111" spans="1:6" s="1071" customFormat="1" ht="24">
      <c r="A111" s="3442">
        <v>39</v>
      </c>
      <c r="B111" s="3701"/>
      <c r="C111" s="3442" t="s">
        <v>3052</v>
      </c>
      <c r="D111" s="3420" t="s">
        <v>3053</v>
      </c>
      <c r="E111" s="3443">
        <v>0.1</v>
      </c>
      <c r="F111" s="3442">
        <v>15</v>
      </c>
    </row>
    <row r="112" spans="1:6" s="1071" customFormat="1" ht="24">
      <c r="A112" s="3442">
        <v>40</v>
      </c>
      <c r="B112" s="3707"/>
      <c r="C112" s="3442" t="s">
        <v>3054</v>
      </c>
      <c r="D112" s="3420" t="s">
        <v>3055</v>
      </c>
      <c r="E112" s="3443">
        <v>0.1</v>
      </c>
      <c r="F112" s="3442">
        <v>15</v>
      </c>
    </row>
    <row r="113" spans="1:6" s="1071" customFormat="1" ht="24">
      <c r="A113" s="3442">
        <v>41</v>
      </c>
      <c r="B113" s="3708" t="s">
        <v>3056</v>
      </c>
      <c r="C113" s="3442" t="s">
        <v>3057</v>
      </c>
      <c r="D113" s="3420" t="s">
        <v>3058</v>
      </c>
      <c r="E113" s="3443">
        <v>0.1</v>
      </c>
      <c r="F113" s="3442">
        <v>15</v>
      </c>
    </row>
    <row r="114" spans="1:6" s="1071" customFormat="1" ht="24">
      <c r="A114" s="3442">
        <v>42</v>
      </c>
      <c r="B114" s="3708"/>
      <c r="C114" s="3442" t="s">
        <v>3059</v>
      </c>
      <c r="D114" s="3420" t="s">
        <v>3060</v>
      </c>
      <c r="E114" s="3443">
        <v>0.1</v>
      </c>
      <c r="F114" s="3442">
        <v>15</v>
      </c>
    </row>
    <row r="115" spans="1:6" s="1071" customFormat="1" ht="24">
      <c r="A115" s="3442">
        <v>43</v>
      </c>
      <c r="B115" s="3708"/>
      <c r="C115" s="3442" t="s">
        <v>3061</v>
      </c>
      <c r="D115" s="3420" t="s">
        <v>3062</v>
      </c>
      <c r="E115" s="3443">
        <v>0.1</v>
      </c>
      <c r="F115" s="3442">
        <v>15</v>
      </c>
    </row>
    <row r="116" spans="1:6" s="1071" customFormat="1" ht="24">
      <c r="A116" s="3442">
        <v>44</v>
      </c>
      <c r="B116" s="3706" t="s">
        <v>3063</v>
      </c>
      <c r="C116" s="3442" t="s">
        <v>3064</v>
      </c>
      <c r="D116" s="3420" t="s">
        <v>3065</v>
      </c>
      <c r="E116" s="3443">
        <v>0.1</v>
      </c>
      <c r="F116" s="3442">
        <v>15</v>
      </c>
    </row>
    <row r="117" spans="1:6" s="1071" customFormat="1" ht="24">
      <c r="A117" s="3442">
        <v>45</v>
      </c>
      <c r="B117" s="3707"/>
      <c r="C117" s="3420" t="s">
        <v>3066</v>
      </c>
      <c r="D117" s="3420" t="s">
        <v>3067</v>
      </c>
      <c r="E117" s="3443">
        <v>0.1</v>
      </c>
      <c r="F117" s="3442">
        <v>15</v>
      </c>
    </row>
    <row r="118" spans="1:6" s="1071" customFormat="1" ht="24">
      <c r="A118" s="3442">
        <v>46</v>
      </c>
      <c r="B118" s="3706" t="s">
        <v>3068</v>
      </c>
      <c r="C118" s="3442" t="s">
        <v>3069</v>
      </c>
      <c r="D118" s="3420" t="s">
        <v>3070</v>
      </c>
      <c r="E118" s="3443">
        <v>0.1</v>
      </c>
      <c r="F118" s="3442">
        <v>15</v>
      </c>
    </row>
    <row r="119" spans="1:6" s="1071" customFormat="1" ht="24">
      <c r="A119" s="3442">
        <v>47</v>
      </c>
      <c r="B119" s="3707"/>
      <c r="C119" s="3442" t="s">
        <v>3071</v>
      </c>
      <c r="D119" s="3420" t="s">
        <v>3072</v>
      </c>
      <c r="E119" s="3443">
        <v>0.1</v>
      </c>
      <c r="F119" s="3442">
        <v>15</v>
      </c>
    </row>
    <row r="120" spans="1:6" s="1071" customFormat="1" ht="24">
      <c r="A120" s="3442">
        <v>48</v>
      </c>
      <c r="B120" s="3706" t="s">
        <v>3073</v>
      </c>
      <c r="C120" s="3442" t="s">
        <v>3074</v>
      </c>
      <c r="D120" s="3420" t="s">
        <v>3075</v>
      </c>
      <c r="E120" s="3443">
        <v>0.1</v>
      </c>
      <c r="F120" s="3442">
        <v>15</v>
      </c>
    </row>
    <row r="121" spans="1:6" s="1071" customFormat="1" ht="24">
      <c r="A121" s="3442">
        <v>49</v>
      </c>
      <c r="B121" s="3707"/>
      <c r="C121" s="3442" t="s">
        <v>3076</v>
      </c>
      <c r="D121" s="3420" t="s">
        <v>3077</v>
      </c>
      <c r="E121" s="3443">
        <v>0.1</v>
      </c>
      <c r="F121" s="3442">
        <v>15</v>
      </c>
    </row>
    <row r="122" spans="1:6" s="1071" customFormat="1" ht="24">
      <c r="A122" s="3442">
        <v>50</v>
      </c>
      <c r="B122" s="3708" t="s">
        <v>3078</v>
      </c>
      <c r="C122" s="3442" t="s">
        <v>3079</v>
      </c>
      <c r="D122" s="3420" t="s">
        <v>3080</v>
      </c>
      <c r="E122" s="3443">
        <v>0.1</v>
      </c>
      <c r="F122" s="3442">
        <v>15</v>
      </c>
    </row>
    <row r="123" spans="1:6" s="1071" customFormat="1" ht="24">
      <c r="A123" s="3442">
        <v>51</v>
      </c>
      <c r="B123" s="3708"/>
      <c r="C123" s="3442" t="s">
        <v>3081</v>
      </c>
      <c r="D123" s="3420" t="s">
        <v>3082</v>
      </c>
      <c r="E123" s="3443">
        <v>0.1</v>
      </c>
      <c r="F123" s="3442">
        <v>15</v>
      </c>
    </row>
    <row r="124" spans="1:6" s="1071" customFormat="1" ht="24">
      <c r="A124" s="3442">
        <v>52</v>
      </c>
      <c r="B124" s="3708" t="s">
        <v>3083</v>
      </c>
      <c r="C124" s="3442" t="s">
        <v>3084</v>
      </c>
      <c r="D124" s="3420" t="s">
        <v>3085</v>
      </c>
      <c r="E124" s="3443">
        <v>0.1</v>
      </c>
      <c r="F124" s="3442">
        <v>15</v>
      </c>
    </row>
    <row r="125" spans="1:6" s="1071" customFormat="1" ht="24">
      <c r="A125" s="3442">
        <v>53</v>
      </c>
      <c r="B125" s="3708"/>
      <c r="C125" s="3442" t="s">
        <v>3086</v>
      </c>
      <c r="D125" s="3420" t="s">
        <v>3087</v>
      </c>
      <c r="E125" s="3443">
        <v>0.1</v>
      </c>
      <c r="F125" s="3442">
        <v>15</v>
      </c>
    </row>
    <row r="126" spans="1:6" ht="24">
      <c r="A126" s="3442">
        <v>54</v>
      </c>
      <c r="B126" s="3442" t="s">
        <v>3088</v>
      </c>
      <c r="C126" s="3442" t="s">
        <v>3089</v>
      </c>
      <c r="D126" s="3420" t="s">
        <v>3090</v>
      </c>
      <c r="E126" s="3443">
        <v>0.1</v>
      </c>
      <c r="F126" s="3442">
        <v>15</v>
      </c>
    </row>
    <row r="127" spans="1:6" ht="24">
      <c r="A127" s="3442">
        <v>55</v>
      </c>
      <c r="B127" s="3708" t="s">
        <v>3091</v>
      </c>
      <c r="C127" s="3442" t="s">
        <v>3092</v>
      </c>
      <c r="D127" s="3420" t="s">
        <v>3093</v>
      </c>
      <c r="E127" s="3443">
        <v>0.1</v>
      </c>
      <c r="F127" s="3442">
        <v>15</v>
      </c>
    </row>
    <row r="128" spans="1:6" ht="24">
      <c r="A128" s="3442">
        <v>56</v>
      </c>
      <c r="B128" s="3708"/>
      <c r="C128" s="3442" t="s">
        <v>3094</v>
      </c>
      <c r="D128" s="3420" t="s">
        <v>3095</v>
      </c>
      <c r="E128" s="3443">
        <v>0.1</v>
      </c>
      <c r="F128" s="3442">
        <v>15</v>
      </c>
    </row>
    <row r="129" spans="1:14" ht="24">
      <c r="A129" s="3442">
        <v>57</v>
      </c>
      <c r="B129" s="3708"/>
      <c r="C129" s="3442" t="s">
        <v>3096</v>
      </c>
      <c r="D129" s="3420" t="s">
        <v>3097</v>
      </c>
      <c r="E129" s="3443">
        <v>0.1</v>
      </c>
      <c r="F129" s="3442">
        <v>15</v>
      </c>
    </row>
    <row r="130" spans="1:14" ht="24">
      <c r="A130" s="3442">
        <v>58</v>
      </c>
      <c r="B130" s="3708" t="s">
        <v>3098</v>
      </c>
      <c r="C130" s="3442" t="s">
        <v>3099</v>
      </c>
      <c r="D130" s="3420" t="s">
        <v>3100</v>
      </c>
      <c r="E130" s="3443">
        <v>0.1</v>
      </c>
      <c r="F130" s="3442">
        <v>15</v>
      </c>
    </row>
    <row r="131" spans="1:14" ht="24">
      <c r="A131" s="3442">
        <v>59</v>
      </c>
      <c r="B131" s="3708"/>
      <c r="C131" s="3442" t="s">
        <v>3101</v>
      </c>
      <c r="D131" s="3420" t="s">
        <v>3102</v>
      </c>
      <c r="E131" s="3443">
        <v>0.1</v>
      </c>
      <c r="F131" s="3442">
        <v>15</v>
      </c>
    </row>
    <row r="132" spans="1:14" ht="24">
      <c r="A132" s="3442">
        <v>60</v>
      </c>
      <c r="B132" s="3706" t="s">
        <v>3103</v>
      </c>
      <c r="C132" s="3442" t="s">
        <v>3104</v>
      </c>
      <c r="D132" s="3420" t="s">
        <v>3105</v>
      </c>
      <c r="E132" s="3443">
        <v>0.1</v>
      </c>
      <c r="F132" s="3442">
        <v>15</v>
      </c>
    </row>
    <row r="133" spans="1:14" ht="24">
      <c r="A133" s="3442">
        <v>61</v>
      </c>
      <c r="B133" s="3707"/>
      <c r="C133" s="3442" t="s">
        <v>3106</v>
      </c>
      <c r="D133" s="3420" t="s">
        <v>3107</v>
      </c>
      <c r="E133" s="3443">
        <v>0.1</v>
      </c>
      <c r="F133" s="3442">
        <v>15</v>
      </c>
    </row>
    <row r="134" spans="1:14" ht="24">
      <c r="A134" s="3442">
        <v>62</v>
      </c>
      <c r="B134" s="3442" t="s">
        <v>3108</v>
      </c>
      <c r="C134" s="3442" t="s">
        <v>3109</v>
      </c>
      <c r="D134" s="3420" t="s">
        <v>3110</v>
      </c>
      <c r="E134" s="3443">
        <v>0.1</v>
      </c>
      <c r="F134" s="3442">
        <v>15</v>
      </c>
    </row>
    <row r="135" spans="1:14" ht="24">
      <c r="A135" s="3442">
        <v>63</v>
      </c>
      <c r="B135" s="3708" t="s">
        <v>3111</v>
      </c>
      <c r="C135" s="3442" t="s">
        <v>3112</v>
      </c>
      <c r="D135" s="3420" t="s">
        <v>3113</v>
      </c>
      <c r="E135" s="3443">
        <v>0.1</v>
      </c>
      <c r="F135" s="3442">
        <v>15</v>
      </c>
    </row>
    <row r="136" spans="1:14" ht="24">
      <c r="A136" s="3442">
        <v>64</v>
      </c>
      <c r="B136" s="3708"/>
      <c r="C136" s="3442" t="s">
        <v>3114</v>
      </c>
      <c r="D136" s="3420" t="s">
        <v>3115</v>
      </c>
      <c r="E136" s="3443">
        <v>0.1</v>
      </c>
      <c r="F136" s="3442">
        <v>15</v>
      </c>
    </row>
    <row r="137" spans="1:14" ht="24">
      <c r="A137" s="3442">
        <v>65</v>
      </c>
      <c r="B137" s="3442" t="s">
        <v>3116</v>
      </c>
      <c r="C137" s="3442" t="s">
        <v>3117</v>
      </c>
      <c r="D137" s="3420" t="s">
        <v>3118</v>
      </c>
      <c r="E137" s="3443">
        <v>0.1</v>
      </c>
      <c r="F137" s="3442">
        <v>15</v>
      </c>
    </row>
    <row r="138" spans="1:14">
      <c r="A138" s="1101"/>
      <c r="B138" s="3400"/>
      <c r="C138" s="1101"/>
      <c r="D138" s="1034"/>
      <c r="E138" s="1086"/>
      <c r="F138" s="1101"/>
    </row>
    <row r="139" spans="1:14">
      <c r="A139" s="1101"/>
      <c r="B139" s="1101"/>
      <c r="C139" s="1101"/>
      <c r="D139" s="1101"/>
      <c r="E139" s="1086"/>
      <c r="F139" s="1101"/>
    </row>
    <row r="141" spans="1:14">
      <c r="A141" s="3695" t="s">
        <v>1434</v>
      </c>
      <c r="B141" s="3695"/>
      <c r="C141" s="3695"/>
      <c r="D141" s="3695"/>
      <c r="E141" s="3695"/>
      <c r="F141" s="3695"/>
      <c r="G141" s="3695"/>
      <c r="H141" s="3695"/>
      <c r="I141" s="3695"/>
      <c r="J141" s="3695"/>
      <c r="K141" s="1102"/>
      <c r="L141" s="1102"/>
      <c r="M141" s="1102"/>
      <c r="N141" s="1102"/>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71" customWidth="1"/>
    <col min="2" max="5" width="10.21875" style="1032" customWidth="1"/>
    <col min="6" max="6" width="9" style="1032"/>
    <col min="7" max="7" width="9" style="1035"/>
    <col min="8" max="8" width="9" style="1032"/>
    <col min="9" max="9" width="9" style="1035"/>
    <col min="10" max="16384" width="9" style="1032"/>
  </cols>
  <sheetData>
    <row r="1" spans="1:20">
      <c r="A1" s="3709" t="s">
        <v>1018</v>
      </c>
      <c r="B1" s="3709"/>
      <c r="C1" s="3709"/>
      <c r="D1" s="3709"/>
      <c r="E1" s="3709"/>
      <c r="F1" s="3709"/>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5" thickBot="1">
      <c r="A2" s="3710" t="s">
        <v>1031</v>
      </c>
      <c r="B2" s="3710"/>
      <c r="C2" s="3710"/>
      <c r="D2" s="3710"/>
      <c r="E2" s="3710"/>
      <c r="F2" s="3710"/>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11"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12"/>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07"/>
    <col min="2" max="16384" width="9" style="981"/>
  </cols>
  <sheetData>
    <row r="1" spans="1:14" ht="15.6">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5.6">
      <c r="A103" s="979" t="s">
        <v>883</v>
      </c>
      <c r="B103" s="980"/>
      <c r="C103" s="980"/>
      <c r="D103" s="980"/>
      <c r="E103" s="980"/>
      <c r="F103" s="980"/>
      <c r="G103" s="980"/>
      <c r="H103" s="980"/>
      <c r="I103" s="980"/>
      <c r="J103" s="980"/>
      <c r="K103" s="980"/>
      <c r="L103" s="980"/>
      <c r="M103" s="980"/>
      <c r="N103" s="980"/>
    </row>
    <row r="104" spans="1:14" ht="15.6">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5.6">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5.6">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50" customWidth="1"/>
    <col min="2" max="2" width="10.21875" style="1751" customWidth="1"/>
  </cols>
  <sheetData>
    <row r="1" spans="1:6">
      <c r="A1" s="3713" t="s">
        <v>1871</v>
      </c>
      <c r="B1" s="3713"/>
    </row>
    <row r="2" spans="1:6" ht="15" thickBot="1">
      <c r="A2" s="1721"/>
      <c r="B2" s="1721"/>
    </row>
    <row r="3" spans="1:6" ht="15" thickBot="1">
      <c r="A3" s="1721"/>
      <c r="B3" s="1721"/>
      <c r="C3" s="1722" t="s">
        <v>1872</v>
      </c>
      <c r="D3" s="1722" t="s">
        <v>1873</v>
      </c>
      <c r="E3" s="1722" t="s">
        <v>1874</v>
      </c>
      <c r="F3" s="1722" t="s">
        <v>1875</v>
      </c>
    </row>
    <row r="4" spans="1:6" ht="15" thickBot="1">
      <c r="A4" s="1723" t="s">
        <v>1876</v>
      </c>
      <c r="B4" s="1724" t="s">
        <v>1877</v>
      </c>
      <c r="C4" s="1722"/>
      <c r="D4" s="1722"/>
      <c r="E4" s="1722"/>
      <c r="F4" s="1722"/>
    </row>
    <row r="5" spans="1:6" ht="15" thickBot="1">
      <c r="A5" s="1725" t="s">
        <v>1878</v>
      </c>
      <c r="B5" s="1726" t="s">
        <v>1879</v>
      </c>
      <c r="C5" s="1727">
        <v>8.8999999999999996E-2</v>
      </c>
      <c r="D5" s="1727">
        <v>7.3999999999999996E-2</v>
      </c>
      <c r="E5" s="1727">
        <v>7.4999999999999997E-2</v>
      </c>
      <c r="F5" s="1728">
        <v>0.1</v>
      </c>
    </row>
    <row r="6" spans="1:6" ht="15" thickBot="1">
      <c r="A6" s="1725" t="s">
        <v>1075</v>
      </c>
      <c r="B6" s="1729" t="s">
        <v>1880</v>
      </c>
      <c r="C6" s="1730">
        <v>0.1</v>
      </c>
      <c r="D6" s="1730">
        <v>9.0999999999999998E-2</v>
      </c>
      <c r="E6" s="1730">
        <v>9.0999999999999998E-2</v>
      </c>
      <c r="F6" s="1731">
        <v>0.1</v>
      </c>
    </row>
    <row r="7" spans="1:6" ht="15" thickBot="1">
      <c r="A7" s="1725" t="s">
        <v>1075</v>
      </c>
      <c r="B7" s="1732" t="s">
        <v>1063</v>
      </c>
      <c r="C7" s="1730">
        <v>8.5999999999999993E-2</v>
      </c>
      <c r="D7" s="1730">
        <v>9.6000000000000002E-2</v>
      </c>
      <c r="E7" s="1730">
        <v>7.5999999999999998E-2</v>
      </c>
      <c r="F7" s="1731">
        <v>0.1</v>
      </c>
    </row>
    <row r="8" spans="1:6" ht="15" thickBot="1">
      <c r="A8" s="1725" t="s">
        <v>1075</v>
      </c>
      <c r="B8" s="1729" t="s">
        <v>1076</v>
      </c>
      <c r="C8" s="1730">
        <v>9.9000000000000005E-2</v>
      </c>
      <c r="D8" s="1730">
        <v>9.8000000000000004E-2</v>
      </c>
      <c r="E8" s="1730">
        <v>9.8000000000000004E-2</v>
      </c>
      <c r="F8" s="1731">
        <v>0.1</v>
      </c>
    </row>
    <row r="9" spans="1:6" ht="15" thickBot="1">
      <c r="A9" s="1733" t="s">
        <v>1075</v>
      </c>
      <c r="B9" s="1734" t="s">
        <v>1090</v>
      </c>
      <c r="C9" s="1735">
        <v>0.05</v>
      </c>
      <c r="D9" s="1736"/>
      <c r="E9" s="1736"/>
      <c r="F9" s="1737"/>
    </row>
    <row r="10" spans="1:6" ht="15" thickBot="1">
      <c r="A10" s="1725" t="s">
        <v>1134</v>
      </c>
      <c r="B10" s="1726" t="s">
        <v>1881</v>
      </c>
      <c r="C10" s="1727">
        <v>8.8999999999999996E-2</v>
      </c>
      <c r="D10" s="1727">
        <v>7.2999999999999995E-2</v>
      </c>
      <c r="E10" s="1727">
        <v>8.2000000000000003E-2</v>
      </c>
      <c r="F10" s="1728">
        <v>0.1</v>
      </c>
    </row>
    <row r="11" spans="1:6" ht="15" thickBot="1">
      <c r="A11" s="1725" t="s">
        <v>1134</v>
      </c>
      <c r="B11" s="1732" t="s">
        <v>1050</v>
      </c>
      <c r="C11" s="1730">
        <v>8.8999999999999996E-2</v>
      </c>
      <c r="D11" s="1730">
        <v>7.2999999999999995E-2</v>
      </c>
      <c r="E11" s="1730">
        <v>8.2000000000000003E-2</v>
      </c>
      <c r="F11" s="1731">
        <v>0.1</v>
      </c>
    </row>
    <row r="12" spans="1:6" ht="15" thickBot="1">
      <c r="A12" s="1725" t="s">
        <v>1134</v>
      </c>
      <c r="B12" s="1732" t="s">
        <v>1064</v>
      </c>
      <c r="C12" s="1730">
        <v>6.0999999999999999E-2</v>
      </c>
      <c r="D12" s="1730">
        <v>7.0999999999999994E-2</v>
      </c>
      <c r="E12" s="1730">
        <v>9.6000000000000002E-2</v>
      </c>
      <c r="F12" s="1731">
        <v>0.1</v>
      </c>
    </row>
    <row r="13" spans="1:6" ht="15" thickBot="1">
      <c r="A13" s="1725" t="s">
        <v>1134</v>
      </c>
      <c r="B13" s="1732" t="s">
        <v>1077</v>
      </c>
      <c r="C13" s="1730">
        <v>6.9000000000000006E-2</v>
      </c>
      <c r="D13" s="1730">
        <v>6.5000000000000002E-2</v>
      </c>
      <c r="E13" s="1730">
        <v>6.6000000000000003E-2</v>
      </c>
      <c r="F13" s="1731">
        <v>0.1</v>
      </c>
    </row>
    <row r="14" spans="1:6" ht="15" thickBot="1">
      <c r="A14" s="1725" t="s">
        <v>1134</v>
      </c>
      <c r="B14" s="1732" t="s">
        <v>1091</v>
      </c>
      <c r="C14" s="1730">
        <v>0.1</v>
      </c>
      <c r="D14" s="1730">
        <v>6.5000000000000002E-2</v>
      </c>
      <c r="E14" s="1730">
        <v>7.0000000000000007E-2</v>
      </c>
      <c r="F14" s="1731">
        <v>0.1</v>
      </c>
    </row>
    <row r="15" spans="1:6" ht="15" thickBot="1">
      <c r="A15" s="1725" t="s">
        <v>1134</v>
      </c>
      <c r="B15" s="1732" t="s">
        <v>1102</v>
      </c>
      <c r="C15" s="1730">
        <v>9.8000000000000004E-2</v>
      </c>
      <c r="D15" s="1730">
        <v>8.8999999999999996E-2</v>
      </c>
      <c r="E15" s="1730">
        <v>8.8999999999999996E-2</v>
      </c>
      <c r="F15" s="1731">
        <v>0.1</v>
      </c>
    </row>
    <row r="16" spans="1:6" ht="15" thickBot="1">
      <c r="A16" s="1725" t="s">
        <v>1134</v>
      </c>
      <c r="B16" s="1732" t="s">
        <v>1113</v>
      </c>
      <c r="C16" s="1730">
        <v>7.0000000000000007E-2</v>
      </c>
      <c r="D16" s="1730">
        <v>9.2999999999999999E-2</v>
      </c>
      <c r="E16" s="1730">
        <v>9.6000000000000002E-2</v>
      </c>
      <c r="F16" s="1731">
        <v>0.1</v>
      </c>
    </row>
    <row r="17" spans="1:6" ht="15" thickBot="1">
      <c r="A17" s="1725" t="s">
        <v>1134</v>
      </c>
      <c r="B17" s="1732" t="s">
        <v>1124</v>
      </c>
      <c r="C17" s="1730">
        <v>9.5000000000000001E-2</v>
      </c>
      <c r="D17" s="1730">
        <v>0.1</v>
      </c>
      <c r="E17" s="1730">
        <v>0.1</v>
      </c>
      <c r="F17" s="1738"/>
    </row>
    <row r="18" spans="1:6" ht="15" thickBot="1">
      <c r="A18" s="1725" t="s">
        <v>1134</v>
      </c>
      <c r="B18" s="1732" t="s">
        <v>1136</v>
      </c>
      <c r="C18" s="1730">
        <v>7.3999999999999996E-2</v>
      </c>
      <c r="D18" s="1730">
        <v>9.9000000000000005E-2</v>
      </c>
      <c r="E18" s="1730">
        <v>0.1</v>
      </c>
      <c r="F18" s="1738"/>
    </row>
    <row r="19" spans="1:6" ht="15" thickBot="1">
      <c r="A19" s="1725" t="s">
        <v>1134</v>
      </c>
      <c r="B19" s="1732" t="s">
        <v>1146</v>
      </c>
      <c r="C19" s="1730">
        <v>9.9000000000000005E-2</v>
      </c>
      <c r="D19" s="1730">
        <v>7.5999999999999998E-2</v>
      </c>
      <c r="E19" s="1730">
        <v>8.6999999999999994E-2</v>
      </c>
      <c r="F19" s="1738"/>
    </row>
    <row r="20" spans="1:6" ht="15" thickBot="1">
      <c r="A20" s="1725" t="s">
        <v>1134</v>
      </c>
      <c r="B20" s="1732" t="s">
        <v>1156</v>
      </c>
      <c r="C20" s="1730">
        <v>9.8000000000000004E-2</v>
      </c>
      <c r="D20" s="1730">
        <v>8.5000000000000006E-2</v>
      </c>
      <c r="E20" s="1730">
        <v>8.2000000000000003E-2</v>
      </c>
      <c r="F20" s="1738"/>
    </row>
    <row r="21" spans="1:6" ht="15" thickBot="1">
      <c r="A21" s="1725" t="s">
        <v>1134</v>
      </c>
      <c r="B21" s="1732" t="s">
        <v>1166</v>
      </c>
      <c r="C21" s="1730">
        <v>6.6000000000000003E-2</v>
      </c>
      <c r="D21" s="1730">
        <v>6.4000000000000001E-2</v>
      </c>
      <c r="E21" s="1730">
        <v>6.5000000000000002E-2</v>
      </c>
      <c r="F21" s="1738"/>
    </row>
    <row r="22" spans="1:6" ht="15" thickBot="1">
      <c r="A22" s="1725" t="s">
        <v>1134</v>
      </c>
      <c r="B22" s="1732" t="s">
        <v>1882</v>
      </c>
      <c r="C22" s="1730">
        <v>0.08</v>
      </c>
      <c r="D22" s="1730">
        <v>9.8000000000000004E-2</v>
      </c>
      <c r="E22" s="1730">
        <v>9.8000000000000004E-2</v>
      </c>
      <c r="F22" s="1738"/>
    </row>
    <row r="23" spans="1:6" ht="15" thickBot="1">
      <c r="A23" s="1725" t="s">
        <v>1134</v>
      </c>
      <c r="B23" s="1732" t="s">
        <v>1186</v>
      </c>
      <c r="C23" s="1730">
        <v>9.9000000000000005E-2</v>
      </c>
      <c r="D23" s="1730">
        <v>9.8000000000000004E-2</v>
      </c>
      <c r="E23" s="1730">
        <v>9.0999999999999998E-2</v>
      </c>
      <c r="F23" s="1738"/>
    </row>
    <row r="24" spans="1:6" ht="15" thickBot="1">
      <c r="A24" s="1725" t="s">
        <v>1134</v>
      </c>
      <c r="B24" s="1732" t="s">
        <v>1196</v>
      </c>
      <c r="C24" s="1730">
        <v>8.8999999999999996E-2</v>
      </c>
      <c r="D24" s="1730">
        <v>9.7000000000000003E-2</v>
      </c>
      <c r="E24" s="1730">
        <v>7.0000000000000007E-2</v>
      </c>
      <c r="F24" s="1738"/>
    </row>
    <row r="25" spans="1:6" ht="15" thickBot="1">
      <c r="A25" s="1725" t="s">
        <v>1134</v>
      </c>
      <c r="B25" s="1732" t="s">
        <v>1206</v>
      </c>
      <c r="C25" s="1730">
        <v>8.8999999999999996E-2</v>
      </c>
      <c r="D25" s="1730">
        <v>0.1</v>
      </c>
      <c r="E25" s="1730">
        <v>8.1000000000000003E-2</v>
      </c>
      <c r="F25" s="1738"/>
    </row>
    <row r="26" spans="1:6" ht="15" thickBot="1">
      <c r="A26" s="1725" t="s">
        <v>1134</v>
      </c>
      <c r="B26" s="1732" t="s">
        <v>1216</v>
      </c>
      <c r="C26" s="1739"/>
      <c r="D26" s="1730">
        <v>9.6000000000000002E-2</v>
      </c>
      <c r="E26" s="1730">
        <v>9.2999999999999999E-2</v>
      </c>
      <c r="F26" s="1738"/>
    </row>
    <row r="27" spans="1:6" ht="15" thickBot="1">
      <c r="A27" s="1725" t="s">
        <v>1134</v>
      </c>
      <c r="B27" s="1732" t="s">
        <v>1226</v>
      </c>
      <c r="C27" s="1739"/>
      <c r="D27" s="1730">
        <v>7.5999999999999998E-2</v>
      </c>
      <c r="E27" s="1730">
        <v>9.1999999999999998E-2</v>
      </c>
      <c r="F27" s="1738"/>
    </row>
    <row r="28" spans="1:6" ht="15" thickBot="1">
      <c r="A28" s="1733" t="s">
        <v>1134</v>
      </c>
      <c r="B28" s="1734" t="s">
        <v>1236</v>
      </c>
      <c r="C28" s="1736"/>
      <c r="D28" s="1735">
        <v>7.5999999999999998E-2</v>
      </c>
      <c r="E28" s="1735">
        <v>9.1999999999999998E-2</v>
      </c>
      <c r="F28" s="1737"/>
    </row>
    <row r="29" spans="1:6" ht="15" thickBot="1">
      <c r="A29" s="1725" t="s">
        <v>1305</v>
      </c>
      <c r="B29" s="1726" t="s">
        <v>1883</v>
      </c>
      <c r="C29" s="1727">
        <v>6.4000000000000001E-2</v>
      </c>
      <c r="D29" s="1727">
        <v>6.5000000000000002E-2</v>
      </c>
      <c r="E29" s="1727">
        <v>6.9000000000000006E-2</v>
      </c>
      <c r="F29" s="1728">
        <v>0.1</v>
      </c>
    </row>
    <row r="30" spans="1:6" ht="15" thickBot="1">
      <c r="A30" s="1725" t="s">
        <v>1305</v>
      </c>
      <c r="B30" s="1732" t="s">
        <v>1051</v>
      </c>
      <c r="C30" s="1730">
        <v>6.4000000000000001E-2</v>
      </c>
      <c r="D30" s="1730">
        <v>9.9000000000000005E-2</v>
      </c>
      <c r="E30" s="1730">
        <v>0.1</v>
      </c>
      <c r="F30" s="1731">
        <v>0.1</v>
      </c>
    </row>
    <row r="31" spans="1:6" ht="15" thickBot="1">
      <c r="A31" s="1725" t="s">
        <v>1305</v>
      </c>
      <c r="B31" s="1732" t="s">
        <v>1065</v>
      </c>
      <c r="C31" s="1730">
        <v>0.1</v>
      </c>
      <c r="D31" s="1730">
        <v>9.5000000000000001E-2</v>
      </c>
      <c r="E31" s="1730">
        <v>8.8999999999999996E-2</v>
      </c>
      <c r="F31" s="1731">
        <v>0.1</v>
      </c>
    </row>
    <row r="32" spans="1:6" ht="15" thickBot="1">
      <c r="A32" s="1725" t="s">
        <v>1305</v>
      </c>
      <c r="B32" s="1732" t="s">
        <v>1078</v>
      </c>
      <c r="C32" s="1730">
        <v>0.05</v>
      </c>
      <c r="D32" s="1730">
        <v>0.05</v>
      </c>
      <c r="E32" s="1730">
        <v>8.7999999999999995E-2</v>
      </c>
      <c r="F32" s="1731">
        <v>0.1</v>
      </c>
    </row>
    <row r="33" spans="1:6" ht="15" thickBot="1">
      <c r="A33" s="1725" t="s">
        <v>1305</v>
      </c>
      <c r="B33" s="1732" t="s">
        <v>1092</v>
      </c>
      <c r="C33" s="1730">
        <v>7.4999999999999997E-2</v>
      </c>
      <c r="D33" s="1730">
        <v>9.4E-2</v>
      </c>
      <c r="E33" s="1730">
        <v>9.7000000000000003E-2</v>
      </c>
      <c r="F33" s="1731">
        <v>0.1</v>
      </c>
    </row>
    <row r="34" spans="1:6" ht="15" thickBot="1">
      <c r="A34" s="1725" t="s">
        <v>1305</v>
      </c>
      <c r="B34" s="1732" t="s">
        <v>1103</v>
      </c>
      <c r="C34" s="1730">
        <v>9.8000000000000004E-2</v>
      </c>
      <c r="D34" s="1730">
        <v>8.5999999999999993E-2</v>
      </c>
      <c r="E34" s="1730">
        <v>9.7000000000000003E-2</v>
      </c>
      <c r="F34" s="1731">
        <v>0.1</v>
      </c>
    </row>
    <row r="35" spans="1:6" ht="15" thickBot="1">
      <c r="A35" s="1725" t="s">
        <v>1305</v>
      </c>
      <c r="B35" s="1732" t="s">
        <v>1114</v>
      </c>
      <c r="C35" s="1730">
        <v>5.8999999999999997E-2</v>
      </c>
      <c r="D35" s="1730">
        <v>6.5000000000000002E-2</v>
      </c>
      <c r="E35" s="1730">
        <v>7.0000000000000007E-2</v>
      </c>
      <c r="F35" s="1731">
        <v>0.1</v>
      </c>
    </row>
    <row r="36" spans="1:6" ht="15" thickBot="1">
      <c r="A36" s="1725" t="s">
        <v>1305</v>
      </c>
      <c r="B36" s="1732" t="s">
        <v>1125</v>
      </c>
      <c r="C36" s="1730">
        <v>6.3E-2</v>
      </c>
      <c r="D36" s="1730">
        <v>0.1</v>
      </c>
      <c r="E36" s="1730">
        <v>0.1</v>
      </c>
      <c r="F36" s="1731">
        <v>0.1</v>
      </c>
    </row>
    <row r="37" spans="1:6" ht="15" thickBot="1">
      <c r="A37" s="1725" t="s">
        <v>1305</v>
      </c>
      <c r="B37" s="1732" t="s">
        <v>1137</v>
      </c>
      <c r="C37" s="1730">
        <v>7.3999999999999996E-2</v>
      </c>
      <c r="D37" s="1730">
        <v>0.1</v>
      </c>
      <c r="E37" s="1730">
        <v>0.1</v>
      </c>
      <c r="F37" s="1731">
        <v>0.1</v>
      </c>
    </row>
    <row r="38" spans="1:6" ht="15" thickBot="1">
      <c r="A38" s="1725" t="s">
        <v>1305</v>
      </c>
      <c r="B38" s="1732" t="s">
        <v>1147</v>
      </c>
      <c r="C38" s="1730">
        <v>0.1</v>
      </c>
      <c r="D38" s="1730">
        <v>9.6000000000000002E-2</v>
      </c>
      <c r="E38" s="1730">
        <v>9.6000000000000002E-2</v>
      </c>
      <c r="F38" s="1738"/>
    </row>
    <row r="39" spans="1:6" ht="15" thickBot="1">
      <c r="A39" s="1725" t="s">
        <v>1305</v>
      </c>
      <c r="B39" s="1732" t="s">
        <v>1157</v>
      </c>
      <c r="C39" s="1730">
        <v>0.1</v>
      </c>
      <c r="D39" s="1730">
        <v>9.6000000000000002E-2</v>
      </c>
      <c r="E39" s="1730">
        <v>9.6000000000000002E-2</v>
      </c>
      <c r="F39" s="1738"/>
    </row>
    <row r="40" spans="1:6" ht="15" thickBot="1">
      <c r="A40" s="1725" t="s">
        <v>1305</v>
      </c>
      <c r="B40" s="1732" t="s">
        <v>1167</v>
      </c>
      <c r="C40" s="1730">
        <v>9.6000000000000002E-2</v>
      </c>
      <c r="D40" s="1730">
        <v>0.1</v>
      </c>
      <c r="E40" s="1730">
        <v>9.9000000000000005E-2</v>
      </c>
      <c r="F40" s="1738"/>
    </row>
    <row r="41" spans="1:6" ht="15" thickBot="1">
      <c r="A41" s="1725" t="s">
        <v>1305</v>
      </c>
      <c r="B41" s="1732" t="s">
        <v>1177</v>
      </c>
      <c r="C41" s="1730">
        <v>9.6000000000000002E-2</v>
      </c>
      <c r="D41" s="1730">
        <v>9.8000000000000004E-2</v>
      </c>
      <c r="E41" s="1730">
        <v>9.8000000000000004E-2</v>
      </c>
      <c r="F41" s="1738"/>
    </row>
    <row r="42" spans="1:6" ht="15" thickBot="1">
      <c r="A42" s="1725" t="s">
        <v>1305</v>
      </c>
      <c r="B42" s="1732" t="s">
        <v>1187</v>
      </c>
      <c r="C42" s="1730">
        <v>0.1</v>
      </c>
      <c r="D42" s="1730">
        <v>8.7999999999999995E-2</v>
      </c>
      <c r="E42" s="1730">
        <v>0.1</v>
      </c>
      <c r="F42" s="1738"/>
    </row>
    <row r="43" spans="1:6" ht="15" thickBot="1">
      <c r="A43" s="1725" t="s">
        <v>1305</v>
      </c>
      <c r="B43" s="1732" t="s">
        <v>1197</v>
      </c>
      <c r="C43" s="1730">
        <v>9.8000000000000004E-2</v>
      </c>
      <c r="D43" s="1730">
        <v>9.7000000000000003E-2</v>
      </c>
      <c r="E43" s="1730">
        <v>9.6000000000000002E-2</v>
      </c>
      <c r="F43" s="1738"/>
    </row>
    <row r="44" spans="1:6" ht="15" thickBot="1">
      <c r="A44" s="1725" t="s">
        <v>1305</v>
      </c>
      <c r="B44" s="1732" t="s">
        <v>1207</v>
      </c>
      <c r="C44" s="1730">
        <v>8.5999999999999993E-2</v>
      </c>
      <c r="D44" s="1730">
        <v>7.9000000000000001E-2</v>
      </c>
      <c r="E44" s="1730">
        <v>7.0999999999999994E-2</v>
      </c>
      <c r="F44" s="1738"/>
    </row>
    <row r="45" spans="1:6" ht="15" thickBot="1">
      <c r="A45" s="1725" t="s">
        <v>1305</v>
      </c>
      <c r="B45" s="1732" t="s">
        <v>1217</v>
      </c>
      <c r="C45" s="1730">
        <v>9.8000000000000004E-2</v>
      </c>
      <c r="D45" s="1730">
        <v>9.6000000000000002E-2</v>
      </c>
      <c r="E45" s="1730">
        <v>9.6000000000000002E-2</v>
      </c>
      <c r="F45" s="1738"/>
    </row>
    <row r="46" spans="1:6" ht="15" thickBot="1">
      <c r="A46" s="1725" t="s">
        <v>1305</v>
      </c>
      <c r="B46" s="1732" t="s">
        <v>1227</v>
      </c>
      <c r="C46" s="1730">
        <v>8.5999999999999993E-2</v>
      </c>
      <c r="D46" s="1730">
        <v>9.8000000000000004E-2</v>
      </c>
      <c r="E46" s="1730">
        <v>8.7999999999999995E-2</v>
      </c>
      <c r="F46" s="1738"/>
    </row>
    <row r="47" spans="1:6" ht="15" thickBot="1">
      <c r="A47" s="1725" t="s">
        <v>1305</v>
      </c>
      <c r="B47" s="1732" t="s">
        <v>1237</v>
      </c>
      <c r="C47" s="1730">
        <v>9.6000000000000002E-2</v>
      </c>
      <c r="D47" s="1739"/>
      <c r="E47" s="1730">
        <v>6.9000000000000006E-2</v>
      </c>
      <c r="F47" s="1738"/>
    </row>
    <row r="48" spans="1:6" ht="15" thickBot="1">
      <c r="A48" s="1733" t="s">
        <v>1305</v>
      </c>
      <c r="B48" s="1734" t="s">
        <v>1246</v>
      </c>
      <c r="C48" s="1735">
        <v>9.8000000000000004E-2</v>
      </c>
      <c r="D48" s="1736"/>
      <c r="E48" s="1735">
        <v>9.5000000000000001E-2</v>
      </c>
      <c r="F48" s="1737"/>
    </row>
    <row r="49" spans="1:6" ht="15" thickBot="1">
      <c r="A49" s="1725" t="s">
        <v>904</v>
      </c>
      <c r="B49" s="1726" t="s">
        <v>1884</v>
      </c>
      <c r="C49" s="1727">
        <v>9.7000000000000003E-2</v>
      </c>
      <c r="D49" s="1727">
        <v>9.5000000000000001E-2</v>
      </c>
      <c r="E49" s="1727">
        <v>9.7000000000000003E-2</v>
      </c>
      <c r="F49" s="1728">
        <v>0.1</v>
      </c>
    </row>
    <row r="50" spans="1:6" ht="15" thickBot="1">
      <c r="A50" s="1725" t="s">
        <v>904</v>
      </c>
      <c r="B50" s="1729" t="s">
        <v>1052</v>
      </c>
      <c r="C50" s="1730">
        <v>7.4999999999999997E-2</v>
      </c>
      <c r="D50" s="1730">
        <v>9.5000000000000001E-2</v>
      </c>
      <c r="E50" s="1730">
        <v>0.1</v>
      </c>
      <c r="F50" s="1731">
        <v>0.1</v>
      </c>
    </row>
    <row r="51" spans="1:6" ht="15" thickBot="1">
      <c r="A51" s="1725" t="s">
        <v>904</v>
      </c>
      <c r="B51" s="1729" t="s">
        <v>1066</v>
      </c>
      <c r="C51" s="1730">
        <v>9.8000000000000004E-2</v>
      </c>
      <c r="D51" s="1730">
        <v>8.8999999999999996E-2</v>
      </c>
      <c r="E51" s="1730">
        <v>0.1</v>
      </c>
      <c r="F51" s="1731">
        <v>0.1</v>
      </c>
    </row>
    <row r="52" spans="1:6" ht="15" thickBot="1">
      <c r="A52" s="1725" t="s">
        <v>904</v>
      </c>
      <c r="B52" s="1729" t="s">
        <v>1079</v>
      </c>
      <c r="C52" s="1730">
        <v>9.8000000000000004E-2</v>
      </c>
      <c r="D52" s="1730">
        <v>9.7000000000000003E-2</v>
      </c>
      <c r="E52" s="1730">
        <v>8.1000000000000003E-2</v>
      </c>
      <c r="F52" s="1731">
        <v>0.1</v>
      </c>
    </row>
    <row r="53" spans="1:6" ht="15" thickBot="1">
      <c r="A53" s="1725" t="s">
        <v>904</v>
      </c>
      <c r="B53" s="1729" t="s">
        <v>1093</v>
      </c>
      <c r="C53" s="1730">
        <v>9.7000000000000003E-2</v>
      </c>
      <c r="D53" s="1730">
        <v>7.5999999999999998E-2</v>
      </c>
      <c r="E53" s="1730">
        <v>7.0999999999999994E-2</v>
      </c>
      <c r="F53" s="1731">
        <v>0.1</v>
      </c>
    </row>
    <row r="54" spans="1:6" ht="15" thickBot="1">
      <c r="A54" s="1725" t="s">
        <v>904</v>
      </c>
      <c r="B54" s="1729" t="s">
        <v>1104</v>
      </c>
      <c r="C54" s="1730">
        <v>7.5999999999999998E-2</v>
      </c>
      <c r="D54" s="1730">
        <v>0.1</v>
      </c>
      <c r="E54" s="1730">
        <v>9.9000000000000005E-2</v>
      </c>
      <c r="F54" s="1731">
        <v>0.1</v>
      </c>
    </row>
    <row r="55" spans="1:6" ht="15" thickBot="1">
      <c r="A55" s="1725" t="s">
        <v>904</v>
      </c>
      <c r="B55" s="1729" t="s">
        <v>1115</v>
      </c>
      <c r="C55" s="1730">
        <v>0.1</v>
      </c>
      <c r="D55" s="1730">
        <v>0.1</v>
      </c>
      <c r="E55" s="1730">
        <v>9.6000000000000002E-2</v>
      </c>
      <c r="F55" s="1731">
        <v>0.1</v>
      </c>
    </row>
    <row r="56" spans="1:6" ht="15" thickBot="1">
      <c r="A56" s="1725" t="s">
        <v>904</v>
      </c>
      <c r="B56" s="1729" t="s">
        <v>1126</v>
      </c>
      <c r="C56" s="1730">
        <v>0.1</v>
      </c>
      <c r="D56" s="1730">
        <v>9.6000000000000002E-2</v>
      </c>
      <c r="E56" s="1730">
        <v>5.1999999999999998E-2</v>
      </c>
      <c r="F56" s="1731">
        <v>0.1</v>
      </c>
    </row>
    <row r="57" spans="1:6" ht="15" thickBot="1">
      <c r="A57" s="1725" t="s">
        <v>904</v>
      </c>
      <c r="B57" s="1729" t="s">
        <v>1138</v>
      </c>
      <c r="C57" s="1730">
        <v>9.7000000000000003E-2</v>
      </c>
      <c r="D57" s="1730">
        <v>9.6000000000000002E-2</v>
      </c>
      <c r="E57" s="1730">
        <v>9.6000000000000002E-2</v>
      </c>
      <c r="F57" s="1731">
        <v>0.1</v>
      </c>
    </row>
    <row r="58" spans="1:6" ht="15" thickBot="1">
      <c r="A58" s="1725" t="s">
        <v>904</v>
      </c>
      <c r="B58" s="1729" t="s">
        <v>1148</v>
      </c>
      <c r="C58" s="1730">
        <v>9.6000000000000002E-2</v>
      </c>
      <c r="D58" s="1730">
        <v>9.9000000000000005E-2</v>
      </c>
      <c r="E58" s="1730">
        <v>9.6000000000000002E-2</v>
      </c>
      <c r="F58" s="1731">
        <v>0.1</v>
      </c>
    </row>
    <row r="59" spans="1:6" ht="15" thickBot="1">
      <c r="A59" s="1725" t="s">
        <v>904</v>
      </c>
      <c r="B59" s="1729" t="s">
        <v>1158</v>
      </c>
      <c r="C59" s="1730">
        <v>7.1999999999999995E-2</v>
      </c>
      <c r="D59" s="1730">
        <v>9.6000000000000002E-2</v>
      </c>
      <c r="E59" s="1730">
        <v>7.0999999999999994E-2</v>
      </c>
      <c r="F59" s="1731">
        <v>0.1</v>
      </c>
    </row>
    <row r="60" spans="1:6" ht="15" thickBot="1">
      <c r="A60" s="1725" t="s">
        <v>904</v>
      </c>
      <c r="B60" s="1729" t="s">
        <v>1168</v>
      </c>
      <c r="C60" s="1730">
        <v>9.6000000000000002E-2</v>
      </c>
      <c r="D60" s="1730">
        <v>8.8999999999999996E-2</v>
      </c>
      <c r="E60" s="1730">
        <v>9.6000000000000002E-2</v>
      </c>
      <c r="F60" s="1731">
        <v>0.1</v>
      </c>
    </row>
    <row r="61" spans="1:6" ht="15" thickBot="1">
      <c r="A61" s="1725" t="s">
        <v>904</v>
      </c>
      <c r="B61" s="1729" t="s">
        <v>1178</v>
      </c>
      <c r="C61" s="1730">
        <v>8.8999999999999996E-2</v>
      </c>
      <c r="D61" s="1730">
        <v>9.8000000000000004E-2</v>
      </c>
      <c r="E61" s="1730">
        <v>8.7999999999999995E-2</v>
      </c>
      <c r="F61" s="1738"/>
    </row>
    <row r="62" spans="1:6" ht="15" thickBot="1">
      <c r="A62" s="1725" t="s">
        <v>904</v>
      </c>
      <c r="B62" s="1729" t="s">
        <v>1188</v>
      </c>
      <c r="C62" s="1730">
        <v>9.8000000000000004E-2</v>
      </c>
      <c r="D62" s="1730">
        <v>9.2999999999999999E-2</v>
      </c>
      <c r="E62" s="1730">
        <v>9.7000000000000003E-2</v>
      </c>
      <c r="F62" s="1738"/>
    </row>
    <row r="63" spans="1:6" ht="15" thickBot="1">
      <c r="A63" s="1725" t="s">
        <v>904</v>
      </c>
      <c r="B63" s="1729" t="s">
        <v>1198</v>
      </c>
      <c r="C63" s="1730">
        <v>9.6000000000000002E-2</v>
      </c>
      <c r="D63" s="1730">
        <v>9.8000000000000004E-2</v>
      </c>
      <c r="E63" s="1730">
        <v>0.09</v>
      </c>
      <c r="F63" s="1738"/>
    </row>
    <row r="64" spans="1:6" ht="15" thickBot="1">
      <c r="A64" s="1725" t="s">
        <v>904</v>
      </c>
      <c r="B64" s="1729" t="s">
        <v>1208</v>
      </c>
      <c r="C64" s="1730">
        <v>9.9000000000000005E-2</v>
      </c>
      <c r="D64" s="1730">
        <v>9.7000000000000003E-2</v>
      </c>
      <c r="E64" s="1730">
        <v>9.9000000000000005E-2</v>
      </c>
      <c r="F64" s="1738"/>
    </row>
    <row r="65" spans="1:6" ht="15" thickBot="1">
      <c r="A65" s="1725" t="s">
        <v>904</v>
      </c>
      <c r="B65" s="1729" t="s">
        <v>1218</v>
      </c>
      <c r="C65" s="1730">
        <v>9.8000000000000004E-2</v>
      </c>
      <c r="D65" s="1730">
        <v>9.6000000000000002E-2</v>
      </c>
      <c r="E65" s="1730">
        <v>9.6000000000000002E-2</v>
      </c>
      <c r="F65" s="1738"/>
    </row>
    <row r="66" spans="1:6" ht="15" thickBot="1">
      <c r="A66" s="1725" t="s">
        <v>904</v>
      </c>
      <c r="B66" s="1729" t="s">
        <v>1228</v>
      </c>
      <c r="C66" s="1730">
        <v>9.6000000000000002E-2</v>
      </c>
      <c r="D66" s="1730">
        <v>9.1999999999999998E-2</v>
      </c>
      <c r="E66" s="1730">
        <v>9.6000000000000002E-2</v>
      </c>
      <c r="F66" s="1738"/>
    </row>
    <row r="67" spans="1:6" ht="15" thickBot="1">
      <c r="A67" s="1725" t="s">
        <v>904</v>
      </c>
      <c r="B67" s="1729" t="s">
        <v>1238</v>
      </c>
      <c r="C67" s="1730">
        <v>9.4E-2</v>
      </c>
      <c r="D67" s="1730">
        <v>0.1</v>
      </c>
      <c r="E67" s="1730">
        <v>8.7999999999999995E-2</v>
      </c>
      <c r="F67" s="1738"/>
    </row>
    <row r="68" spans="1:6" ht="15" thickBot="1">
      <c r="A68" s="1725" t="s">
        <v>904</v>
      </c>
      <c r="B68" s="1729" t="s">
        <v>1247</v>
      </c>
      <c r="C68" s="1730">
        <v>0.1</v>
      </c>
      <c r="D68" s="1730">
        <v>8.7999999999999995E-2</v>
      </c>
      <c r="E68" s="1730">
        <v>9.7000000000000003E-2</v>
      </c>
      <c r="F68" s="1738"/>
    </row>
    <row r="69" spans="1:6" ht="15" thickBot="1">
      <c r="A69" s="1725" t="s">
        <v>904</v>
      </c>
      <c r="B69" s="1729" t="s">
        <v>1256</v>
      </c>
      <c r="C69" s="1730">
        <v>6.4000000000000001E-2</v>
      </c>
      <c r="D69" s="1730">
        <v>0.1</v>
      </c>
      <c r="E69" s="1730">
        <v>0.1</v>
      </c>
      <c r="F69" s="1738"/>
    </row>
    <row r="70" spans="1:6" ht="15" thickBot="1">
      <c r="A70" s="1725" t="s">
        <v>904</v>
      </c>
      <c r="B70" s="1729" t="s">
        <v>1264</v>
      </c>
      <c r="C70" s="1730">
        <v>9.0999999999999998E-2</v>
      </c>
      <c r="D70" s="1739"/>
      <c r="E70" s="1739"/>
      <c r="F70" s="1738"/>
    </row>
    <row r="71" spans="1:6" ht="15" thickBot="1">
      <c r="A71" s="1725" t="s">
        <v>904</v>
      </c>
      <c r="B71" s="1729" t="s">
        <v>1271</v>
      </c>
      <c r="C71" s="1730">
        <v>0.1</v>
      </c>
      <c r="D71" s="1739"/>
      <c r="E71" s="1739"/>
      <c r="F71" s="1738"/>
    </row>
    <row r="72" spans="1:6" ht="24.6" thickBot="1">
      <c r="A72" s="1725" t="s">
        <v>904</v>
      </c>
      <c r="B72" s="1729" t="s">
        <v>1885</v>
      </c>
      <c r="C72" s="1739"/>
      <c r="D72" s="1739"/>
      <c r="E72" s="1739"/>
      <c r="F72" s="1731">
        <v>0.05</v>
      </c>
    </row>
    <row r="73" spans="1:6" ht="24.6" thickBot="1">
      <c r="A73" s="1725" t="s">
        <v>904</v>
      </c>
      <c r="B73" s="1729" t="s">
        <v>1886</v>
      </c>
      <c r="C73" s="1739"/>
      <c r="D73" s="1739"/>
      <c r="E73" s="1739"/>
      <c r="F73" s="1731">
        <v>0.05</v>
      </c>
    </row>
    <row r="74" spans="1:6" ht="24.6" thickBot="1">
      <c r="A74" s="1725" t="s">
        <v>904</v>
      </c>
      <c r="B74" s="1729" t="s">
        <v>1887</v>
      </c>
      <c r="C74" s="1739"/>
      <c r="D74" s="1739"/>
      <c r="E74" s="1739"/>
      <c r="F74" s="1731">
        <v>0.05</v>
      </c>
    </row>
    <row r="75" spans="1:6" ht="24.6" thickBot="1">
      <c r="A75" s="1733" t="s">
        <v>904</v>
      </c>
      <c r="B75" s="1740" t="s">
        <v>1888</v>
      </c>
      <c r="C75" s="1736"/>
      <c r="D75" s="1736"/>
      <c r="E75" s="1736"/>
      <c r="F75" s="1741">
        <v>0.05</v>
      </c>
    </row>
    <row r="76" spans="1:6" ht="15" thickBot="1">
      <c r="A76" s="1725" t="s">
        <v>1386</v>
      </c>
      <c r="B76" s="1726" t="s">
        <v>1889</v>
      </c>
      <c r="C76" s="1727">
        <v>0.1</v>
      </c>
      <c r="D76" s="1727">
        <v>0.1</v>
      </c>
      <c r="E76" s="1727">
        <v>0.1</v>
      </c>
      <c r="F76" s="1728">
        <v>0.1</v>
      </c>
    </row>
    <row r="77" spans="1:6" ht="15" thickBot="1">
      <c r="A77" s="1725" t="s">
        <v>1386</v>
      </c>
      <c r="B77" s="1729" t="s">
        <v>1053</v>
      </c>
      <c r="C77" s="1730">
        <v>8.7999999999999995E-2</v>
      </c>
      <c r="D77" s="1730">
        <v>8.6999999999999994E-2</v>
      </c>
      <c r="E77" s="1730">
        <v>7.9000000000000001E-2</v>
      </c>
      <c r="F77" s="1731">
        <v>0.1</v>
      </c>
    </row>
    <row r="78" spans="1:6" ht="15" thickBot="1">
      <c r="A78" s="1725" t="s">
        <v>1386</v>
      </c>
      <c r="B78" s="1729" t="s">
        <v>1067</v>
      </c>
      <c r="C78" s="1730">
        <v>8.6999999999999994E-2</v>
      </c>
      <c r="D78" s="1730">
        <v>8.4000000000000005E-2</v>
      </c>
      <c r="E78" s="1730">
        <v>9.6000000000000002E-2</v>
      </c>
      <c r="F78" s="1731">
        <v>0.1</v>
      </c>
    </row>
    <row r="79" spans="1:6" ht="15" thickBot="1">
      <c r="A79" s="1725" t="s">
        <v>1386</v>
      </c>
      <c r="B79" s="1729" t="s">
        <v>1080</v>
      </c>
      <c r="C79" s="1730">
        <v>9.8000000000000004E-2</v>
      </c>
      <c r="D79" s="1730">
        <v>9.8000000000000004E-2</v>
      </c>
      <c r="E79" s="1730">
        <v>9.0999999999999998E-2</v>
      </c>
      <c r="F79" s="1731">
        <v>0.1</v>
      </c>
    </row>
    <row r="80" spans="1:6" ht="15" thickBot="1">
      <c r="A80" s="1725" t="s">
        <v>1386</v>
      </c>
      <c r="B80" s="1729" t="s">
        <v>1094</v>
      </c>
      <c r="C80" s="1730">
        <v>9.6000000000000002E-2</v>
      </c>
      <c r="D80" s="1730">
        <v>9.6000000000000002E-2</v>
      </c>
      <c r="E80" s="1730">
        <v>0.1</v>
      </c>
      <c r="F80" s="1731">
        <v>0.1</v>
      </c>
    </row>
    <row r="81" spans="1:6" ht="15" thickBot="1">
      <c r="A81" s="1725" t="s">
        <v>1386</v>
      </c>
      <c r="B81" s="1729" t="s">
        <v>1105</v>
      </c>
      <c r="C81" s="1730">
        <v>9.9000000000000005E-2</v>
      </c>
      <c r="D81" s="1730">
        <v>9.9000000000000005E-2</v>
      </c>
      <c r="E81" s="1730">
        <v>9.8000000000000004E-2</v>
      </c>
      <c r="F81" s="1731">
        <v>0.1</v>
      </c>
    </row>
    <row r="82" spans="1:6" ht="15" thickBot="1">
      <c r="A82" s="1725" t="s">
        <v>1386</v>
      </c>
      <c r="B82" s="1729" t="s">
        <v>1116</v>
      </c>
      <c r="C82" s="1730">
        <v>9.9000000000000005E-2</v>
      </c>
      <c r="D82" s="1730">
        <v>9.9000000000000005E-2</v>
      </c>
      <c r="E82" s="1730">
        <v>9.7000000000000003E-2</v>
      </c>
      <c r="F82" s="1731">
        <v>0.1</v>
      </c>
    </row>
    <row r="83" spans="1:6" ht="15" thickBot="1">
      <c r="A83" s="1725" t="s">
        <v>1386</v>
      </c>
      <c r="B83" s="1729" t="s">
        <v>1127</v>
      </c>
      <c r="C83" s="1730">
        <v>9.8000000000000004E-2</v>
      </c>
      <c r="D83" s="1730">
        <v>9.8000000000000004E-2</v>
      </c>
      <c r="E83" s="1730">
        <v>9.8000000000000004E-2</v>
      </c>
      <c r="F83" s="1731">
        <v>0.1</v>
      </c>
    </row>
    <row r="84" spans="1:6" ht="15" thickBot="1">
      <c r="A84" s="1725" t="s">
        <v>1386</v>
      </c>
      <c r="B84" s="1729" t="s">
        <v>1139</v>
      </c>
      <c r="C84" s="1730">
        <v>9.9000000000000005E-2</v>
      </c>
      <c r="D84" s="1730">
        <v>9.9000000000000005E-2</v>
      </c>
      <c r="E84" s="1730">
        <v>9.9000000000000005E-2</v>
      </c>
      <c r="F84" s="1731">
        <v>0.1</v>
      </c>
    </row>
    <row r="85" spans="1:6" ht="15" thickBot="1">
      <c r="A85" s="1725" t="s">
        <v>1386</v>
      </c>
      <c r="B85" s="1729" t="s">
        <v>1149</v>
      </c>
      <c r="C85" s="1730">
        <v>9.9000000000000005E-2</v>
      </c>
      <c r="D85" s="1730">
        <v>9.9000000000000005E-2</v>
      </c>
      <c r="E85" s="1730">
        <v>9.9000000000000005E-2</v>
      </c>
      <c r="F85" s="1731">
        <v>0.1</v>
      </c>
    </row>
    <row r="86" spans="1:6" ht="15" thickBot="1">
      <c r="A86" s="1725" t="s">
        <v>1386</v>
      </c>
      <c r="B86" s="1729" t="s">
        <v>1159</v>
      </c>
      <c r="C86" s="1730">
        <v>0.1</v>
      </c>
      <c r="D86" s="1730">
        <v>0.1</v>
      </c>
      <c r="E86" s="1730">
        <v>7.6999999999999999E-2</v>
      </c>
      <c r="F86" s="1731">
        <v>0.1</v>
      </c>
    </row>
    <row r="87" spans="1:6" ht="15" thickBot="1">
      <c r="A87" s="1725" t="s">
        <v>1386</v>
      </c>
      <c r="B87" s="1729" t="s">
        <v>1169</v>
      </c>
      <c r="C87" s="1730">
        <v>0.1</v>
      </c>
      <c r="D87" s="1730">
        <v>0.1</v>
      </c>
      <c r="E87" s="1730">
        <v>9.8000000000000004E-2</v>
      </c>
      <c r="F87" s="1738"/>
    </row>
    <row r="88" spans="1:6" ht="15" thickBot="1">
      <c r="A88" s="1725" t="s">
        <v>1386</v>
      </c>
      <c r="B88" s="1729" t="s">
        <v>1179</v>
      </c>
      <c r="C88" s="1730">
        <v>9.1999999999999998E-2</v>
      </c>
      <c r="D88" s="1730">
        <v>8.5000000000000006E-2</v>
      </c>
      <c r="E88" s="1730">
        <v>9.6000000000000002E-2</v>
      </c>
      <c r="F88" s="1738"/>
    </row>
    <row r="89" spans="1:6" ht="15" thickBot="1">
      <c r="A89" s="1725" t="s">
        <v>1386</v>
      </c>
      <c r="B89" s="1729" t="s">
        <v>1189</v>
      </c>
      <c r="C89" s="1730">
        <v>0.1</v>
      </c>
      <c r="D89" s="1730">
        <v>0.1</v>
      </c>
      <c r="E89" s="1730">
        <v>9.7000000000000003E-2</v>
      </c>
      <c r="F89" s="1738"/>
    </row>
    <row r="90" spans="1:6" ht="15" thickBot="1">
      <c r="A90" s="1725" t="s">
        <v>1386</v>
      </c>
      <c r="B90" s="1729" t="s">
        <v>1199</v>
      </c>
      <c r="C90" s="1730">
        <v>9.8000000000000004E-2</v>
      </c>
      <c r="D90" s="1730">
        <v>9.8000000000000004E-2</v>
      </c>
      <c r="E90" s="1730">
        <v>8.7999999999999995E-2</v>
      </c>
      <c r="F90" s="1738"/>
    </row>
    <row r="91" spans="1:6" ht="15" thickBot="1">
      <c r="A91" s="1725" t="s">
        <v>1386</v>
      </c>
      <c r="B91" s="1729" t="s">
        <v>1209</v>
      </c>
      <c r="C91" s="1730">
        <v>9.9000000000000005E-2</v>
      </c>
      <c r="D91" s="1730">
        <v>9.9000000000000005E-2</v>
      </c>
      <c r="E91" s="1730">
        <v>9.0999999999999998E-2</v>
      </c>
      <c r="F91" s="1738"/>
    </row>
    <row r="92" spans="1:6" ht="15" thickBot="1">
      <c r="A92" s="1725" t="s">
        <v>1386</v>
      </c>
      <c r="B92" s="1729" t="s">
        <v>1219</v>
      </c>
      <c r="C92" s="1730">
        <v>9.6000000000000002E-2</v>
      </c>
      <c r="D92" s="1730">
        <v>9.6000000000000002E-2</v>
      </c>
      <c r="E92" s="1730">
        <v>7.2999999999999995E-2</v>
      </c>
      <c r="F92" s="1738"/>
    </row>
    <row r="93" spans="1:6" ht="15" thickBot="1">
      <c r="A93" s="1725" t="s">
        <v>1386</v>
      </c>
      <c r="B93" s="1729" t="s">
        <v>1229</v>
      </c>
      <c r="C93" s="1730">
        <v>9.6000000000000002E-2</v>
      </c>
      <c r="D93" s="1730">
        <v>9.6000000000000002E-2</v>
      </c>
      <c r="E93" s="1730">
        <v>9.9000000000000005E-2</v>
      </c>
      <c r="F93" s="1738"/>
    </row>
    <row r="94" spans="1:6" ht="15" thickBot="1">
      <c r="A94" s="1725" t="s">
        <v>1386</v>
      </c>
      <c r="B94" s="1729" t="s">
        <v>1239</v>
      </c>
      <c r="C94" s="1730">
        <v>7.5999999999999998E-2</v>
      </c>
      <c r="D94" s="1730">
        <v>7.3999999999999996E-2</v>
      </c>
      <c r="E94" s="1730">
        <v>9.7000000000000003E-2</v>
      </c>
      <c r="F94" s="1738"/>
    </row>
    <row r="95" spans="1:6" ht="15" thickBot="1">
      <c r="A95" s="1725" t="s">
        <v>1386</v>
      </c>
      <c r="B95" s="1729" t="s">
        <v>1248</v>
      </c>
      <c r="C95" s="1730">
        <v>9.9000000000000005E-2</v>
      </c>
      <c r="D95" s="1730">
        <v>9.4E-2</v>
      </c>
      <c r="E95" s="1730">
        <v>9.6000000000000002E-2</v>
      </c>
      <c r="F95" s="1738"/>
    </row>
    <row r="96" spans="1:6" ht="15" thickBot="1">
      <c r="A96" s="1725" t="s">
        <v>1386</v>
      </c>
      <c r="B96" s="1729" t="s">
        <v>1257</v>
      </c>
      <c r="C96" s="1730">
        <v>9.9000000000000005E-2</v>
      </c>
      <c r="D96" s="1730">
        <v>9.9000000000000005E-2</v>
      </c>
      <c r="E96" s="1730">
        <v>9.9000000000000005E-2</v>
      </c>
      <c r="F96" s="1738"/>
    </row>
    <row r="97" spans="1:6" ht="15" thickBot="1">
      <c r="A97" s="1725" t="s">
        <v>1386</v>
      </c>
      <c r="B97" s="1729" t="s">
        <v>1265</v>
      </c>
      <c r="C97" s="1730">
        <v>9.8000000000000004E-2</v>
      </c>
      <c r="D97" s="1730">
        <v>9.8000000000000004E-2</v>
      </c>
      <c r="E97" s="1730">
        <v>9.7000000000000003E-2</v>
      </c>
      <c r="F97" s="1738"/>
    </row>
    <row r="98" spans="1:6" ht="15" thickBot="1">
      <c r="A98" s="1725" t="s">
        <v>1386</v>
      </c>
      <c r="B98" s="1729" t="s">
        <v>1272</v>
      </c>
      <c r="C98" s="1730">
        <v>0.1</v>
      </c>
      <c r="D98" s="1730">
        <v>0.1</v>
      </c>
      <c r="E98" s="1730">
        <v>9.7000000000000003E-2</v>
      </c>
      <c r="F98" s="1738"/>
    </row>
    <row r="99" spans="1:6" ht="15" thickBot="1">
      <c r="A99" s="1725" t="s">
        <v>1386</v>
      </c>
      <c r="B99" s="1729" t="s">
        <v>1279</v>
      </c>
      <c r="C99" s="1730">
        <v>0.1</v>
      </c>
      <c r="D99" s="1730">
        <v>0.1</v>
      </c>
      <c r="E99" s="1739"/>
      <c r="F99" s="1738"/>
    </row>
    <row r="100" spans="1:6" ht="15" thickBot="1">
      <c r="A100" s="1725" t="s">
        <v>1386</v>
      </c>
      <c r="B100" s="1729" t="s">
        <v>1286</v>
      </c>
      <c r="C100" s="1730">
        <v>0.09</v>
      </c>
      <c r="D100" s="1730">
        <v>8.8999999999999996E-2</v>
      </c>
      <c r="E100" s="1739"/>
      <c r="F100" s="1738"/>
    </row>
    <row r="101" spans="1:6" ht="15" thickBot="1">
      <c r="A101" s="1725" t="s">
        <v>1386</v>
      </c>
      <c r="B101" s="1729" t="s">
        <v>1293</v>
      </c>
      <c r="C101" s="1730">
        <v>9.8000000000000004E-2</v>
      </c>
      <c r="D101" s="1730">
        <v>9.7000000000000003E-2</v>
      </c>
      <c r="E101" s="1739"/>
      <c r="F101" s="1738"/>
    </row>
    <row r="102" spans="1:6" ht="24.6" thickBot="1">
      <c r="A102" s="1725" t="s">
        <v>1386</v>
      </c>
      <c r="B102" s="1729" t="s">
        <v>1890</v>
      </c>
      <c r="C102" s="1739"/>
      <c r="D102" s="1739"/>
      <c r="E102" s="1739"/>
      <c r="F102" s="1731">
        <v>0.05</v>
      </c>
    </row>
    <row r="103" spans="1:6" ht="24.6" thickBot="1">
      <c r="A103" s="1725" t="s">
        <v>1386</v>
      </c>
      <c r="B103" s="1729" t="s">
        <v>1891</v>
      </c>
      <c r="C103" s="1739"/>
      <c r="D103" s="1739"/>
      <c r="E103" s="1739"/>
      <c r="F103" s="1731">
        <v>0.05</v>
      </c>
    </row>
    <row r="104" spans="1:6" ht="15" thickBot="1">
      <c r="A104" s="1725" t="s">
        <v>1386</v>
      </c>
      <c r="B104" s="1729" t="s">
        <v>1892</v>
      </c>
      <c r="C104" s="1739"/>
      <c r="D104" s="1739"/>
      <c r="E104" s="1739"/>
      <c r="F104" s="1731">
        <v>0.05</v>
      </c>
    </row>
    <row r="105" spans="1:6" ht="24.6" thickBot="1">
      <c r="A105" s="1725" t="s">
        <v>1386</v>
      </c>
      <c r="B105" s="1729" t="s">
        <v>1893</v>
      </c>
      <c r="C105" s="1739"/>
      <c r="D105" s="1739"/>
      <c r="E105" s="1739"/>
      <c r="F105" s="1731">
        <v>0.05</v>
      </c>
    </row>
    <row r="106" spans="1:6" ht="24.6" thickBot="1">
      <c r="A106" s="1725" t="s">
        <v>1386</v>
      </c>
      <c r="B106" s="1729" t="s">
        <v>1894</v>
      </c>
      <c r="C106" s="1739"/>
      <c r="D106" s="1739"/>
      <c r="E106" s="1739"/>
      <c r="F106" s="1731">
        <v>0.05</v>
      </c>
    </row>
    <row r="107" spans="1:6" ht="24.6" thickBot="1">
      <c r="A107" s="1725" t="s">
        <v>1386</v>
      </c>
      <c r="B107" s="1729" t="s">
        <v>1895</v>
      </c>
      <c r="C107" s="1739"/>
      <c r="D107" s="1739"/>
      <c r="E107" s="1739"/>
      <c r="F107" s="1731">
        <v>0.05</v>
      </c>
    </row>
    <row r="108" spans="1:6" ht="24.6" thickBot="1">
      <c r="A108" s="1725" t="s">
        <v>1386</v>
      </c>
      <c r="B108" s="1729" t="s">
        <v>1896</v>
      </c>
      <c r="C108" s="1739"/>
      <c r="D108" s="1739"/>
      <c r="E108" s="1739"/>
      <c r="F108" s="1731">
        <v>0.05</v>
      </c>
    </row>
    <row r="109" spans="1:6" ht="24.6" thickBot="1">
      <c r="A109" s="1733" t="s">
        <v>1386</v>
      </c>
      <c r="B109" s="1740" t="s">
        <v>1897</v>
      </c>
      <c r="C109" s="1736"/>
      <c r="D109" s="1736"/>
      <c r="E109" s="1736"/>
      <c r="F109" s="1741">
        <v>0.05</v>
      </c>
    </row>
    <row r="110" spans="1:6" ht="15" thickBot="1">
      <c r="A110" s="1725" t="s">
        <v>1388</v>
      </c>
      <c r="B110" s="1726" t="s">
        <v>1898</v>
      </c>
      <c r="C110" s="1727">
        <v>0.129</v>
      </c>
      <c r="D110" s="1727">
        <v>0.129</v>
      </c>
      <c r="E110" s="1727">
        <v>0.126</v>
      </c>
      <c r="F110" s="1728">
        <v>0.13</v>
      </c>
    </row>
    <row r="111" spans="1:6" ht="15" thickBot="1">
      <c r="A111" s="1725" t="s">
        <v>1388</v>
      </c>
      <c r="B111" s="1729" t="s">
        <v>1054</v>
      </c>
      <c r="C111" s="1730">
        <v>0.11</v>
      </c>
      <c r="D111" s="1730">
        <v>0.11</v>
      </c>
      <c r="E111" s="1730">
        <v>9.9000000000000005E-2</v>
      </c>
      <c r="F111" s="1731">
        <v>0.128</v>
      </c>
    </row>
    <row r="112" spans="1:6" ht="15" thickBot="1">
      <c r="A112" s="1725" t="s">
        <v>1388</v>
      </c>
      <c r="B112" s="1729" t="s">
        <v>1068</v>
      </c>
      <c r="C112" s="1730">
        <v>0.125</v>
      </c>
      <c r="D112" s="1730">
        <v>0.125</v>
      </c>
      <c r="E112" s="1730">
        <v>0.12</v>
      </c>
      <c r="F112" s="1731">
        <v>0.125</v>
      </c>
    </row>
    <row r="113" spans="1:6" ht="15" thickBot="1">
      <c r="A113" s="1725" t="s">
        <v>1388</v>
      </c>
      <c r="B113" s="1729" t="s">
        <v>1081</v>
      </c>
      <c r="C113" s="1730">
        <v>0.13</v>
      </c>
      <c r="D113" s="1730">
        <v>0.13</v>
      </c>
      <c r="E113" s="1730">
        <v>0.13</v>
      </c>
      <c r="F113" s="1731">
        <v>0.13</v>
      </c>
    </row>
    <row r="114" spans="1:6" ht="15" thickBot="1">
      <c r="A114" s="1725" t="s">
        <v>1388</v>
      </c>
      <c r="B114" s="1729" t="s">
        <v>1095</v>
      </c>
      <c r="C114" s="1730">
        <v>0.123</v>
      </c>
      <c r="D114" s="1730">
        <v>0.123</v>
      </c>
      <c r="E114" s="1730">
        <v>0.12</v>
      </c>
      <c r="F114" s="1731">
        <v>0.13</v>
      </c>
    </row>
    <row r="115" spans="1:6" ht="15" thickBot="1">
      <c r="A115" s="1725" t="s">
        <v>1388</v>
      </c>
      <c r="B115" s="1729" t="s">
        <v>1106</v>
      </c>
      <c r="C115" s="1730">
        <v>0.125</v>
      </c>
      <c r="D115" s="1730">
        <v>0.125</v>
      </c>
      <c r="E115" s="1730">
        <v>0.11700000000000001</v>
      </c>
      <c r="F115" s="1731">
        <v>0.13</v>
      </c>
    </row>
    <row r="116" spans="1:6" ht="15" thickBot="1">
      <c r="A116" s="1725" t="s">
        <v>1388</v>
      </c>
      <c r="B116" s="1729" t="s">
        <v>1117</v>
      </c>
      <c r="C116" s="1730">
        <v>0.11700000000000001</v>
      </c>
      <c r="D116" s="1730">
        <v>0.11700000000000001</v>
      </c>
      <c r="E116" s="1730">
        <v>8.7999999999999995E-2</v>
      </c>
      <c r="F116" s="1731">
        <v>0.13</v>
      </c>
    </row>
    <row r="117" spans="1:6" ht="15" thickBot="1">
      <c r="A117" s="1725" t="s">
        <v>1388</v>
      </c>
      <c r="B117" s="1729" t="s">
        <v>1128</v>
      </c>
      <c r="C117" s="1730">
        <v>0.13</v>
      </c>
      <c r="D117" s="1730">
        <v>0.13</v>
      </c>
      <c r="E117" s="1730">
        <v>0.129</v>
      </c>
      <c r="F117" s="1731">
        <v>0.13</v>
      </c>
    </row>
    <row r="118" spans="1:6" ht="15" thickBot="1">
      <c r="A118" s="1725" t="s">
        <v>1388</v>
      </c>
      <c r="B118" s="1729" t="s">
        <v>1140</v>
      </c>
      <c r="C118" s="1730">
        <v>0.123</v>
      </c>
      <c r="D118" s="1730">
        <v>0.123</v>
      </c>
      <c r="E118" s="1730">
        <v>0.11600000000000001</v>
      </c>
      <c r="F118" s="1731">
        <v>0.13</v>
      </c>
    </row>
    <row r="119" spans="1:6" ht="15" thickBot="1">
      <c r="A119" s="1725" t="s">
        <v>1388</v>
      </c>
      <c r="B119" s="1729" t="s">
        <v>1150</v>
      </c>
      <c r="C119" s="1730">
        <v>0.127</v>
      </c>
      <c r="D119" s="1730">
        <v>0.127</v>
      </c>
      <c r="E119" s="1730">
        <v>0.124</v>
      </c>
      <c r="F119" s="1731">
        <v>0.13</v>
      </c>
    </row>
    <row r="120" spans="1:6" ht="15" thickBot="1">
      <c r="A120" s="1725" t="s">
        <v>1388</v>
      </c>
      <c r="B120" s="1729" t="s">
        <v>1160</v>
      </c>
      <c r="C120" s="1730">
        <v>0.125</v>
      </c>
      <c r="D120" s="1730">
        <v>0.125</v>
      </c>
      <c r="E120" s="1730">
        <v>0.122</v>
      </c>
      <c r="F120" s="1731">
        <v>0.13</v>
      </c>
    </row>
    <row r="121" spans="1:6" ht="15" thickBot="1">
      <c r="A121" s="1725" t="s">
        <v>1388</v>
      </c>
      <c r="B121" s="1729" t="s">
        <v>1170</v>
      </c>
      <c r="C121" s="1730">
        <v>0.13</v>
      </c>
      <c r="D121" s="1730">
        <v>0.13</v>
      </c>
      <c r="E121" s="1730">
        <v>0.13</v>
      </c>
      <c r="F121" s="1731">
        <v>0.13</v>
      </c>
    </row>
    <row r="122" spans="1:6" ht="15" thickBot="1">
      <c r="A122" s="1725" t="s">
        <v>1388</v>
      </c>
      <c r="B122" s="1729" t="s">
        <v>1180</v>
      </c>
      <c r="C122" s="1730">
        <v>0.13</v>
      </c>
      <c r="D122" s="1730">
        <v>0.13</v>
      </c>
      <c r="E122" s="1730">
        <v>0.125</v>
      </c>
      <c r="F122" s="1731">
        <v>0.13</v>
      </c>
    </row>
    <row r="123" spans="1:6" ht="15" thickBot="1">
      <c r="A123" s="1725" t="s">
        <v>1388</v>
      </c>
      <c r="B123" s="1729" t="s">
        <v>1190</v>
      </c>
      <c r="C123" s="1730">
        <v>0.129</v>
      </c>
      <c r="D123" s="1730">
        <v>0.129</v>
      </c>
      <c r="E123" s="1730">
        <v>0.123</v>
      </c>
      <c r="F123" s="1731">
        <v>0.13</v>
      </c>
    </row>
    <row r="124" spans="1:6" ht="15" thickBot="1">
      <c r="A124" s="1725" t="s">
        <v>1388</v>
      </c>
      <c r="B124" s="1729" t="s">
        <v>1200</v>
      </c>
      <c r="C124" s="1730">
        <v>0.10199999999999999</v>
      </c>
      <c r="D124" s="1730">
        <v>0.10100000000000001</v>
      </c>
      <c r="E124" s="1730">
        <v>0.08</v>
      </c>
      <c r="F124" s="1738"/>
    </row>
    <row r="125" spans="1:6" ht="15" thickBot="1">
      <c r="A125" s="1725" t="s">
        <v>1388</v>
      </c>
      <c r="B125" s="1729" t="s">
        <v>1210</v>
      </c>
      <c r="C125" s="1730">
        <v>0.13</v>
      </c>
      <c r="D125" s="1730">
        <v>0.13</v>
      </c>
      <c r="E125" s="1730">
        <v>0.129</v>
      </c>
      <c r="F125" s="1738"/>
    </row>
    <row r="126" spans="1:6" ht="15" thickBot="1">
      <c r="A126" s="1725" t="s">
        <v>1388</v>
      </c>
      <c r="B126" s="1729" t="s">
        <v>1220</v>
      </c>
      <c r="C126" s="1730">
        <v>0.13</v>
      </c>
      <c r="D126" s="1730">
        <v>0.13</v>
      </c>
      <c r="E126" s="1730">
        <v>0.126</v>
      </c>
      <c r="F126" s="1738"/>
    </row>
    <row r="127" spans="1:6" ht="15" thickBot="1">
      <c r="A127" s="1725" t="s">
        <v>1388</v>
      </c>
      <c r="B127" s="1729" t="s">
        <v>1230</v>
      </c>
      <c r="C127" s="1730">
        <v>0.125</v>
      </c>
      <c r="D127" s="1730">
        <v>0.125</v>
      </c>
      <c r="E127" s="1730">
        <v>0.121</v>
      </c>
      <c r="F127" s="1738"/>
    </row>
    <row r="128" spans="1:6" ht="15" thickBot="1">
      <c r="A128" s="1725" t="s">
        <v>1388</v>
      </c>
      <c r="B128" s="1729" t="s">
        <v>1240</v>
      </c>
      <c r="C128" s="1730">
        <v>0.12</v>
      </c>
      <c r="D128" s="1730">
        <v>0.12</v>
      </c>
      <c r="E128" s="1730">
        <v>0.105</v>
      </c>
      <c r="F128" s="1738"/>
    </row>
    <row r="129" spans="1:6" ht="15" thickBot="1">
      <c r="A129" s="1725" t="s">
        <v>1388</v>
      </c>
      <c r="B129" s="1729" t="s">
        <v>1249</v>
      </c>
      <c r="C129" s="1730">
        <v>0.13</v>
      </c>
      <c r="D129" s="1730">
        <v>0.13</v>
      </c>
      <c r="E129" s="1730">
        <v>0.126</v>
      </c>
      <c r="F129" s="1738"/>
    </row>
    <row r="130" spans="1:6" ht="15" thickBot="1">
      <c r="A130" s="1725" t="s">
        <v>1388</v>
      </c>
      <c r="B130" s="1729" t="s">
        <v>1258</v>
      </c>
      <c r="C130" s="1730">
        <v>0.125</v>
      </c>
      <c r="D130" s="1730">
        <v>0.125</v>
      </c>
      <c r="E130" s="1730">
        <v>0.122</v>
      </c>
      <c r="F130" s="1738"/>
    </row>
    <row r="131" spans="1:6" ht="15" thickBot="1">
      <c r="A131" s="1725" t="s">
        <v>1388</v>
      </c>
      <c r="B131" s="1729" t="s">
        <v>1266</v>
      </c>
      <c r="C131" s="1730">
        <v>0.127</v>
      </c>
      <c r="D131" s="1730">
        <v>0.126</v>
      </c>
      <c r="E131" s="1730">
        <v>0.123</v>
      </c>
      <c r="F131" s="1738"/>
    </row>
    <row r="132" spans="1:6" ht="15" thickBot="1">
      <c r="A132" s="1725" t="s">
        <v>1388</v>
      </c>
      <c r="B132" s="1729" t="s">
        <v>1273</v>
      </c>
      <c r="C132" s="1730">
        <v>9.0999999999999998E-2</v>
      </c>
      <c r="D132" s="1730">
        <v>0.121</v>
      </c>
      <c r="E132" s="1730">
        <v>9.9000000000000005E-2</v>
      </c>
      <c r="F132" s="1738"/>
    </row>
    <row r="133" spans="1:6" ht="15" thickBot="1">
      <c r="A133" s="1725" t="s">
        <v>1388</v>
      </c>
      <c r="B133" s="1729" t="s">
        <v>1280</v>
      </c>
      <c r="C133" s="1730">
        <v>0.13</v>
      </c>
      <c r="D133" s="1730">
        <v>0.13</v>
      </c>
      <c r="E133" s="1730">
        <v>0.129</v>
      </c>
      <c r="F133" s="1738"/>
    </row>
    <row r="134" spans="1:6" ht="15" thickBot="1">
      <c r="A134" s="1725" t="s">
        <v>1388</v>
      </c>
      <c r="B134" s="1729" t="s">
        <v>1899</v>
      </c>
      <c r="C134" s="1730">
        <v>6.8000000000000005E-2</v>
      </c>
      <c r="D134" s="1730">
        <v>6.5000000000000002E-2</v>
      </c>
      <c r="E134" s="1730">
        <v>6.5000000000000002E-2</v>
      </c>
      <c r="F134" s="1731">
        <v>0.13</v>
      </c>
    </row>
    <row r="135" spans="1:6" ht="15" thickBot="1">
      <c r="A135" s="1725" t="s">
        <v>1388</v>
      </c>
      <c r="B135" s="1729" t="s">
        <v>1294</v>
      </c>
      <c r="C135" s="1730">
        <v>0.123</v>
      </c>
      <c r="D135" s="1730">
        <v>0.123</v>
      </c>
      <c r="E135" s="1730">
        <v>0.11</v>
      </c>
      <c r="F135" s="1738"/>
    </row>
    <row r="136" spans="1:6" ht="15" thickBot="1">
      <c r="A136" s="1725" t="s">
        <v>1388</v>
      </c>
      <c r="B136" s="1729" t="s">
        <v>1301</v>
      </c>
      <c r="C136" s="1730">
        <v>0.13</v>
      </c>
      <c r="D136" s="1730">
        <v>0.13</v>
      </c>
      <c r="E136" s="1730">
        <v>0.125</v>
      </c>
      <c r="F136" s="1738"/>
    </row>
    <row r="137" spans="1:6" ht="15" thickBot="1">
      <c r="A137" s="1725" t="s">
        <v>1388</v>
      </c>
      <c r="B137" s="1729" t="s">
        <v>1308</v>
      </c>
      <c r="C137" s="1730">
        <v>0.121</v>
      </c>
      <c r="D137" s="1730">
        <v>0.122</v>
      </c>
      <c r="E137" s="1730">
        <v>0.115</v>
      </c>
      <c r="F137" s="1738"/>
    </row>
    <row r="138" spans="1:6" ht="15" thickBot="1">
      <c r="A138" s="1725" t="s">
        <v>1388</v>
      </c>
      <c r="B138" s="1729" t="s">
        <v>1900</v>
      </c>
      <c r="C138" s="1730">
        <v>0.105</v>
      </c>
      <c r="D138" s="1730">
        <v>0.125</v>
      </c>
      <c r="E138" s="1730">
        <v>0.112</v>
      </c>
      <c r="F138" s="1738"/>
    </row>
    <row r="139" spans="1:6" ht="15" thickBot="1">
      <c r="A139" s="1725" t="s">
        <v>1388</v>
      </c>
      <c r="B139" s="1729" t="s">
        <v>1901</v>
      </c>
      <c r="C139" s="1730">
        <v>0.127</v>
      </c>
      <c r="D139" s="1730">
        <v>0.127</v>
      </c>
      <c r="E139" s="1730">
        <v>0.122</v>
      </c>
      <c r="F139" s="1731">
        <v>0.13</v>
      </c>
    </row>
    <row r="140" spans="1:6" ht="15" thickBot="1">
      <c r="A140" s="1725" t="s">
        <v>1388</v>
      </c>
      <c r="B140" s="1729" t="s">
        <v>1902</v>
      </c>
      <c r="C140" s="1730">
        <v>0.125</v>
      </c>
      <c r="D140" s="1730">
        <v>0.125</v>
      </c>
      <c r="E140" s="1730">
        <v>0.11899999999999999</v>
      </c>
      <c r="F140" s="1731">
        <v>0.13</v>
      </c>
    </row>
    <row r="141" spans="1:6" ht="15" thickBot="1">
      <c r="A141" s="1725" t="s">
        <v>1388</v>
      </c>
      <c r="B141" s="1729" t="s">
        <v>1327</v>
      </c>
      <c r="C141" s="1730">
        <v>0.125</v>
      </c>
      <c r="D141" s="1730">
        <v>0.125</v>
      </c>
      <c r="E141" s="1730">
        <v>0.11700000000000001</v>
      </c>
      <c r="F141" s="1738"/>
    </row>
    <row r="142" spans="1:6" ht="15" thickBot="1">
      <c r="A142" s="1725" t="s">
        <v>1388</v>
      </c>
      <c r="B142" s="1729" t="s">
        <v>1332</v>
      </c>
      <c r="C142" s="1730">
        <v>0.125</v>
      </c>
      <c r="D142" s="1730">
        <v>0.125</v>
      </c>
      <c r="E142" s="1730">
        <v>0.115</v>
      </c>
      <c r="F142" s="1738"/>
    </row>
    <row r="143" spans="1:6" ht="15" thickBot="1">
      <c r="A143" s="1725" t="s">
        <v>1388</v>
      </c>
      <c r="B143" s="1729" t="s">
        <v>1337</v>
      </c>
      <c r="C143" s="1730">
        <v>0.121</v>
      </c>
      <c r="D143" s="1730">
        <v>0.121</v>
      </c>
      <c r="E143" s="1730">
        <v>0.108</v>
      </c>
      <c r="F143" s="1738"/>
    </row>
    <row r="144" spans="1:6" ht="15" thickBot="1">
      <c r="A144" s="1725" t="s">
        <v>1388</v>
      </c>
      <c r="B144" s="1742" t="s">
        <v>1903</v>
      </c>
      <c r="C144" s="1743">
        <v>0.126</v>
      </c>
      <c r="D144" s="1743">
        <v>0.126</v>
      </c>
      <c r="E144" s="1743">
        <v>0.121</v>
      </c>
      <c r="F144" s="1738"/>
    </row>
    <row r="145" spans="1:6" ht="15" thickBot="1">
      <c r="A145" s="1733" t="s">
        <v>1388</v>
      </c>
      <c r="B145" s="1744" t="s">
        <v>1904</v>
      </c>
      <c r="C145" s="1745"/>
      <c r="D145" s="1745"/>
      <c r="E145" s="1745"/>
      <c r="F145" s="1746">
        <v>0.05</v>
      </c>
    </row>
    <row r="146" spans="1:6" ht="24.6" thickBot="1">
      <c r="A146" s="1747" t="s">
        <v>1388</v>
      </c>
      <c r="B146" s="1732" t="s">
        <v>1905</v>
      </c>
      <c r="C146" s="1739"/>
      <c r="D146" s="1739"/>
      <c r="E146" s="1739"/>
      <c r="F146" s="1748">
        <v>0.05</v>
      </c>
    </row>
    <row r="147" spans="1:6" ht="24.6" thickBot="1">
      <c r="A147" s="1725" t="s">
        <v>1388</v>
      </c>
      <c r="B147" s="1729" t="s">
        <v>1906</v>
      </c>
      <c r="C147" s="1739"/>
      <c r="D147" s="1739"/>
      <c r="E147" s="1739"/>
      <c r="F147" s="1731">
        <v>0.05</v>
      </c>
    </row>
    <row r="148" spans="1:6" ht="24.6" thickBot="1">
      <c r="A148" s="1725" t="s">
        <v>1388</v>
      </c>
      <c r="B148" s="1729" t="s">
        <v>1907</v>
      </c>
      <c r="C148" s="1739"/>
      <c r="D148" s="1739"/>
      <c r="E148" s="1739"/>
      <c r="F148" s="1731">
        <v>0.05</v>
      </c>
    </row>
    <row r="149" spans="1:6" ht="24.6" thickBot="1">
      <c r="A149" s="1725" t="s">
        <v>1388</v>
      </c>
      <c r="B149" s="1729" t="s">
        <v>1908</v>
      </c>
      <c r="C149" s="1739"/>
      <c r="D149" s="1739"/>
      <c r="E149" s="1739"/>
      <c r="F149" s="1731">
        <v>0.05</v>
      </c>
    </row>
    <row r="150" spans="1:6" ht="24.6" thickBot="1">
      <c r="A150" s="1725" t="s">
        <v>1388</v>
      </c>
      <c r="B150" s="1729" t="s">
        <v>1909</v>
      </c>
      <c r="C150" s="1739"/>
      <c r="D150" s="1739"/>
      <c r="E150" s="1739"/>
      <c r="F150" s="1731">
        <v>0.05</v>
      </c>
    </row>
    <row r="151" spans="1:6" ht="24.6" thickBot="1">
      <c r="A151" s="1725" t="s">
        <v>1388</v>
      </c>
      <c r="B151" s="1729" t="s">
        <v>1910</v>
      </c>
      <c r="C151" s="1739"/>
      <c r="D151" s="1739"/>
      <c r="E151" s="1739"/>
      <c r="F151" s="1731">
        <v>0.05</v>
      </c>
    </row>
    <row r="152" spans="1:6" ht="24.6" thickBot="1">
      <c r="A152" s="1725" t="s">
        <v>1388</v>
      </c>
      <c r="B152" s="1729" t="s">
        <v>1370</v>
      </c>
      <c r="C152" s="1739"/>
      <c r="D152" s="1739"/>
      <c r="E152" s="1739"/>
      <c r="F152" s="1731">
        <v>0.05</v>
      </c>
    </row>
    <row r="153" spans="1:6" ht="15" thickBot="1">
      <c r="A153" s="1725" t="s">
        <v>1388</v>
      </c>
      <c r="B153" s="1729" t="s">
        <v>1911</v>
      </c>
      <c r="C153" s="1739"/>
      <c r="D153" s="1739"/>
      <c r="E153" s="1739"/>
      <c r="F153" s="1731">
        <v>0.05</v>
      </c>
    </row>
    <row r="154" spans="1:6" ht="15" thickBot="1">
      <c r="A154" s="1725" t="s">
        <v>1388</v>
      </c>
      <c r="B154" s="1729" t="s">
        <v>1912</v>
      </c>
      <c r="C154" s="1739"/>
      <c r="D154" s="1739"/>
      <c r="E154" s="1739"/>
      <c r="F154" s="1731">
        <v>0.05</v>
      </c>
    </row>
    <row r="155" spans="1:6" ht="24.6" thickBot="1">
      <c r="A155" s="1725" t="s">
        <v>1388</v>
      </c>
      <c r="B155" s="1729" t="s">
        <v>1913</v>
      </c>
      <c r="C155" s="1739"/>
      <c r="D155" s="1739"/>
      <c r="E155" s="1739"/>
      <c r="F155" s="1731">
        <v>0.05</v>
      </c>
    </row>
    <row r="156" spans="1:6" ht="24.6" thickBot="1">
      <c r="A156" s="1725" t="s">
        <v>1388</v>
      </c>
      <c r="B156" s="1729" t="s">
        <v>1914</v>
      </c>
      <c r="C156" s="1739"/>
      <c r="D156" s="1739"/>
      <c r="E156" s="1739"/>
      <c r="F156" s="1731">
        <v>0.05</v>
      </c>
    </row>
    <row r="157" spans="1:6" ht="24.6" thickBot="1">
      <c r="A157" s="1733" t="s">
        <v>1388</v>
      </c>
      <c r="B157" s="1740" t="s">
        <v>1915</v>
      </c>
      <c r="C157" s="1736"/>
      <c r="D157" s="1736"/>
      <c r="E157" s="1736"/>
      <c r="F157" s="1741">
        <v>0.05</v>
      </c>
    </row>
    <row r="158" spans="1:6" ht="15" thickBot="1">
      <c r="A158" s="1725" t="s">
        <v>1390</v>
      </c>
      <c r="B158" s="1726" t="s">
        <v>1916</v>
      </c>
      <c r="C158" s="1727">
        <v>0.13</v>
      </c>
      <c r="D158" s="1727">
        <v>0.13</v>
      </c>
      <c r="E158" s="1727">
        <v>0.13</v>
      </c>
      <c r="F158" s="1728">
        <v>0.13</v>
      </c>
    </row>
    <row r="159" spans="1:6" ht="15" thickBot="1">
      <c r="A159" s="1725" t="s">
        <v>1390</v>
      </c>
      <c r="B159" s="1729" t="s">
        <v>1055</v>
      </c>
      <c r="C159" s="1730">
        <v>0.13</v>
      </c>
      <c r="D159" s="1730">
        <v>0.13</v>
      </c>
      <c r="E159" s="1730">
        <v>0.13</v>
      </c>
      <c r="F159" s="1731">
        <v>0.13</v>
      </c>
    </row>
    <row r="160" spans="1:6" ht="15" thickBot="1">
      <c r="A160" s="1725" t="s">
        <v>1390</v>
      </c>
      <c r="B160" s="1729" t="s">
        <v>1069</v>
      </c>
      <c r="C160" s="1730">
        <v>0.13</v>
      </c>
      <c r="D160" s="1730">
        <v>0.13</v>
      </c>
      <c r="E160" s="1730">
        <v>0.129</v>
      </c>
      <c r="F160" s="1731">
        <v>0.13</v>
      </c>
    </row>
    <row r="161" spans="1:6" ht="15" thickBot="1">
      <c r="A161" s="1725" t="s">
        <v>1390</v>
      </c>
      <c r="B161" s="1729" t="s">
        <v>1082</v>
      </c>
      <c r="C161" s="1730">
        <v>0.128</v>
      </c>
      <c r="D161" s="1730">
        <v>0.128</v>
      </c>
      <c r="E161" s="1730">
        <v>0.125</v>
      </c>
      <c r="F161" s="1731">
        <v>0.13</v>
      </c>
    </row>
    <row r="162" spans="1:6" ht="15" thickBot="1">
      <c r="A162" s="1725" t="s">
        <v>1390</v>
      </c>
      <c r="B162" s="1729" t="s">
        <v>1096</v>
      </c>
      <c r="C162" s="1730">
        <v>0.122</v>
      </c>
      <c r="D162" s="1730">
        <v>0.122</v>
      </c>
      <c r="E162" s="1730">
        <v>0.126</v>
      </c>
      <c r="F162" s="1731">
        <v>0.122</v>
      </c>
    </row>
    <row r="163" spans="1:6" ht="15" thickBot="1">
      <c r="A163" s="1725" t="s">
        <v>1390</v>
      </c>
      <c r="B163" s="1729" t="s">
        <v>1107</v>
      </c>
      <c r="C163" s="1730">
        <v>0.13</v>
      </c>
      <c r="D163" s="1730">
        <v>0.13</v>
      </c>
      <c r="E163" s="1730">
        <v>0.125</v>
      </c>
      <c r="F163" s="1731">
        <v>0.13</v>
      </c>
    </row>
    <row r="164" spans="1:6" ht="15" thickBot="1">
      <c r="A164" s="1725" t="s">
        <v>1390</v>
      </c>
      <c r="B164" s="1729" t="s">
        <v>1118</v>
      </c>
      <c r="C164" s="1730">
        <v>0.13</v>
      </c>
      <c r="D164" s="1730">
        <v>0.13</v>
      </c>
      <c r="E164" s="1730">
        <v>0.13</v>
      </c>
      <c r="F164" s="1731">
        <v>0.13</v>
      </c>
    </row>
    <row r="165" spans="1:6" ht="15" thickBot="1">
      <c r="A165" s="1725" t="s">
        <v>1390</v>
      </c>
      <c r="B165" s="1729" t="s">
        <v>1129</v>
      </c>
      <c r="C165" s="1730">
        <v>0.13</v>
      </c>
      <c r="D165" s="1730">
        <v>0.13</v>
      </c>
      <c r="E165" s="1730">
        <v>0.124</v>
      </c>
      <c r="F165" s="1731">
        <v>0.13</v>
      </c>
    </row>
    <row r="166" spans="1:6" ht="15" thickBot="1">
      <c r="A166" s="1725" t="s">
        <v>1390</v>
      </c>
      <c r="B166" s="1729" t="s">
        <v>1141</v>
      </c>
      <c r="C166" s="1730">
        <v>0.13</v>
      </c>
      <c r="D166" s="1730">
        <v>0.13</v>
      </c>
      <c r="E166" s="1730">
        <v>0.13</v>
      </c>
      <c r="F166" s="1731">
        <v>0.13</v>
      </c>
    </row>
    <row r="167" spans="1:6" ht="15" thickBot="1">
      <c r="A167" s="1725" t="s">
        <v>1390</v>
      </c>
      <c r="B167" s="1729" t="s">
        <v>1151</v>
      </c>
      <c r="C167" s="1730">
        <v>0.125</v>
      </c>
      <c r="D167" s="1730">
        <v>0.125</v>
      </c>
      <c r="E167" s="1730">
        <v>0.121</v>
      </c>
      <c r="F167" s="1738"/>
    </row>
    <row r="168" spans="1:6" ht="15" thickBot="1">
      <c r="A168" s="1725" t="s">
        <v>1390</v>
      </c>
      <c r="B168" s="1729" t="s">
        <v>1161</v>
      </c>
      <c r="C168" s="1730">
        <v>0.13</v>
      </c>
      <c r="D168" s="1730">
        <v>0.13</v>
      </c>
      <c r="E168" s="1730">
        <v>0.126</v>
      </c>
      <c r="F168" s="1738"/>
    </row>
    <row r="169" spans="1:6" ht="15" thickBot="1">
      <c r="A169" s="1725" t="s">
        <v>1390</v>
      </c>
      <c r="B169" s="1729" t="s">
        <v>1171</v>
      </c>
      <c r="C169" s="1730">
        <v>0.128</v>
      </c>
      <c r="D169" s="1730">
        <v>0.129</v>
      </c>
      <c r="E169" s="1730">
        <v>0.13</v>
      </c>
      <c r="F169" s="1738"/>
    </row>
    <row r="170" spans="1:6" ht="15" thickBot="1">
      <c r="A170" s="1725" t="s">
        <v>1390</v>
      </c>
      <c r="B170" s="1729" t="s">
        <v>1181</v>
      </c>
      <c r="C170" s="1730">
        <v>0.14099999999999999</v>
      </c>
      <c r="D170" s="1730">
        <v>0.13</v>
      </c>
      <c r="E170" s="1730">
        <v>0.125</v>
      </c>
      <c r="F170" s="1738"/>
    </row>
    <row r="171" spans="1:6" ht="15" thickBot="1">
      <c r="A171" s="1725" t="s">
        <v>1390</v>
      </c>
      <c r="B171" s="1729" t="s">
        <v>1917</v>
      </c>
      <c r="C171" s="1730">
        <v>0.127</v>
      </c>
      <c r="D171" s="1730">
        <v>0.126</v>
      </c>
      <c r="E171" s="1730">
        <v>0.126</v>
      </c>
      <c r="F171" s="1731">
        <v>0.11799999999999999</v>
      </c>
    </row>
    <row r="172" spans="1:6" ht="15" thickBot="1">
      <c r="A172" s="1725" t="s">
        <v>1390</v>
      </c>
      <c r="B172" s="1729" t="s">
        <v>1918</v>
      </c>
      <c r="C172" s="1730">
        <v>0.13</v>
      </c>
      <c r="D172" s="1730">
        <v>0.13</v>
      </c>
      <c r="E172" s="1730">
        <v>0.13</v>
      </c>
      <c r="F172" s="1738"/>
    </row>
    <row r="173" spans="1:6" ht="15" thickBot="1">
      <c r="A173" s="1725" t="s">
        <v>1390</v>
      </c>
      <c r="B173" s="1729" t="s">
        <v>1211</v>
      </c>
      <c r="C173" s="1730">
        <v>0.13</v>
      </c>
      <c r="D173" s="1730">
        <v>0.13</v>
      </c>
      <c r="E173" s="1730">
        <v>0.13</v>
      </c>
      <c r="F173" s="1738"/>
    </row>
    <row r="174" spans="1:6" ht="15" thickBot="1">
      <c r="A174" s="1725" t="s">
        <v>1390</v>
      </c>
      <c r="B174" s="1729" t="s">
        <v>1919</v>
      </c>
      <c r="C174" s="1730">
        <v>0.13</v>
      </c>
      <c r="D174" s="1730">
        <v>0.13</v>
      </c>
      <c r="E174" s="1730">
        <v>0.13</v>
      </c>
      <c r="F174" s="1731">
        <v>0.13</v>
      </c>
    </row>
    <row r="175" spans="1:6" ht="15" thickBot="1">
      <c r="A175" s="1725" t="s">
        <v>1390</v>
      </c>
      <c r="B175" s="1729" t="s">
        <v>1920</v>
      </c>
      <c r="C175" s="1730">
        <v>0.13</v>
      </c>
      <c r="D175" s="1730">
        <v>0.13</v>
      </c>
      <c r="E175" s="1730">
        <v>0.13</v>
      </c>
      <c r="F175" s="1731">
        <v>0.13</v>
      </c>
    </row>
    <row r="176" spans="1:6" ht="15" thickBot="1">
      <c r="A176" s="1725" t="s">
        <v>1390</v>
      </c>
      <c r="B176" s="1729" t="s">
        <v>1241</v>
      </c>
      <c r="C176" s="1730">
        <v>0.13</v>
      </c>
      <c r="D176" s="1730">
        <v>0.13</v>
      </c>
      <c r="E176" s="1730">
        <v>0.13</v>
      </c>
      <c r="F176" s="1731">
        <v>0.13</v>
      </c>
    </row>
    <row r="177" spans="1:6" ht="15" thickBot="1">
      <c r="A177" s="1725" t="s">
        <v>1390</v>
      </c>
      <c r="B177" s="1729" t="s">
        <v>1921</v>
      </c>
      <c r="C177" s="1730">
        <v>0.13</v>
      </c>
      <c r="D177" s="1730">
        <v>0.13</v>
      </c>
      <c r="E177" s="1730">
        <v>0.13</v>
      </c>
      <c r="F177" s="1731">
        <v>0.13</v>
      </c>
    </row>
    <row r="178" spans="1:6" ht="15" thickBot="1">
      <c r="A178" s="1725" t="s">
        <v>1390</v>
      </c>
      <c r="B178" s="1729" t="s">
        <v>1259</v>
      </c>
      <c r="C178" s="1730">
        <v>0.13</v>
      </c>
      <c r="D178" s="1730">
        <v>0.13</v>
      </c>
      <c r="E178" s="1730">
        <v>0.13</v>
      </c>
      <c r="F178" s="1731">
        <v>0.127</v>
      </c>
    </row>
    <row r="179" spans="1:6" ht="15" thickBot="1">
      <c r="A179" s="1725" t="s">
        <v>1390</v>
      </c>
      <c r="B179" s="1729" t="s">
        <v>1267</v>
      </c>
      <c r="C179" s="1730">
        <v>0.13</v>
      </c>
      <c r="D179" s="1730">
        <v>0.13</v>
      </c>
      <c r="E179" s="1730">
        <v>0.13</v>
      </c>
      <c r="F179" s="1738"/>
    </row>
    <row r="180" spans="1:6" ht="15" thickBot="1">
      <c r="A180" s="1725" t="s">
        <v>1390</v>
      </c>
      <c r="B180" s="1729" t="s">
        <v>1922</v>
      </c>
      <c r="C180" s="1730">
        <v>0.13</v>
      </c>
      <c r="D180" s="1730">
        <v>0.13</v>
      </c>
      <c r="E180" s="1730">
        <v>0.125</v>
      </c>
      <c r="F180" s="1731">
        <v>0.13</v>
      </c>
    </row>
    <row r="181" spans="1:6" ht="15" thickBot="1">
      <c r="A181" s="1725" t="s">
        <v>1390</v>
      </c>
      <c r="B181" s="1729" t="s">
        <v>1281</v>
      </c>
      <c r="C181" s="1730">
        <v>0.122</v>
      </c>
      <c r="D181" s="1730">
        <v>0.123</v>
      </c>
      <c r="E181" s="1730">
        <v>0.126</v>
      </c>
      <c r="F181" s="1731">
        <v>0.121</v>
      </c>
    </row>
    <row r="182" spans="1:6" ht="15" thickBot="1">
      <c r="A182" s="1725" t="s">
        <v>1390</v>
      </c>
      <c r="B182" s="1729" t="s">
        <v>1288</v>
      </c>
      <c r="C182" s="1730">
        <v>0.125</v>
      </c>
      <c r="D182" s="1730">
        <v>0.125</v>
      </c>
      <c r="E182" s="1730">
        <v>0.11700000000000001</v>
      </c>
      <c r="F182" s="1731">
        <v>0.13</v>
      </c>
    </row>
    <row r="183" spans="1:6" ht="15" thickBot="1">
      <c r="A183" s="1725" t="s">
        <v>1390</v>
      </c>
      <c r="B183" s="1729" t="s">
        <v>1295</v>
      </c>
      <c r="C183" s="1730">
        <v>0.127</v>
      </c>
      <c r="D183" s="1730">
        <v>0.127</v>
      </c>
      <c r="E183" s="1730">
        <v>0.128</v>
      </c>
      <c r="F183" s="1738"/>
    </row>
    <row r="184" spans="1:6" ht="15" thickBot="1">
      <c r="A184" s="1725" t="s">
        <v>1390</v>
      </c>
      <c r="B184" s="1729" t="s">
        <v>1302</v>
      </c>
      <c r="C184" s="1730">
        <v>0.125</v>
      </c>
      <c r="D184" s="1730">
        <v>0.125</v>
      </c>
      <c r="E184" s="1730">
        <v>0.127</v>
      </c>
      <c r="F184" s="1738"/>
    </row>
    <row r="185" spans="1:6" ht="15" thickBot="1">
      <c r="A185" s="1725" t="s">
        <v>1390</v>
      </c>
      <c r="B185" s="1729" t="s">
        <v>1923</v>
      </c>
      <c r="C185" s="1730">
        <v>0.127</v>
      </c>
      <c r="D185" s="1730">
        <v>0.127</v>
      </c>
      <c r="E185" s="1730">
        <v>0.128</v>
      </c>
      <c r="F185" s="1731">
        <v>0.13</v>
      </c>
    </row>
    <row r="186" spans="1:6" ht="24.6" thickBot="1">
      <c r="A186" s="1725" t="s">
        <v>1390</v>
      </c>
      <c r="B186" s="1729" t="s">
        <v>1924</v>
      </c>
      <c r="C186" s="1739"/>
      <c r="D186" s="1739"/>
      <c r="E186" s="1739"/>
      <c r="F186" s="1731">
        <v>0.05</v>
      </c>
    </row>
    <row r="187" spans="1:6" ht="15" thickBot="1">
      <c r="A187" s="1725" t="s">
        <v>1390</v>
      </c>
      <c r="B187" s="1729" t="s">
        <v>1925</v>
      </c>
      <c r="C187" s="1739"/>
      <c r="D187" s="1739"/>
      <c r="E187" s="1739"/>
      <c r="F187" s="1731">
        <v>0.05</v>
      </c>
    </row>
    <row r="188" spans="1:6" ht="24.6" thickBot="1">
      <c r="A188" s="1725" t="s">
        <v>1390</v>
      </c>
      <c r="B188" s="1729" t="s">
        <v>1926</v>
      </c>
      <c r="C188" s="1739"/>
      <c r="D188" s="1739"/>
      <c r="E188" s="1739"/>
      <c r="F188" s="1731">
        <v>0.05</v>
      </c>
    </row>
    <row r="189" spans="1:6" ht="24.6" thickBot="1">
      <c r="A189" s="1725" t="s">
        <v>1390</v>
      </c>
      <c r="B189" s="1729" t="s">
        <v>1927</v>
      </c>
      <c r="C189" s="1739"/>
      <c r="D189" s="1739"/>
      <c r="E189" s="1739"/>
      <c r="F189" s="1731">
        <v>0.05</v>
      </c>
    </row>
    <row r="190" spans="1:6" ht="24.6" thickBot="1">
      <c r="A190" s="1725" t="s">
        <v>1390</v>
      </c>
      <c r="B190" s="1729" t="s">
        <v>1928</v>
      </c>
      <c r="C190" s="1739"/>
      <c r="D190" s="1739"/>
      <c r="E190" s="1739"/>
      <c r="F190" s="1731">
        <v>0.05</v>
      </c>
    </row>
    <row r="191" spans="1:6" ht="24.6" thickBot="1">
      <c r="A191" s="1725" t="s">
        <v>1390</v>
      </c>
      <c r="B191" s="1729" t="s">
        <v>1929</v>
      </c>
      <c r="C191" s="1739"/>
      <c r="D191" s="1739"/>
      <c r="E191" s="1739"/>
      <c r="F191" s="1731">
        <v>0.05</v>
      </c>
    </row>
    <row r="192" spans="1:6" ht="24.6" thickBot="1">
      <c r="A192" s="1725" t="s">
        <v>1390</v>
      </c>
      <c r="B192" s="1729" t="s">
        <v>1930</v>
      </c>
      <c r="C192" s="1739"/>
      <c r="D192" s="1739"/>
      <c r="E192" s="1739"/>
      <c r="F192" s="1731">
        <v>0.05</v>
      </c>
    </row>
    <row r="193" spans="1:6" ht="24.6" thickBot="1">
      <c r="A193" s="1725" t="s">
        <v>1390</v>
      </c>
      <c r="B193" s="1729" t="s">
        <v>1931</v>
      </c>
      <c r="C193" s="1739"/>
      <c r="D193" s="1739"/>
      <c r="E193" s="1739"/>
      <c r="F193" s="1731">
        <v>0.05</v>
      </c>
    </row>
    <row r="194" spans="1:6" ht="24.6" thickBot="1">
      <c r="A194" s="1725" t="s">
        <v>1390</v>
      </c>
      <c r="B194" s="1729" t="s">
        <v>1932</v>
      </c>
      <c r="C194" s="1739"/>
      <c r="D194" s="1739"/>
      <c r="E194" s="1739"/>
      <c r="F194" s="1731">
        <v>0.05</v>
      </c>
    </row>
    <row r="195" spans="1:6" ht="15" thickBot="1">
      <c r="A195" s="1725" t="s">
        <v>1390</v>
      </c>
      <c r="B195" s="1729" t="s">
        <v>1933</v>
      </c>
      <c r="C195" s="1739"/>
      <c r="D195" s="1739"/>
      <c r="E195" s="1739"/>
      <c r="F195" s="1731">
        <v>0.05</v>
      </c>
    </row>
    <row r="196" spans="1:6" ht="24.6" thickBot="1">
      <c r="A196" s="1725" t="s">
        <v>1390</v>
      </c>
      <c r="B196" s="1729" t="s">
        <v>1934</v>
      </c>
      <c r="C196" s="1739"/>
      <c r="D196" s="1739"/>
      <c r="E196" s="1739"/>
      <c r="F196" s="1731">
        <v>0.05</v>
      </c>
    </row>
    <row r="197" spans="1:6" ht="24.6" thickBot="1">
      <c r="A197" s="1725" t="s">
        <v>1390</v>
      </c>
      <c r="B197" s="1729" t="s">
        <v>1935</v>
      </c>
      <c r="C197" s="1739"/>
      <c r="D197" s="1739"/>
      <c r="E197" s="1739"/>
      <c r="F197" s="1731">
        <v>0.05</v>
      </c>
    </row>
    <row r="198" spans="1:6" ht="24.6" thickBot="1">
      <c r="A198" s="1725" t="s">
        <v>1390</v>
      </c>
      <c r="B198" s="1729" t="s">
        <v>1936</v>
      </c>
      <c r="C198" s="1739"/>
      <c r="D198" s="1739"/>
      <c r="E198" s="1739"/>
      <c r="F198" s="1731">
        <v>0.05</v>
      </c>
    </row>
    <row r="199" spans="1:6" ht="24.6" thickBot="1">
      <c r="A199" s="1725" t="s">
        <v>1390</v>
      </c>
      <c r="B199" s="1729" t="s">
        <v>1937</v>
      </c>
      <c r="C199" s="1739"/>
      <c r="D199" s="1739"/>
      <c r="E199" s="1739"/>
      <c r="F199" s="1731">
        <v>0.05</v>
      </c>
    </row>
    <row r="200" spans="1:6" ht="24.6" thickBot="1">
      <c r="A200" s="1725" t="s">
        <v>1390</v>
      </c>
      <c r="B200" s="1729" t="s">
        <v>1938</v>
      </c>
      <c r="C200" s="1739"/>
      <c r="D200" s="1739"/>
      <c r="E200" s="1739"/>
      <c r="F200" s="1731">
        <v>0.05</v>
      </c>
    </row>
    <row r="201" spans="1:6" ht="24.6" thickBot="1">
      <c r="A201" s="1725" t="s">
        <v>1390</v>
      </c>
      <c r="B201" s="1729" t="s">
        <v>1939</v>
      </c>
      <c r="C201" s="1739"/>
      <c r="D201" s="1739"/>
      <c r="E201" s="1739"/>
      <c r="F201" s="1731">
        <v>0.05</v>
      </c>
    </row>
    <row r="202" spans="1:6" ht="24.6" thickBot="1">
      <c r="A202" s="1725" t="s">
        <v>1390</v>
      </c>
      <c r="B202" s="1729" t="s">
        <v>1940</v>
      </c>
      <c r="C202" s="1739"/>
      <c r="D202" s="1739"/>
      <c r="E202" s="1739"/>
      <c r="F202" s="1731">
        <v>0.05</v>
      </c>
    </row>
    <row r="203" spans="1:6" ht="24.6" thickBot="1">
      <c r="A203" s="1725" t="s">
        <v>1390</v>
      </c>
      <c r="B203" s="1729" t="s">
        <v>1941</v>
      </c>
      <c r="C203" s="1739"/>
      <c r="D203" s="1739"/>
      <c r="E203" s="1739"/>
      <c r="F203" s="1731">
        <v>0.05</v>
      </c>
    </row>
    <row r="204" spans="1:6" ht="15" thickBot="1">
      <c r="A204" s="1725" t="s">
        <v>1390</v>
      </c>
      <c r="B204" s="1729" t="s">
        <v>1942</v>
      </c>
      <c r="C204" s="1739"/>
      <c r="D204" s="1739"/>
      <c r="E204" s="1739"/>
      <c r="F204" s="1731">
        <v>0.05</v>
      </c>
    </row>
    <row r="205" spans="1:6" ht="15" thickBot="1">
      <c r="A205" s="1733" t="s">
        <v>1390</v>
      </c>
      <c r="B205" s="1740" t="s">
        <v>1943</v>
      </c>
      <c r="C205" s="1736"/>
      <c r="D205" s="1736"/>
      <c r="E205" s="1736"/>
      <c r="F205" s="1741">
        <v>0.05</v>
      </c>
    </row>
    <row r="206" spans="1:6" ht="15" thickBot="1">
      <c r="A206" s="1725" t="s">
        <v>1392</v>
      </c>
      <c r="B206" s="1726" t="s">
        <v>1944</v>
      </c>
      <c r="C206" s="1727">
        <v>0.15</v>
      </c>
      <c r="D206" s="1727">
        <v>0.15</v>
      </c>
      <c r="E206" s="1727">
        <v>0.15</v>
      </c>
      <c r="F206" s="1728">
        <v>0.15</v>
      </c>
    </row>
    <row r="207" spans="1:6" ht="15" thickBot="1">
      <c r="A207" s="1725" t="s">
        <v>1392</v>
      </c>
      <c r="B207" s="1729" t="s">
        <v>1056</v>
      </c>
      <c r="C207" s="1730">
        <v>0.15</v>
      </c>
      <c r="D207" s="1730">
        <v>0.15</v>
      </c>
      <c r="E207" s="1730">
        <v>0.15</v>
      </c>
      <c r="F207" s="1731">
        <v>0.14399999999999999</v>
      </c>
    </row>
    <row r="208" spans="1:6" ht="15" thickBot="1">
      <c r="A208" s="1725" t="s">
        <v>1392</v>
      </c>
      <c r="B208" s="1729" t="s">
        <v>1070</v>
      </c>
      <c r="C208" s="1730">
        <v>0.15</v>
      </c>
      <c r="D208" s="1730">
        <v>0.15</v>
      </c>
      <c r="E208" s="1730">
        <v>0.15</v>
      </c>
      <c r="F208" s="1731">
        <v>0.15</v>
      </c>
    </row>
    <row r="209" spans="1:6" ht="15" thickBot="1">
      <c r="A209" s="1725" t="s">
        <v>1392</v>
      </c>
      <c r="B209" s="1729" t="s">
        <v>1083</v>
      </c>
      <c r="C209" s="1730">
        <v>0.13700000000000001</v>
      </c>
      <c r="D209" s="1730">
        <v>0.13700000000000001</v>
      </c>
      <c r="E209" s="1730">
        <v>0.14000000000000001</v>
      </c>
      <c r="F209" s="1731">
        <v>0.11700000000000001</v>
      </c>
    </row>
    <row r="210" spans="1:6" ht="15" thickBot="1">
      <c r="A210" s="1725" t="s">
        <v>1392</v>
      </c>
      <c r="B210" s="1729" t="s">
        <v>1945</v>
      </c>
      <c r="C210" s="1730">
        <v>0.15</v>
      </c>
      <c r="D210" s="1730">
        <v>0.15</v>
      </c>
      <c r="E210" s="1730">
        <v>0.15</v>
      </c>
      <c r="F210" s="1731">
        <v>0.13800000000000001</v>
      </c>
    </row>
    <row r="211" spans="1:6" ht="15" thickBot="1">
      <c r="A211" s="1725" t="s">
        <v>1392</v>
      </c>
      <c r="B211" s="1729" t="s">
        <v>1946</v>
      </c>
      <c r="C211" s="1730">
        <v>0.13700000000000001</v>
      </c>
      <c r="D211" s="1730">
        <v>0.13500000000000001</v>
      </c>
      <c r="E211" s="1730">
        <v>0.13600000000000001</v>
      </c>
      <c r="F211" s="1731">
        <v>0.1</v>
      </c>
    </row>
    <row r="212" spans="1:6" ht="15" thickBot="1">
      <c r="A212" s="1725" t="s">
        <v>1392</v>
      </c>
      <c r="B212" s="1729" t="s">
        <v>1947</v>
      </c>
      <c r="C212" s="1730">
        <v>0.15</v>
      </c>
      <c r="D212" s="1730">
        <v>0.15</v>
      </c>
      <c r="E212" s="1730">
        <v>0.14799999999999999</v>
      </c>
      <c r="F212" s="1731">
        <v>0.13600000000000001</v>
      </c>
    </row>
    <row r="213" spans="1:6" ht="15" thickBot="1">
      <c r="A213" s="1725" t="s">
        <v>1392</v>
      </c>
      <c r="B213" s="1729" t="s">
        <v>1130</v>
      </c>
      <c r="C213" s="1730">
        <v>0.15</v>
      </c>
      <c r="D213" s="1730">
        <v>0.15</v>
      </c>
      <c r="E213" s="1730">
        <v>0.15</v>
      </c>
      <c r="F213" s="1731">
        <v>0.13800000000000001</v>
      </c>
    </row>
    <row r="214" spans="1:6" ht="15" thickBot="1">
      <c r="A214" s="1725" t="s">
        <v>1392</v>
      </c>
      <c r="B214" s="1729" t="s">
        <v>1142</v>
      </c>
      <c r="C214" s="1730">
        <v>9.0999999999999998E-2</v>
      </c>
      <c r="D214" s="1730">
        <v>0.09</v>
      </c>
      <c r="E214" s="1730">
        <v>9.1999999999999998E-2</v>
      </c>
      <c r="F214" s="1738"/>
    </row>
    <row r="215" spans="1:6" ht="15" thickBot="1">
      <c r="A215" s="1725" t="s">
        <v>1392</v>
      </c>
      <c r="B215" s="1729" t="s">
        <v>1948</v>
      </c>
      <c r="C215" s="1730">
        <v>0.15</v>
      </c>
      <c r="D215" s="1730">
        <v>0.15</v>
      </c>
      <c r="E215" s="1730">
        <v>0.15</v>
      </c>
      <c r="F215" s="1731">
        <v>0.15</v>
      </c>
    </row>
    <row r="216" spans="1:6" ht="15" thickBot="1">
      <c r="A216" s="1725" t="s">
        <v>1392</v>
      </c>
      <c r="B216" s="1729" t="s">
        <v>1162</v>
      </c>
      <c r="C216" s="1730">
        <v>0.14699999999999999</v>
      </c>
      <c r="D216" s="1730">
        <v>0.14699999999999999</v>
      </c>
      <c r="E216" s="1730">
        <v>0.15</v>
      </c>
      <c r="F216" s="1731">
        <v>0.14000000000000001</v>
      </c>
    </row>
    <row r="217" spans="1:6" ht="15" thickBot="1">
      <c r="A217" s="1725" t="s">
        <v>1392</v>
      </c>
      <c r="B217" s="1729" t="s">
        <v>1172</v>
      </c>
      <c r="C217" s="1730">
        <v>0.15</v>
      </c>
      <c r="D217" s="1730">
        <v>0.15</v>
      </c>
      <c r="E217" s="1730">
        <v>0.15</v>
      </c>
      <c r="F217" s="1731">
        <v>0.15</v>
      </c>
    </row>
    <row r="218" spans="1:6" ht="15" thickBot="1">
      <c r="A218" s="1725" t="s">
        <v>1392</v>
      </c>
      <c r="B218" s="1729" t="s">
        <v>1949</v>
      </c>
      <c r="C218" s="1730">
        <v>0.15</v>
      </c>
      <c r="D218" s="1730">
        <v>0.15</v>
      </c>
      <c r="E218" s="1730">
        <v>0.15</v>
      </c>
      <c r="F218" s="1731">
        <v>0.15</v>
      </c>
    </row>
    <row r="219" spans="1:6" ht="15" thickBot="1">
      <c r="A219" s="1725" t="s">
        <v>1392</v>
      </c>
      <c r="B219" s="1729" t="s">
        <v>1192</v>
      </c>
      <c r="C219" s="1730">
        <v>0.15</v>
      </c>
      <c r="D219" s="1730">
        <v>0.15</v>
      </c>
      <c r="E219" s="1730">
        <v>0.15</v>
      </c>
      <c r="F219" s="1731">
        <v>0.14799999999999999</v>
      </c>
    </row>
    <row r="220" spans="1:6" ht="15" thickBot="1">
      <c r="A220" s="1725" t="s">
        <v>1392</v>
      </c>
      <c r="B220" s="1729" t="s">
        <v>1950</v>
      </c>
      <c r="C220" s="1730">
        <v>0.15</v>
      </c>
      <c r="D220" s="1730">
        <v>0.15</v>
      </c>
      <c r="E220" s="1730">
        <v>0.15</v>
      </c>
      <c r="F220" s="1731">
        <v>0.15</v>
      </c>
    </row>
    <row r="221" spans="1:6" ht="15" thickBot="1">
      <c r="A221" s="1725" t="s">
        <v>1392</v>
      </c>
      <c r="B221" s="1729" t="s">
        <v>1212</v>
      </c>
      <c r="C221" s="1730"/>
      <c r="D221" s="1739"/>
      <c r="E221" s="1739"/>
      <c r="F221" s="1731">
        <v>0.14799999999999999</v>
      </c>
    </row>
    <row r="222" spans="1:6" ht="15" thickBot="1">
      <c r="A222" s="1725" t="s">
        <v>1392</v>
      </c>
      <c r="B222" s="1729" t="s">
        <v>1222</v>
      </c>
      <c r="C222" s="1730"/>
      <c r="D222" s="1739"/>
      <c r="E222" s="1739"/>
      <c r="F222" s="1731">
        <v>0.1</v>
      </c>
    </row>
    <row r="223" spans="1:6" ht="15" thickBot="1">
      <c r="A223" s="1725" t="s">
        <v>1392</v>
      </c>
      <c r="B223" s="1729" t="s">
        <v>1232</v>
      </c>
      <c r="C223" s="1730"/>
      <c r="D223" s="1739"/>
      <c r="E223" s="1739"/>
      <c r="F223" s="1731">
        <v>0.15</v>
      </c>
    </row>
    <row r="224" spans="1:6" ht="15" thickBot="1">
      <c r="A224" s="1725" t="s">
        <v>1392</v>
      </c>
      <c r="B224" s="1729" t="s">
        <v>1242</v>
      </c>
      <c r="C224" s="1730"/>
      <c r="D224" s="1739"/>
      <c r="E224" s="1739"/>
      <c r="F224" s="1731">
        <v>0.15</v>
      </c>
    </row>
    <row r="225" spans="1:6" ht="15" thickBot="1">
      <c r="A225" s="1725" t="s">
        <v>1392</v>
      </c>
      <c r="B225" s="1729" t="s">
        <v>1951</v>
      </c>
      <c r="C225" s="1730">
        <v>0.15</v>
      </c>
      <c r="D225" s="1730">
        <v>0.15</v>
      </c>
      <c r="E225" s="1730">
        <v>0.15</v>
      </c>
      <c r="F225" s="1731">
        <v>0.15</v>
      </c>
    </row>
    <row r="226" spans="1:6" ht="15" thickBot="1">
      <c r="A226" s="1725" t="s">
        <v>1392</v>
      </c>
      <c r="B226" s="1729" t="s">
        <v>1260</v>
      </c>
      <c r="C226" s="1730">
        <v>0.15</v>
      </c>
      <c r="D226" s="1730">
        <v>0.15</v>
      </c>
      <c r="E226" s="1730">
        <v>0.15</v>
      </c>
      <c r="F226" s="1731">
        <v>0.14799999999999999</v>
      </c>
    </row>
    <row r="227" spans="1:6" ht="15" thickBot="1">
      <c r="A227" s="1725" t="s">
        <v>1392</v>
      </c>
      <c r="B227" s="1729" t="s">
        <v>1952</v>
      </c>
      <c r="C227" s="1730">
        <v>0.15</v>
      </c>
      <c r="D227" s="1730">
        <v>0.15</v>
      </c>
      <c r="E227" s="1730">
        <v>0.15</v>
      </c>
      <c r="F227" s="1731">
        <v>0.15</v>
      </c>
    </row>
    <row r="228" spans="1:6" ht="15" thickBot="1">
      <c r="A228" s="1725" t="s">
        <v>1392</v>
      </c>
      <c r="B228" s="1729" t="s">
        <v>1275</v>
      </c>
      <c r="C228" s="1730">
        <v>0.15</v>
      </c>
      <c r="D228" s="1730">
        <v>0.15</v>
      </c>
      <c r="E228" s="1730">
        <v>0.15</v>
      </c>
      <c r="F228" s="1731">
        <v>0.15</v>
      </c>
    </row>
    <row r="229" spans="1:6" ht="15" thickBot="1">
      <c r="A229" s="1725" t="s">
        <v>1392</v>
      </c>
      <c r="B229" s="1729" t="s">
        <v>1282</v>
      </c>
      <c r="C229" s="1730">
        <v>0.15</v>
      </c>
      <c r="D229" s="1730">
        <v>0.15</v>
      </c>
      <c r="E229" s="1730">
        <v>0.15</v>
      </c>
      <c r="F229" s="1738"/>
    </row>
    <row r="230" spans="1:6" ht="15" thickBot="1">
      <c r="A230" s="1725" t="s">
        <v>1392</v>
      </c>
      <c r="B230" s="1729" t="s">
        <v>1289</v>
      </c>
      <c r="C230" s="1730">
        <v>0.14499999999999999</v>
      </c>
      <c r="D230" s="1730">
        <v>0.14499999999999999</v>
      </c>
      <c r="E230" s="1730">
        <v>0.14399999999999999</v>
      </c>
      <c r="F230" s="1738"/>
    </row>
    <row r="231" spans="1:6" ht="15" thickBot="1">
      <c r="A231" s="1725" t="s">
        <v>1392</v>
      </c>
      <c r="B231" s="1729" t="s">
        <v>1953</v>
      </c>
      <c r="C231" s="1730">
        <v>0.128</v>
      </c>
      <c r="D231" s="1730">
        <v>0.125</v>
      </c>
      <c r="E231" s="1730">
        <v>0.13200000000000001</v>
      </c>
      <c r="F231" s="1738"/>
    </row>
    <row r="232" spans="1:6" ht="15" thickBot="1">
      <c r="A232" s="1725" t="s">
        <v>1392</v>
      </c>
      <c r="B232" s="1729" t="s">
        <v>1954</v>
      </c>
      <c r="C232" s="1730">
        <v>0.14499999999999999</v>
      </c>
      <c r="D232" s="1730">
        <v>0.14399999999999999</v>
      </c>
      <c r="E232" s="1730">
        <v>0.14599999999999999</v>
      </c>
      <c r="F232" s="1731">
        <v>0.13800000000000001</v>
      </c>
    </row>
    <row r="233" spans="1:6" ht="15" thickBot="1">
      <c r="A233" s="1725" t="s">
        <v>1392</v>
      </c>
      <c r="B233" s="1729" t="s">
        <v>1955</v>
      </c>
      <c r="C233" s="1730">
        <v>0.14499999999999999</v>
      </c>
      <c r="D233" s="1730">
        <v>0.14299999999999999</v>
      </c>
      <c r="E233" s="1730">
        <v>0.14199999999999999</v>
      </c>
      <c r="F233" s="1738"/>
    </row>
    <row r="234" spans="1:6" ht="15" thickBot="1">
      <c r="A234" s="1725" t="s">
        <v>1392</v>
      </c>
      <c r="B234" s="1729" t="s">
        <v>1956</v>
      </c>
      <c r="C234" s="1730">
        <v>0.14000000000000001</v>
      </c>
      <c r="D234" s="1730">
        <v>0.14000000000000001</v>
      </c>
      <c r="E234" s="1730">
        <v>0.14399999999999999</v>
      </c>
      <c r="F234" s="1738"/>
    </row>
    <row r="235" spans="1:6" ht="15" thickBot="1">
      <c r="A235" s="1725" t="s">
        <v>1392</v>
      </c>
      <c r="B235" s="1729" t="s">
        <v>1957</v>
      </c>
      <c r="C235" s="1730">
        <v>0.14099999999999999</v>
      </c>
      <c r="D235" s="1730">
        <v>0.14199999999999999</v>
      </c>
      <c r="E235" s="1730">
        <v>0.14499999999999999</v>
      </c>
      <c r="F235" s="1731">
        <v>0.15</v>
      </c>
    </row>
    <row r="236" spans="1:6" ht="15" thickBot="1">
      <c r="A236" s="1725" t="s">
        <v>1392</v>
      </c>
      <c r="B236" s="1729" t="s">
        <v>1324</v>
      </c>
      <c r="C236" s="1739"/>
      <c r="D236" s="1739"/>
      <c r="E236" s="1739"/>
      <c r="F236" s="1731">
        <v>0.14299999999999999</v>
      </c>
    </row>
    <row r="237" spans="1:6" ht="24.6" thickBot="1">
      <c r="A237" s="1725" t="s">
        <v>1392</v>
      </c>
      <c r="B237" s="1729" t="s">
        <v>1958</v>
      </c>
      <c r="C237" s="1739"/>
      <c r="D237" s="1739"/>
      <c r="E237" s="1739"/>
      <c r="F237" s="1731">
        <v>0.05</v>
      </c>
    </row>
    <row r="238" spans="1:6" ht="24.6" thickBot="1">
      <c r="A238" s="1725" t="s">
        <v>1392</v>
      </c>
      <c r="B238" s="1729" t="s">
        <v>1959</v>
      </c>
      <c r="C238" s="1739"/>
      <c r="D238" s="1739"/>
      <c r="E238" s="1739"/>
      <c r="F238" s="1731">
        <v>0.05</v>
      </c>
    </row>
    <row r="239" spans="1:6" ht="24.6" thickBot="1">
      <c r="A239" s="1725" t="s">
        <v>1392</v>
      </c>
      <c r="B239" s="1729" t="s">
        <v>1960</v>
      </c>
      <c r="C239" s="1739"/>
      <c r="D239" s="1739"/>
      <c r="E239" s="1739"/>
      <c r="F239" s="1731">
        <v>0.05</v>
      </c>
    </row>
    <row r="240" spans="1:6" ht="24.6" thickBot="1">
      <c r="A240" s="1725" t="s">
        <v>1392</v>
      </c>
      <c r="B240" s="1729" t="s">
        <v>1961</v>
      </c>
      <c r="C240" s="1739"/>
      <c r="D240" s="1739"/>
      <c r="E240" s="1739"/>
      <c r="F240" s="1731">
        <v>0.05</v>
      </c>
    </row>
    <row r="241" spans="1:6" ht="24.6" thickBot="1">
      <c r="A241" s="1725" t="s">
        <v>1392</v>
      </c>
      <c r="B241" s="1729" t="s">
        <v>1962</v>
      </c>
      <c r="C241" s="1739"/>
      <c r="D241" s="1739"/>
      <c r="E241" s="1739"/>
      <c r="F241" s="1731">
        <v>0.05</v>
      </c>
    </row>
    <row r="242" spans="1:6" ht="24.6" thickBot="1">
      <c r="A242" s="1725" t="s">
        <v>1392</v>
      </c>
      <c r="B242" s="1729" t="s">
        <v>1963</v>
      </c>
      <c r="C242" s="1739"/>
      <c r="D242" s="1739"/>
      <c r="E242" s="1739"/>
      <c r="F242" s="1731">
        <v>0.05</v>
      </c>
    </row>
    <row r="243" spans="1:6" ht="24.6" thickBot="1">
      <c r="A243" s="1725" t="s">
        <v>1392</v>
      </c>
      <c r="B243" s="1729" t="s">
        <v>1964</v>
      </c>
      <c r="C243" s="1739"/>
      <c r="D243" s="1739"/>
      <c r="E243" s="1739"/>
      <c r="F243" s="1731">
        <v>0.05</v>
      </c>
    </row>
    <row r="244" spans="1:6" ht="24.6" thickBot="1">
      <c r="A244" s="1733" t="s">
        <v>1392</v>
      </c>
      <c r="B244" s="1740" t="s">
        <v>1965</v>
      </c>
      <c r="C244" s="1736"/>
      <c r="D244" s="1736"/>
      <c r="E244" s="1736"/>
      <c r="F244" s="1741">
        <v>0.05</v>
      </c>
    </row>
    <row r="245" spans="1:6" ht="15" thickBot="1">
      <c r="A245" s="1725" t="s">
        <v>1394</v>
      </c>
      <c r="B245" s="1726" t="s">
        <v>1966</v>
      </c>
      <c r="C245" s="1727">
        <v>0.15</v>
      </c>
      <c r="D245" s="1727">
        <v>0.15</v>
      </c>
      <c r="E245" s="1727">
        <v>0.15</v>
      </c>
      <c r="F245" s="1728">
        <v>0.14299999999999999</v>
      </c>
    </row>
    <row r="246" spans="1:6" ht="15" thickBot="1">
      <c r="A246" s="1725" t="s">
        <v>1394</v>
      </c>
      <c r="B246" s="1729" t="s">
        <v>1057</v>
      </c>
      <c r="C246" s="1730">
        <v>0.15</v>
      </c>
      <c r="D246" s="1730">
        <v>0.15</v>
      </c>
      <c r="E246" s="1730">
        <v>0.15</v>
      </c>
      <c r="F246" s="1731">
        <v>0.114</v>
      </c>
    </row>
    <row r="247" spans="1:6" ht="15" thickBot="1">
      <c r="A247" s="1725" t="s">
        <v>1394</v>
      </c>
      <c r="B247" s="1729" t="s">
        <v>1967</v>
      </c>
      <c r="C247" s="1730">
        <v>0.15</v>
      </c>
      <c r="D247" s="1730">
        <v>0.15</v>
      </c>
      <c r="E247" s="1730">
        <v>0.15</v>
      </c>
      <c r="F247" s="1731">
        <v>0.15</v>
      </c>
    </row>
    <row r="248" spans="1:6" ht="15" thickBot="1">
      <c r="A248" s="1725" t="s">
        <v>1394</v>
      </c>
      <c r="B248" s="1729" t="s">
        <v>1968</v>
      </c>
      <c r="C248" s="1730">
        <v>0.15</v>
      </c>
      <c r="D248" s="1730">
        <v>0.15</v>
      </c>
      <c r="E248" s="1730">
        <v>0.15</v>
      </c>
      <c r="F248" s="1731">
        <v>0.14000000000000001</v>
      </c>
    </row>
    <row r="249" spans="1:6" ht="15" thickBot="1">
      <c r="A249" s="1725" t="s">
        <v>1394</v>
      </c>
      <c r="B249" s="1729" t="s">
        <v>1969</v>
      </c>
      <c r="C249" s="1730">
        <v>0.15</v>
      </c>
      <c r="D249" s="1730">
        <v>0.14899999999999999</v>
      </c>
      <c r="E249" s="1730">
        <v>0.15</v>
      </c>
      <c r="F249" s="1731">
        <v>0.1</v>
      </c>
    </row>
    <row r="250" spans="1:6" ht="15" thickBot="1">
      <c r="A250" s="1725" t="s">
        <v>1394</v>
      </c>
      <c r="B250" s="1729" t="s">
        <v>1970</v>
      </c>
      <c r="C250" s="1730">
        <v>0.15</v>
      </c>
      <c r="D250" s="1730">
        <v>0.15</v>
      </c>
      <c r="E250" s="1730">
        <v>0.15</v>
      </c>
      <c r="F250" s="1731">
        <v>0.14399999999999999</v>
      </c>
    </row>
    <row r="251" spans="1:6" ht="15" thickBot="1">
      <c r="A251" s="1725" t="s">
        <v>1394</v>
      </c>
      <c r="B251" s="1729" t="s">
        <v>1120</v>
      </c>
      <c r="C251" s="1730">
        <v>0.15</v>
      </c>
      <c r="D251" s="1730">
        <v>0.15</v>
      </c>
      <c r="E251" s="1730">
        <v>0.15</v>
      </c>
      <c r="F251" s="1731">
        <v>0.14299999999999999</v>
      </c>
    </row>
    <row r="252" spans="1:6" ht="15" thickBot="1">
      <c r="A252" s="1725" t="s">
        <v>1394</v>
      </c>
      <c r="B252" s="1729" t="s">
        <v>1131</v>
      </c>
      <c r="C252" s="1730">
        <v>0.15</v>
      </c>
      <c r="D252" s="1730">
        <v>0.15</v>
      </c>
      <c r="E252" s="1730">
        <v>0.15</v>
      </c>
      <c r="F252" s="1731">
        <v>0.1</v>
      </c>
    </row>
    <row r="253" spans="1:6" ht="15" thickBot="1">
      <c r="A253" s="1725" t="s">
        <v>1394</v>
      </c>
      <c r="B253" s="1729" t="s">
        <v>1143</v>
      </c>
      <c r="C253" s="1730">
        <v>0.15</v>
      </c>
      <c r="D253" s="1730">
        <v>0.15</v>
      </c>
      <c r="E253" s="1730">
        <v>0.15</v>
      </c>
      <c r="F253" s="1731">
        <v>0.1</v>
      </c>
    </row>
    <row r="254" spans="1:6" ht="15" thickBot="1">
      <c r="A254" s="1725" t="s">
        <v>1394</v>
      </c>
      <c r="B254" s="1729" t="s">
        <v>1153</v>
      </c>
      <c r="C254" s="1739"/>
      <c r="D254" s="1739"/>
      <c r="E254" s="1739"/>
      <c r="F254" s="1731">
        <v>0.15</v>
      </c>
    </row>
    <row r="255" spans="1:6" ht="15" thickBot="1">
      <c r="A255" s="1725" t="s">
        <v>1394</v>
      </c>
      <c r="B255" s="1729" t="s">
        <v>1163</v>
      </c>
      <c r="C255" s="1739"/>
      <c r="D255" s="1739"/>
      <c r="E255" s="1739"/>
      <c r="F255" s="1731">
        <v>0.14299999999999999</v>
      </c>
    </row>
    <row r="256" spans="1:6" ht="15" thickBot="1">
      <c r="A256" s="1725" t="s">
        <v>1394</v>
      </c>
      <c r="B256" s="1729" t="s">
        <v>1971</v>
      </c>
      <c r="C256" s="1730">
        <v>0.14599999999999999</v>
      </c>
      <c r="D256" s="1730">
        <v>0.14699999999999999</v>
      </c>
      <c r="E256" s="1730">
        <v>0.15</v>
      </c>
      <c r="F256" s="1731">
        <v>0.13200000000000001</v>
      </c>
    </row>
    <row r="257" spans="1:6" ht="15" thickBot="1">
      <c r="A257" s="1725" t="s">
        <v>1394</v>
      </c>
      <c r="B257" s="1729" t="s">
        <v>1183</v>
      </c>
      <c r="C257" s="1730">
        <v>0.15</v>
      </c>
      <c r="D257" s="1730">
        <v>0.15</v>
      </c>
      <c r="E257" s="1730">
        <v>0.15</v>
      </c>
      <c r="F257" s="1731">
        <v>0.13900000000000001</v>
      </c>
    </row>
    <row r="258" spans="1:6" ht="15" thickBot="1">
      <c r="A258" s="1725" t="s">
        <v>1394</v>
      </c>
      <c r="B258" s="1729" t="s">
        <v>1193</v>
      </c>
      <c r="C258" s="1730">
        <v>0.15</v>
      </c>
      <c r="D258" s="1730">
        <v>0.15</v>
      </c>
      <c r="E258" s="1730">
        <v>0.15</v>
      </c>
      <c r="F258" s="1731">
        <v>0.13</v>
      </c>
    </row>
    <row r="259" spans="1:6" ht="15" thickBot="1">
      <c r="A259" s="1725" t="s">
        <v>1394</v>
      </c>
      <c r="B259" s="1729" t="s">
        <v>1972</v>
      </c>
      <c r="C259" s="1730">
        <v>0.14799999999999999</v>
      </c>
      <c r="D259" s="1730">
        <v>0.14899999999999999</v>
      </c>
      <c r="E259" s="1730">
        <v>0.15</v>
      </c>
      <c r="F259" s="1731">
        <v>0.13700000000000001</v>
      </c>
    </row>
    <row r="260" spans="1:6" ht="15" thickBot="1">
      <c r="A260" s="1725" t="s">
        <v>1394</v>
      </c>
      <c r="B260" s="1729" t="s">
        <v>1213</v>
      </c>
      <c r="C260" s="1730">
        <v>0.15</v>
      </c>
      <c r="D260" s="1730">
        <v>0.15</v>
      </c>
      <c r="E260" s="1730">
        <v>0.15</v>
      </c>
      <c r="F260" s="1731">
        <v>0.14199999999999999</v>
      </c>
    </row>
    <row r="261" spans="1:6" ht="15" thickBot="1">
      <c r="A261" s="1725" t="s">
        <v>1394</v>
      </c>
      <c r="B261" s="1729" t="s">
        <v>1223</v>
      </c>
      <c r="C261" s="1730">
        <v>0.15</v>
      </c>
      <c r="D261" s="1730">
        <v>0.15</v>
      </c>
      <c r="E261" s="1730">
        <v>0.14899999999999999</v>
      </c>
      <c r="F261" s="1731">
        <v>0.14799999999999999</v>
      </c>
    </row>
    <row r="262" spans="1:6" ht="15" thickBot="1">
      <c r="A262" s="1725" t="s">
        <v>1394</v>
      </c>
      <c r="B262" s="1729" t="s">
        <v>1233</v>
      </c>
      <c r="C262" s="1730">
        <v>0.15</v>
      </c>
      <c r="D262" s="1730">
        <v>0.15</v>
      </c>
      <c r="E262" s="1730">
        <v>0.15</v>
      </c>
      <c r="F262" s="1738"/>
    </row>
    <row r="263" spans="1:6" ht="15" thickBot="1">
      <c r="A263" s="1725" t="s">
        <v>1394</v>
      </c>
      <c r="B263" s="1729" t="s">
        <v>1973</v>
      </c>
      <c r="C263" s="1730">
        <v>0.14899999999999999</v>
      </c>
      <c r="D263" s="1730">
        <v>0.14899999999999999</v>
      </c>
      <c r="E263" s="1730">
        <v>0.15</v>
      </c>
      <c r="F263" s="1731">
        <v>0.13</v>
      </c>
    </row>
    <row r="264" spans="1:6" ht="15" thickBot="1">
      <c r="A264" s="1725" t="s">
        <v>1394</v>
      </c>
      <c r="B264" s="1729" t="s">
        <v>1252</v>
      </c>
      <c r="C264" s="1730">
        <v>0.14799999999999999</v>
      </c>
      <c r="D264" s="1730">
        <v>0.14699999999999999</v>
      </c>
      <c r="E264" s="1730">
        <v>0.15</v>
      </c>
      <c r="F264" s="1731">
        <v>7.8E-2</v>
      </c>
    </row>
    <row r="265" spans="1:6" ht="15" thickBot="1">
      <c r="A265" s="1725" t="s">
        <v>1394</v>
      </c>
      <c r="B265" s="1729" t="s">
        <v>1261</v>
      </c>
      <c r="C265" s="1730">
        <v>0.15</v>
      </c>
      <c r="D265" s="1730">
        <v>0.15</v>
      </c>
      <c r="E265" s="1730">
        <v>0.15</v>
      </c>
      <c r="F265" s="1731">
        <v>7.3999999999999996E-2</v>
      </c>
    </row>
    <row r="266" spans="1:6" ht="15" thickBot="1">
      <c r="A266" s="1725" t="s">
        <v>1394</v>
      </c>
      <c r="B266" s="1729" t="s">
        <v>1269</v>
      </c>
      <c r="C266" s="1730">
        <v>0.14699999999999999</v>
      </c>
      <c r="D266" s="1730">
        <v>0.14699999999999999</v>
      </c>
      <c r="E266" s="1730">
        <v>0.15</v>
      </c>
      <c r="F266" s="1731">
        <v>0.14299999999999999</v>
      </c>
    </row>
    <row r="267" spans="1:6" ht="15" thickBot="1">
      <c r="A267" s="1725" t="s">
        <v>1394</v>
      </c>
      <c r="B267" s="1729" t="s">
        <v>1276</v>
      </c>
      <c r="C267" s="1730">
        <v>0.14199999999999999</v>
      </c>
      <c r="D267" s="1730">
        <v>0.14299999999999999</v>
      </c>
      <c r="E267" s="1730">
        <v>0.15</v>
      </c>
      <c r="F267" s="1738"/>
    </row>
    <row r="268" spans="1:6" ht="15" thickBot="1">
      <c r="A268" s="1725" t="s">
        <v>1394</v>
      </c>
      <c r="B268" s="1729" t="s">
        <v>1974</v>
      </c>
      <c r="C268" s="1730">
        <v>0.15</v>
      </c>
      <c r="D268" s="1730">
        <v>0.15</v>
      </c>
      <c r="E268" s="1730">
        <v>0.15</v>
      </c>
      <c r="F268" s="1731">
        <v>0.13</v>
      </c>
    </row>
    <row r="269" spans="1:6" ht="15" thickBot="1">
      <c r="A269" s="1725" t="s">
        <v>1394</v>
      </c>
      <c r="B269" s="1729" t="s">
        <v>1290</v>
      </c>
      <c r="C269" s="1730">
        <v>0.15</v>
      </c>
      <c r="D269" s="1730">
        <v>0.15</v>
      </c>
      <c r="E269" s="1730">
        <v>0.15</v>
      </c>
      <c r="F269" s="1731">
        <v>0.14299999999999999</v>
      </c>
    </row>
    <row r="270" spans="1:6" ht="15" thickBot="1">
      <c r="A270" s="1725" t="s">
        <v>1394</v>
      </c>
      <c r="B270" s="1729" t="s">
        <v>1297</v>
      </c>
      <c r="C270" s="1730">
        <v>0.14499999999999999</v>
      </c>
      <c r="D270" s="1730">
        <v>0.14499999999999999</v>
      </c>
      <c r="E270" s="1730">
        <v>0.15</v>
      </c>
      <c r="F270" s="1731">
        <v>0.14699999999999999</v>
      </c>
    </row>
    <row r="271" spans="1:6" ht="15" thickBot="1">
      <c r="A271" s="1725" t="s">
        <v>1394</v>
      </c>
      <c r="B271" s="1729" t="s">
        <v>1304</v>
      </c>
      <c r="C271" s="1730">
        <v>0.15</v>
      </c>
      <c r="D271" s="1730">
        <v>0.15</v>
      </c>
      <c r="E271" s="1730">
        <v>0.15</v>
      </c>
      <c r="F271" s="1731">
        <v>0.13800000000000001</v>
      </c>
    </row>
    <row r="272" spans="1:6" ht="15" thickBot="1">
      <c r="A272" s="1725" t="s">
        <v>1394</v>
      </c>
      <c r="B272" s="1729" t="s">
        <v>1311</v>
      </c>
      <c r="C272" s="1739"/>
      <c r="D272" s="1739"/>
      <c r="E272" s="1739"/>
      <c r="F272" s="1731">
        <v>0.14000000000000001</v>
      </c>
    </row>
    <row r="273" spans="1:6" ht="15" thickBot="1">
      <c r="A273" s="1725" t="s">
        <v>1394</v>
      </c>
      <c r="B273" s="1729" t="s">
        <v>1975</v>
      </c>
      <c r="C273" s="1730">
        <v>0.14199999999999999</v>
      </c>
      <c r="D273" s="1730">
        <v>0.14299999999999999</v>
      </c>
      <c r="E273" s="1730">
        <v>0.15</v>
      </c>
      <c r="F273" s="1731">
        <v>0.1</v>
      </c>
    </row>
    <row r="274" spans="1:6" ht="15" thickBot="1">
      <c r="A274" s="1725" t="s">
        <v>1394</v>
      </c>
      <c r="B274" s="1729" t="s">
        <v>1976</v>
      </c>
      <c r="C274" s="1730">
        <v>0.14799999999999999</v>
      </c>
      <c r="D274" s="1730">
        <v>0.14799999999999999</v>
      </c>
      <c r="E274" s="1730">
        <v>0.15</v>
      </c>
      <c r="F274" s="1731">
        <v>6.7000000000000004E-2</v>
      </c>
    </row>
    <row r="275" spans="1:6" ht="15" thickBot="1">
      <c r="A275" s="1725" t="s">
        <v>1394</v>
      </c>
      <c r="B275" s="1729" t="s">
        <v>1977</v>
      </c>
      <c r="C275" s="1730">
        <v>0.15</v>
      </c>
      <c r="D275" s="1730">
        <v>0.15</v>
      </c>
      <c r="E275" s="1730">
        <v>0.15</v>
      </c>
      <c r="F275" s="1731">
        <v>0.15</v>
      </c>
    </row>
    <row r="276" spans="1:6" ht="15" thickBot="1">
      <c r="A276" s="1725" t="s">
        <v>1394</v>
      </c>
      <c r="B276" s="1729" t="s">
        <v>1978</v>
      </c>
      <c r="C276" s="1730">
        <v>0.14499999999999999</v>
      </c>
      <c r="D276" s="1730">
        <v>0.14299999999999999</v>
      </c>
      <c r="E276" s="1730">
        <v>0.15</v>
      </c>
      <c r="F276" s="1731">
        <v>5.8999999999999997E-2</v>
      </c>
    </row>
    <row r="277" spans="1:6" ht="15" thickBot="1">
      <c r="A277" s="1725" t="s">
        <v>1394</v>
      </c>
      <c r="B277" s="1729" t="s">
        <v>1979</v>
      </c>
      <c r="C277" s="1730">
        <v>0.15</v>
      </c>
      <c r="D277" s="1730">
        <v>0.15</v>
      </c>
      <c r="E277" s="1730">
        <v>0.15</v>
      </c>
      <c r="F277" s="1731">
        <v>0.121</v>
      </c>
    </row>
    <row r="278" spans="1:6" ht="15" thickBot="1">
      <c r="A278" s="1725" t="s">
        <v>1394</v>
      </c>
      <c r="B278" s="1729" t="s">
        <v>1980</v>
      </c>
      <c r="C278" s="1730">
        <v>0.15</v>
      </c>
      <c r="D278" s="1730">
        <v>0.15</v>
      </c>
      <c r="E278" s="1730">
        <v>0.15</v>
      </c>
      <c r="F278" s="1731">
        <v>0.13800000000000001</v>
      </c>
    </row>
    <row r="279" spans="1:6" ht="24.6" thickBot="1">
      <c r="A279" s="1725" t="s">
        <v>1394</v>
      </c>
      <c r="B279" s="1729" t="s">
        <v>1981</v>
      </c>
      <c r="C279" s="1739"/>
      <c r="D279" s="1739"/>
      <c r="E279" s="1739"/>
      <c r="F279" s="1731">
        <v>0.05</v>
      </c>
    </row>
    <row r="280" spans="1:6" ht="24.6" thickBot="1">
      <c r="A280" s="1725" t="s">
        <v>1394</v>
      </c>
      <c r="B280" s="1729" t="s">
        <v>1982</v>
      </c>
      <c r="C280" s="1739"/>
      <c r="D280" s="1739"/>
      <c r="E280" s="1739"/>
      <c r="F280" s="1731">
        <v>0.05</v>
      </c>
    </row>
    <row r="281" spans="1:6" ht="24.6" thickBot="1">
      <c r="A281" s="1725" t="s">
        <v>1394</v>
      </c>
      <c r="B281" s="1729" t="s">
        <v>1983</v>
      </c>
      <c r="C281" s="1739"/>
      <c r="D281" s="1739"/>
      <c r="E281" s="1739"/>
      <c r="F281" s="1731">
        <v>0.05</v>
      </c>
    </row>
    <row r="282" spans="1:6" ht="24.6" thickBot="1">
      <c r="A282" s="1725" t="s">
        <v>1394</v>
      </c>
      <c r="B282" s="1729" t="s">
        <v>1984</v>
      </c>
      <c r="C282" s="1739"/>
      <c r="D282" s="1739"/>
      <c r="E282" s="1739"/>
      <c r="F282" s="1731">
        <v>0.05</v>
      </c>
    </row>
    <row r="283" spans="1:6" ht="24.6" thickBot="1">
      <c r="A283" s="1725" t="s">
        <v>1394</v>
      </c>
      <c r="B283" s="1729" t="s">
        <v>1985</v>
      </c>
      <c r="C283" s="1739"/>
      <c r="D283" s="1739"/>
      <c r="E283" s="1739"/>
      <c r="F283" s="1731">
        <v>0.05</v>
      </c>
    </row>
    <row r="284" spans="1:6" ht="24.6" thickBot="1">
      <c r="A284" s="1725" t="s">
        <v>1394</v>
      </c>
      <c r="B284" s="1729" t="s">
        <v>1986</v>
      </c>
      <c r="C284" s="1739"/>
      <c r="D284" s="1739"/>
      <c r="E284" s="1739"/>
      <c r="F284" s="1731">
        <v>0.05</v>
      </c>
    </row>
    <row r="285" spans="1:6" ht="24.6" thickBot="1">
      <c r="A285" s="1725" t="s">
        <v>1394</v>
      </c>
      <c r="B285" s="1729" t="s">
        <v>1987</v>
      </c>
      <c r="C285" s="1739"/>
      <c r="D285" s="1739"/>
      <c r="E285" s="1739"/>
      <c r="F285" s="1731">
        <v>0.05</v>
      </c>
    </row>
    <row r="286" spans="1:6" ht="24.6" thickBot="1">
      <c r="A286" s="1725" t="s">
        <v>1394</v>
      </c>
      <c r="B286" s="1729" t="s">
        <v>1988</v>
      </c>
      <c r="C286" s="1739"/>
      <c r="D286" s="1739"/>
      <c r="E286" s="1739"/>
      <c r="F286" s="1731">
        <v>0.05</v>
      </c>
    </row>
    <row r="287" spans="1:6" ht="24.6" thickBot="1">
      <c r="A287" s="1725" t="s">
        <v>1394</v>
      </c>
      <c r="B287" s="1729" t="s">
        <v>1989</v>
      </c>
      <c r="C287" s="1739"/>
      <c r="D287" s="1739"/>
      <c r="E287" s="1739"/>
      <c r="F287" s="1731">
        <v>0.05</v>
      </c>
    </row>
    <row r="288" spans="1:6" ht="24.6" thickBot="1">
      <c r="A288" s="1725" t="s">
        <v>1394</v>
      </c>
      <c r="B288" s="1729" t="s">
        <v>1990</v>
      </c>
      <c r="C288" s="1739"/>
      <c r="D288" s="1739"/>
      <c r="E288" s="1739"/>
      <c r="F288" s="1731">
        <v>0.05</v>
      </c>
    </row>
    <row r="289" spans="1:6" ht="24.6" thickBot="1">
      <c r="A289" s="1733" t="s">
        <v>1394</v>
      </c>
      <c r="B289" s="1740" t="s">
        <v>1991</v>
      </c>
      <c r="C289" s="1736"/>
      <c r="D289" s="1736"/>
      <c r="E289" s="1736"/>
      <c r="F289" s="1741">
        <v>0.05</v>
      </c>
    </row>
    <row r="290" spans="1:6" ht="15" thickBot="1">
      <c r="A290" s="1725" t="s">
        <v>1398</v>
      </c>
      <c r="B290" s="1726" t="s">
        <v>1992</v>
      </c>
      <c r="C290" s="1727">
        <v>0.15</v>
      </c>
      <c r="D290" s="1727">
        <v>0.15</v>
      </c>
      <c r="E290" s="1727">
        <v>0.15</v>
      </c>
      <c r="F290" s="1749"/>
    </row>
    <row r="291" spans="1:6" ht="15" thickBot="1">
      <c r="A291" s="1725" t="s">
        <v>1398</v>
      </c>
      <c r="B291" s="1729" t="s">
        <v>1058</v>
      </c>
      <c r="C291" s="1730">
        <v>0.15</v>
      </c>
      <c r="D291" s="1730">
        <v>0.15</v>
      </c>
      <c r="E291" s="1730">
        <v>0.15</v>
      </c>
      <c r="F291" s="1738"/>
    </row>
    <row r="292" spans="1:6" ht="15" thickBot="1">
      <c r="A292" s="1725" t="s">
        <v>1398</v>
      </c>
      <c r="B292" s="1729" t="s">
        <v>1993</v>
      </c>
      <c r="C292" s="1730">
        <v>0.15</v>
      </c>
      <c r="D292" s="1730">
        <v>0.15</v>
      </c>
      <c r="E292" s="1730">
        <v>0.15</v>
      </c>
      <c r="F292" s="1731">
        <v>0.14699999999999999</v>
      </c>
    </row>
    <row r="293" spans="1:6" ht="15" thickBot="1">
      <c r="A293" s="1725" t="s">
        <v>1398</v>
      </c>
      <c r="B293" s="1729" t="s">
        <v>1994</v>
      </c>
      <c r="C293" s="1739"/>
      <c r="D293" s="1739"/>
      <c r="E293" s="1739"/>
      <c r="F293" s="1731">
        <v>0.1</v>
      </c>
    </row>
    <row r="294" spans="1:6" ht="15" thickBot="1">
      <c r="A294" s="1725" t="s">
        <v>1398</v>
      </c>
      <c r="B294" s="1729" t="s">
        <v>1995</v>
      </c>
      <c r="C294" s="1730">
        <v>0.15</v>
      </c>
      <c r="D294" s="1730">
        <v>0.15</v>
      </c>
      <c r="E294" s="1730">
        <v>0.15</v>
      </c>
      <c r="F294" s="1731">
        <v>0.15</v>
      </c>
    </row>
    <row r="295" spans="1:6" ht="15" thickBot="1">
      <c r="A295" s="1725" t="s">
        <v>1398</v>
      </c>
      <c r="B295" s="1729" t="s">
        <v>1099</v>
      </c>
      <c r="C295" s="1730">
        <v>0.15</v>
      </c>
      <c r="D295" s="1730">
        <v>0.15</v>
      </c>
      <c r="E295" s="1730">
        <v>0.15</v>
      </c>
      <c r="F295" s="1731">
        <v>0.15</v>
      </c>
    </row>
    <row r="296" spans="1:6" ht="15" thickBot="1">
      <c r="A296" s="1725" t="s">
        <v>1398</v>
      </c>
      <c r="B296" s="1729" t="s">
        <v>1996</v>
      </c>
      <c r="C296" s="1730">
        <v>0.15</v>
      </c>
      <c r="D296" s="1730">
        <v>0.15</v>
      </c>
      <c r="E296" s="1730">
        <v>0.15</v>
      </c>
      <c r="F296" s="1731">
        <v>0.15</v>
      </c>
    </row>
    <row r="297" spans="1:6" ht="15" thickBot="1">
      <c r="A297" s="1725" t="s">
        <v>1398</v>
      </c>
      <c r="B297" s="1729" t="s">
        <v>1997</v>
      </c>
      <c r="C297" s="1730">
        <v>0.14799999999999999</v>
      </c>
      <c r="D297" s="1730">
        <v>0.14899999999999999</v>
      </c>
      <c r="E297" s="1730">
        <v>0.15</v>
      </c>
      <c r="F297" s="1731">
        <v>0.13700000000000001</v>
      </c>
    </row>
    <row r="298" spans="1:6" ht="15" thickBot="1">
      <c r="A298" s="1725" t="s">
        <v>1398</v>
      </c>
      <c r="B298" s="1729" t="s">
        <v>1132</v>
      </c>
      <c r="C298" s="1730">
        <v>0.13400000000000001</v>
      </c>
      <c r="D298" s="1730">
        <v>0.13400000000000001</v>
      </c>
      <c r="E298" s="1730">
        <v>0.14499999999999999</v>
      </c>
      <c r="F298" s="1731">
        <v>0.14799999999999999</v>
      </c>
    </row>
    <row r="299" spans="1:6" ht="15" thickBot="1">
      <c r="A299" s="1725" t="s">
        <v>1398</v>
      </c>
      <c r="B299" s="1729" t="s">
        <v>1144</v>
      </c>
      <c r="C299" s="1730">
        <v>0.15</v>
      </c>
      <c r="D299" s="1730">
        <v>0.15</v>
      </c>
      <c r="E299" s="1730">
        <v>0.15</v>
      </c>
      <c r="F299" s="1738"/>
    </row>
    <row r="300" spans="1:6" ht="15" thickBot="1">
      <c r="A300" s="1725" t="s">
        <v>1398</v>
      </c>
      <c r="B300" s="1729" t="s">
        <v>1998</v>
      </c>
      <c r="C300" s="1730">
        <v>0.15</v>
      </c>
      <c r="D300" s="1730">
        <v>0.15</v>
      </c>
      <c r="E300" s="1730">
        <v>0.15</v>
      </c>
      <c r="F300" s="1731">
        <v>0.15</v>
      </c>
    </row>
    <row r="301" spans="1:6" ht="15" thickBot="1">
      <c r="A301" s="1725" t="s">
        <v>1398</v>
      </c>
      <c r="B301" s="1729" t="s">
        <v>1164</v>
      </c>
      <c r="C301" s="1730">
        <v>0.15</v>
      </c>
      <c r="D301" s="1730">
        <v>0.15</v>
      </c>
      <c r="E301" s="1730">
        <v>0.15</v>
      </c>
      <c r="F301" s="1738"/>
    </row>
    <row r="302" spans="1:6" ht="15" thickBot="1">
      <c r="A302" s="1725" t="s">
        <v>1398</v>
      </c>
      <c r="B302" s="1729" t="s">
        <v>1999</v>
      </c>
      <c r="C302" s="1730">
        <v>0.15</v>
      </c>
      <c r="D302" s="1730">
        <v>0.15</v>
      </c>
      <c r="E302" s="1730">
        <v>0.15</v>
      </c>
      <c r="F302" s="1731">
        <v>0.15</v>
      </c>
    </row>
    <row r="303" spans="1:6" ht="15" thickBot="1">
      <c r="A303" s="1725" t="s">
        <v>1398</v>
      </c>
      <c r="B303" s="1729" t="s">
        <v>1184</v>
      </c>
      <c r="C303" s="1730">
        <v>0.15</v>
      </c>
      <c r="D303" s="1730">
        <v>0.15</v>
      </c>
      <c r="E303" s="1730">
        <v>0.15</v>
      </c>
      <c r="F303" s="1731">
        <v>0.15</v>
      </c>
    </row>
    <row r="304" spans="1:6" ht="15" thickBot="1">
      <c r="A304" s="1725" t="s">
        <v>1398</v>
      </c>
      <c r="B304" s="1729" t="s">
        <v>1194</v>
      </c>
      <c r="C304" s="1730">
        <v>0.15</v>
      </c>
      <c r="D304" s="1730">
        <v>0.15</v>
      </c>
      <c r="E304" s="1730">
        <v>0.15</v>
      </c>
      <c r="F304" s="1738"/>
    </row>
    <row r="305" spans="1:6" ht="15" thickBot="1">
      <c r="A305" s="1725" t="s">
        <v>1398</v>
      </c>
      <c r="B305" s="1729" t="s">
        <v>2000</v>
      </c>
      <c r="C305" s="1730">
        <v>0.15</v>
      </c>
      <c r="D305" s="1730">
        <v>0.15</v>
      </c>
      <c r="E305" s="1730">
        <v>0.15</v>
      </c>
      <c r="F305" s="1731">
        <v>0.14000000000000001</v>
      </c>
    </row>
    <row r="306" spans="1:6" ht="15" thickBot="1">
      <c r="A306" s="1725" t="s">
        <v>1398</v>
      </c>
      <c r="B306" s="1729" t="s">
        <v>1214</v>
      </c>
      <c r="C306" s="1730">
        <v>0.15</v>
      </c>
      <c r="D306" s="1730">
        <v>0.15</v>
      </c>
      <c r="E306" s="1730">
        <v>0.15</v>
      </c>
      <c r="F306" s="1738"/>
    </row>
    <row r="307" spans="1:6" ht="15" thickBot="1">
      <c r="A307" s="1725" t="s">
        <v>1398</v>
      </c>
      <c r="B307" s="1729" t="s">
        <v>2001</v>
      </c>
      <c r="C307" s="1730">
        <v>0.15</v>
      </c>
      <c r="D307" s="1730">
        <v>0.15</v>
      </c>
      <c r="E307" s="1730">
        <v>0.15</v>
      </c>
      <c r="F307" s="1731">
        <v>0.14299999999999999</v>
      </c>
    </row>
    <row r="308" spans="1:6" ht="15" thickBot="1">
      <c r="A308" s="1725" t="s">
        <v>1398</v>
      </c>
      <c r="B308" s="1729" t="s">
        <v>1234</v>
      </c>
      <c r="C308" s="1730">
        <v>0.15</v>
      </c>
      <c r="D308" s="1730">
        <v>0.15</v>
      </c>
      <c r="E308" s="1730">
        <v>0.15</v>
      </c>
      <c r="F308" s="1731">
        <v>0.15</v>
      </c>
    </row>
    <row r="309" spans="1:6" ht="15" thickBot="1">
      <c r="A309" s="1725" t="s">
        <v>1398</v>
      </c>
      <c r="B309" s="1729" t="s">
        <v>1244</v>
      </c>
      <c r="C309" s="1730">
        <v>0.15</v>
      </c>
      <c r="D309" s="1730">
        <v>0.15</v>
      </c>
      <c r="E309" s="1730">
        <v>0.15</v>
      </c>
      <c r="F309" s="1738"/>
    </row>
    <row r="310" spans="1:6" ht="15" thickBot="1">
      <c r="A310" s="1725" t="s">
        <v>1398</v>
      </c>
      <c r="B310" s="1729" t="s">
        <v>2002</v>
      </c>
      <c r="C310" s="1730">
        <v>0.15</v>
      </c>
      <c r="D310" s="1730">
        <v>0.15</v>
      </c>
      <c r="E310" s="1730">
        <v>0.15</v>
      </c>
      <c r="F310" s="1731">
        <v>0.13700000000000001</v>
      </c>
    </row>
    <row r="311" spans="1:6" ht="15" thickBot="1">
      <c r="A311" s="1725" t="s">
        <v>1398</v>
      </c>
      <c r="B311" s="1729" t="s">
        <v>2003</v>
      </c>
      <c r="C311" s="1730">
        <v>0.15</v>
      </c>
      <c r="D311" s="1730">
        <v>0.15</v>
      </c>
      <c r="E311" s="1730">
        <v>0.15</v>
      </c>
      <c r="F311" s="1731">
        <v>0.15</v>
      </c>
    </row>
    <row r="312" spans="1:6" ht="15" thickBot="1">
      <c r="A312" s="1725" t="s">
        <v>1398</v>
      </c>
      <c r="B312" s="1729" t="s">
        <v>1270</v>
      </c>
      <c r="C312" s="1730">
        <v>0.15</v>
      </c>
      <c r="D312" s="1730">
        <v>0.15</v>
      </c>
      <c r="E312" s="1730">
        <v>0.15</v>
      </c>
      <c r="F312" s="1731">
        <v>0.1</v>
      </c>
    </row>
    <row r="313" spans="1:6" ht="15" thickBot="1">
      <c r="A313" s="1725" t="s">
        <v>1398</v>
      </c>
      <c r="B313" s="1729" t="s">
        <v>2004</v>
      </c>
      <c r="C313" s="1730">
        <v>0.15</v>
      </c>
      <c r="D313" s="1730">
        <v>0.15</v>
      </c>
      <c r="E313" s="1730">
        <v>0.15</v>
      </c>
      <c r="F313" s="1731">
        <v>0.15</v>
      </c>
    </row>
    <row r="314" spans="1:6" ht="24.6" thickBot="1">
      <c r="A314" s="1725" t="s">
        <v>1398</v>
      </c>
      <c r="B314" s="1729" t="s">
        <v>2005</v>
      </c>
      <c r="C314" s="1739"/>
      <c r="D314" s="1739"/>
      <c r="E314" s="1739"/>
      <c r="F314" s="1731">
        <v>0.05</v>
      </c>
    </row>
    <row r="315" spans="1:6" ht="24.6" thickBot="1">
      <c r="A315" s="1725" t="s">
        <v>1398</v>
      </c>
      <c r="B315" s="1729" t="s">
        <v>2006</v>
      </c>
      <c r="C315" s="1739"/>
      <c r="D315" s="1739"/>
      <c r="E315" s="1739"/>
      <c r="F315" s="1731">
        <v>0.05</v>
      </c>
    </row>
    <row r="316" spans="1:6" ht="24.6" thickBot="1">
      <c r="A316" s="1733" t="s">
        <v>1398</v>
      </c>
      <c r="B316" s="1740" t="s">
        <v>2007</v>
      </c>
      <c r="C316" s="1736"/>
      <c r="D316" s="1736"/>
      <c r="E316" s="1736"/>
      <c r="F316" s="1741">
        <v>0.05</v>
      </c>
    </row>
    <row r="317" spans="1:6" ht="15" thickBot="1">
      <c r="A317" s="1725" t="s">
        <v>2008</v>
      </c>
      <c r="B317" s="1726" t="s">
        <v>2009</v>
      </c>
      <c r="C317" s="1727">
        <v>0.15</v>
      </c>
      <c r="D317" s="1727">
        <v>0.15</v>
      </c>
      <c r="E317" s="1727">
        <v>0.15</v>
      </c>
      <c r="F317" s="1728">
        <v>0.15</v>
      </c>
    </row>
    <row r="318" spans="1:6" ht="15" thickBot="1">
      <c r="A318" s="1725" t="s">
        <v>2008</v>
      </c>
      <c r="B318" s="1729" t="s">
        <v>2010</v>
      </c>
      <c r="C318" s="1730">
        <v>0.107</v>
      </c>
      <c r="D318" s="1730">
        <v>0.11</v>
      </c>
      <c r="E318" s="1730">
        <v>0.112</v>
      </c>
      <c r="F318" s="1738"/>
    </row>
    <row r="319" spans="1:6" ht="15" thickBot="1">
      <c r="A319" s="1725" t="s">
        <v>2008</v>
      </c>
      <c r="B319" s="1729" t="s">
        <v>2011</v>
      </c>
      <c r="C319" s="1730">
        <v>0.15</v>
      </c>
      <c r="D319" s="1730">
        <v>0.15</v>
      </c>
      <c r="E319" s="1730">
        <v>0.15</v>
      </c>
      <c r="F319" s="1731">
        <v>0.15</v>
      </c>
    </row>
    <row r="320" spans="1:6" ht="15" thickBot="1">
      <c r="A320" s="1725" t="s">
        <v>2008</v>
      </c>
      <c r="B320" s="1729" t="s">
        <v>1086</v>
      </c>
      <c r="C320" s="1730">
        <v>0.15</v>
      </c>
      <c r="D320" s="1730">
        <v>0.15</v>
      </c>
      <c r="E320" s="1730">
        <v>0.15</v>
      </c>
      <c r="F320" s="1738"/>
    </row>
    <row r="321" spans="1:6" ht="15" thickBot="1">
      <c r="A321" s="1725" t="s">
        <v>2008</v>
      </c>
      <c r="B321" s="1729" t="s">
        <v>2012</v>
      </c>
      <c r="C321" s="1730">
        <v>0.15</v>
      </c>
      <c r="D321" s="1730">
        <v>0.15</v>
      </c>
      <c r="E321" s="1730">
        <v>0.15</v>
      </c>
      <c r="F321" s="1738"/>
    </row>
    <row r="322" spans="1:6" ht="15" thickBot="1">
      <c r="A322" s="1725" t="s">
        <v>2008</v>
      </c>
      <c r="B322" s="1729" t="s">
        <v>2013</v>
      </c>
      <c r="C322" s="1730">
        <v>0.15</v>
      </c>
      <c r="D322" s="1730">
        <v>0.15</v>
      </c>
      <c r="E322" s="1730">
        <v>0.15</v>
      </c>
      <c r="F322" s="1731">
        <v>0.15</v>
      </c>
    </row>
    <row r="323" spans="1:6" ht="15" thickBot="1">
      <c r="A323" s="1725" t="s">
        <v>2008</v>
      </c>
      <c r="B323" s="1729" t="s">
        <v>2014</v>
      </c>
      <c r="C323" s="1730">
        <v>0.15</v>
      </c>
      <c r="D323" s="1730">
        <v>0.15</v>
      </c>
      <c r="E323" s="1730">
        <v>0.15</v>
      </c>
      <c r="F323" s="1738"/>
    </row>
    <row r="324" spans="1:6" ht="15" thickBot="1">
      <c r="A324" s="1725" t="s">
        <v>2008</v>
      </c>
      <c r="B324" s="1729" t="s">
        <v>2015</v>
      </c>
      <c r="C324" s="1730">
        <v>0.15</v>
      </c>
      <c r="D324" s="1730">
        <v>0.15</v>
      </c>
      <c r="E324" s="1730">
        <v>0.15</v>
      </c>
      <c r="F324" s="1738"/>
    </row>
    <row r="325" spans="1:6" ht="15" thickBot="1">
      <c r="A325" s="1725" t="s">
        <v>2008</v>
      </c>
      <c r="B325" s="1729" t="s">
        <v>2016</v>
      </c>
      <c r="C325" s="1730">
        <v>0.15</v>
      </c>
      <c r="D325" s="1730">
        <v>0.15</v>
      </c>
      <c r="E325" s="1730">
        <v>0.15</v>
      </c>
      <c r="F325" s="1731">
        <v>0.14699999999999999</v>
      </c>
    </row>
    <row r="326" spans="1:6" ht="15" thickBot="1">
      <c r="A326" s="1725" t="s">
        <v>2008</v>
      </c>
      <c r="B326" s="1729" t="s">
        <v>1155</v>
      </c>
      <c r="C326" s="1730">
        <v>0.15</v>
      </c>
      <c r="D326" s="1730">
        <v>0.15</v>
      </c>
      <c r="E326" s="1730">
        <v>0.15</v>
      </c>
      <c r="F326" s="1738"/>
    </row>
    <row r="327" spans="1:6" ht="15" thickBot="1">
      <c r="A327" s="1725" t="s">
        <v>2008</v>
      </c>
      <c r="B327" s="1729" t="s">
        <v>2017</v>
      </c>
      <c r="C327" s="1730">
        <v>0.15</v>
      </c>
      <c r="D327" s="1730">
        <v>0.15</v>
      </c>
      <c r="E327" s="1730">
        <v>0.15</v>
      </c>
      <c r="F327" s="1731">
        <v>0.15</v>
      </c>
    </row>
    <row r="328" spans="1:6" ht="15" thickBot="1">
      <c r="A328" s="1725" t="s">
        <v>2008</v>
      </c>
      <c r="B328" s="1729" t="s">
        <v>1175</v>
      </c>
      <c r="C328" s="1730">
        <v>0.15</v>
      </c>
      <c r="D328" s="1730">
        <v>0.15</v>
      </c>
      <c r="E328" s="1730">
        <v>0.15</v>
      </c>
      <c r="F328" s="1731">
        <v>0.14099999999999999</v>
      </c>
    </row>
    <row r="329" spans="1:6" ht="15" thickBot="1">
      <c r="A329" s="1725" t="s">
        <v>2008</v>
      </c>
      <c r="B329" s="1729" t="s">
        <v>1185</v>
      </c>
      <c r="C329" s="1730">
        <v>0.15</v>
      </c>
      <c r="D329" s="1730">
        <v>0.15</v>
      </c>
      <c r="E329" s="1730">
        <v>0.15</v>
      </c>
      <c r="F329" s="1731">
        <v>0.15</v>
      </c>
    </row>
    <row r="330" spans="1:6" ht="15" thickBot="1">
      <c r="A330" s="1725" t="s">
        <v>2008</v>
      </c>
      <c r="B330" s="1729" t="s">
        <v>1195</v>
      </c>
      <c r="C330" s="1730">
        <v>0.15</v>
      </c>
      <c r="D330" s="1730">
        <v>0.15</v>
      </c>
      <c r="E330" s="1730">
        <v>0.15</v>
      </c>
      <c r="F330" s="1738"/>
    </row>
    <row r="331" spans="1:6" ht="15" thickBot="1">
      <c r="A331" s="1725" t="s">
        <v>2008</v>
      </c>
      <c r="B331" s="1729" t="s">
        <v>2018</v>
      </c>
      <c r="C331" s="1730">
        <v>0.15</v>
      </c>
      <c r="D331" s="1730">
        <v>0.15</v>
      </c>
      <c r="E331" s="1730">
        <v>0.15</v>
      </c>
      <c r="F331" s="1731">
        <v>0.15</v>
      </c>
    </row>
    <row r="332" spans="1:6" ht="15" thickBot="1">
      <c r="A332" s="1725" t="s">
        <v>2008</v>
      </c>
      <c r="B332" s="1729" t="s">
        <v>1215</v>
      </c>
      <c r="C332" s="1730">
        <v>0.15</v>
      </c>
      <c r="D332" s="1730">
        <v>0.15</v>
      </c>
      <c r="E332" s="1730">
        <v>0.15</v>
      </c>
      <c r="F332" s="1731">
        <v>0.15</v>
      </c>
    </row>
    <row r="333" spans="1:6" ht="15" thickBot="1">
      <c r="A333" s="1725" t="s">
        <v>2008</v>
      </c>
      <c r="B333" s="1729" t="s">
        <v>2019</v>
      </c>
      <c r="C333" s="1730">
        <v>0.15</v>
      </c>
      <c r="D333" s="1730">
        <v>0.15</v>
      </c>
      <c r="E333" s="1730">
        <v>0.15</v>
      </c>
      <c r="F333" s="1731">
        <v>0.14099999999999999</v>
      </c>
    </row>
    <row r="334" spans="1:6" ht="15" thickBot="1">
      <c r="A334" s="1725" t="s">
        <v>2008</v>
      </c>
      <c r="B334" s="1729" t="s">
        <v>1235</v>
      </c>
      <c r="C334" s="1730">
        <v>0.15</v>
      </c>
      <c r="D334" s="1730">
        <v>0.15</v>
      </c>
      <c r="E334" s="1730">
        <v>0.15</v>
      </c>
      <c r="F334" s="1731">
        <v>0.15</v>
      </c>
    </row>
    <row r="335" spans="1:6" ht="15" thickBot="1">
      <c r="A335" s="1725" t="s">
        <v>2008</v>
      </c>
      <c r="B335" s="1729" t="s">
        <v>1245</v>
      </c>
      <c r="C335" s="1730">
        <v>0.15</v>
      </c>
      <c r="D335" s="1730">
        <v>0.15</v>
      </c>
      <c r="E335" s="1730">
        <v>0.15</v>
      </c>
      <c r="F335" s="1738"/>
    </row>
    <row r="336" spans="1:6" ht="15" thickBot="1">
      <c r="A336" s="1725" t="s">
        <v>2008</v>
      </c>
      <c r="B336" s="1729" t="s">
        <v>2020</v>
      </c>
      <c r="C336" s="1730">
        <v>0.15</v>
      </c>
      <c r="D336" s="1730">
        <v>0.15</v>
      </c>
      <c r="E336" s="1730">
        <v>0.15</v>
      </c>
      <c r="F336" s="1731">
        <v>0.11799999999999999</v>
      </c>
    </row>
    <row r="337" spans="1:6" ht="15" thickBot="1">
      <c r="A337" s="1733" t="s">
        <v>2008</v>
      </c>
      <c r="B337" s="1740" t="s">
        <v>1263</v>
      </c>
      <c r="C337" s="1736"/>
      <c r="D337" s="1736"/>
      <c r="E337" s="1736"/>
      <c r="F337" s="1741">
        <v>0.14299999999999999</v>
      </c>
    </row>
    <row r="338" spans="1:6" ht="15" thickBot="1">
      <c r="A338" s="1725" t="s">
        <v>2021</v>
      </c>
      <c r="B338" s="1726" t="s">
        <v>2022</v>
      </c>
      <c r="C338" s="1727">
        <v>0.15</v>
      </c>
      <c r="D338" s="1727">
        <v>0.15</v>
      </c>
      <c r="E338" s="1727">
        <v>0.15</v>
      </c>
      <c r="F338" s="1749"/>
    </row>
    <row r="339" spans="1:6" ht="15" thickBot="1">
      <c r="A339" s="1725" t="s">
        <v>2021</v>
      </c>
      <c r="B339" s="1729" t="s">
        <v>2023</v>
      </c>
      <c r="C339" s="1730">
        <v>0.15</v>
      </c>
      <c r="D339" s="1730">
        <v>0.15</v>
      </c>
      <c r="E339" s="1730">
        <v>0.15</v>
      </c>
      <c r="F339" s="1738"/>
    </row>
    <row r="340" spans="1:6" ht="15" thickBot="1">
      <c r="A340" s="1725" t="s">
        <v>2021</v>
      </c>
      <c r="B340" s="1729" t="s">
        <v>2024</v>
      </c>
      <c r="C340" s="1730">
        <v>0.15</v>
      </c>
      <c r="D340" s="1730">
        <v>0.15</v>
      </c>
      <c r="E340" s="1730">
        <v>0.15</v>
      </c>
      <c r="F340" s="1738"/>
    </row>
    <row r="341" spans="1:6" ht="15" thickBot="1">
      <c r="A341" s="1725" t="s">
        <v>2025</v>
      </c>
      <c r="B341" s="1729" t="s">
        <v>2026</v>
      </c>
      <c r="C341" s="1730">
        <v>0.15</v>
      </c>
      <c r="D341" s="1730">
        <v>0.15</v>
      </c>
      <c r="E341" s="1730">
        <v>0.15</v>
      </c>
      <c r="F341" s="1731">
        <v>0.15</v>
      </c>
    </row>
    <row r="342" spans="1:6" ht="15" thickBot="1">
      <c r="A342" s="1725" t="s">
        <v>2021</v>
      </c>
      <c r="B342" s="1729" t="s">
        <v>2027</v>
      </c>
      <c r="C342" s="1730">
        <v>0.15</v>
      </c>
      <c r="D342" s="1730">
        <v>0.15</v>
      </c>
      <c r="E342" s="1730">
        <v>0.15</v>
      </c>
      <c r="F342" s="1731">
        <v>0.15</v>
      </c>
    </row>
    <row r="343" spans="1:6" ht="15" thickBot="1">
      <c r="A343" s="1725" t="s">
        <v>2021</v>
      </c>
      <c r="B343" s="1729" t="s">
        <v>2028</v>
      </c>
      <c r="C343" s="1730">
        <v>0.15</v>
      </c>
      <c r="D343" s="1730">
        <v>0.15</v>
      </c>
      <c r="E343" s="1730">
        <v>0.15</v>
      </c>
      <c r="F343" s="1731">
        <v>0.15</v>
      </c>
    </row>
    <row r="344" spans="1:6" ht="15" thickBot="1">
      <c r="A344" s="1733" t="s">
        <v>2021</v>
      </c>
      <c r="B344" s="1740" t="s">
        <v>2029</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805"/>
    <col min="2" max="6" width="9" style="2805" customWidth="1"/>
    <col min="7" max="7" width="9" style="2833" customWidth="1"/>
    <col min="8" max="12" width="9" style="2805" customWidth="1"/>
    <col min="13" max="13" width="2.21875" style="2805" customWidth="1"/>
    <col min="14" max="14" width="9" style="2833" customWidth="1"/>
    <col min="15" max="17" width="9" style="2805" customWidth="1"/>
    <col min="18" max="18" width="2.33203125" style="2805" customWidth="1"/>
    <col min="19" max="19" width="7.109375" style="2833" customWidth="1"/>
    <col min="20" max="22" width="7.109375" style="2805" customWidth="1"/>
    <col min="23" max="23" width="24" style="2805" customWidth="1"/>
    <col min="24" max="25" width="9" style="2805"/>
    <col min="26" max="27" width="11.6640625" style="2805" customWidth="1"/>
    <col min="28" max="28" width="9" style="2805"/>
    <col min="29" max="29" width="2" style="2805" customWidth="1"/>
    <col min="30" max="16384" width="9" style="2805"/>
  </cols>
  <sheetData>
    <row r="1" spans="1:34" s="2783" customFormat="1">
      <c r="B1" s="3721" t="s">
        <v>2293</v>
      </c>
      <c r="C1" s="3721"/>
      <c r="D1" s="3721"/>
      <c r="E1" s="3721"/>
      <c r="F1" s="3721"/>
      <c r="G1" s="3720" t="s">
        <v>2294</v>
      </c>
      <c r="H1" s="3720"/>
      <c r="I1" s="3720"/>
      <c r="J1" s="3720"/>
      <c r="K1" s="3720"/>
      <c r="L1" s="3720"/>
      <c r="N1" s="3720" t="s">
        <v>2295</v>
      </c>
      <c r="O1" s="3720"/>
      <c r="P1" s="3720"/>
      <c r="Q1" s="3720"/>
      <c r="S1" s="3720" t="s">
        <v>2296</v>
      </c>
      <c r="T1" s="3720"/>
      <c r="U1" s="3720"/>
      <c r="V1" s="3720"/>
      <c r="X1" s="3719" t="s">
        <v>2356</v>
      </c>
      <c r="Y1" s="3720"/>
      <c r="Z1" s="3720"/>
      <c r="AA1" s="3720"/>
      <c r="AB1" s="3720"/>
      <c r="AD1" s="3719" t="s">
        <v>2360</v>
      </c>
      <c r="AE1" s="3720"/>
      <c r="AF1" s="3720"/>
      <c r="AG1" s="3720"/>
      <c r="AH1" s="3720"/>
    </row>
    <row r="2" spans="1:34" s="2784" customFormat="1" ht="15" thickBot="1">
      <c r="B2" s="2785" t="s">
        <v>2297</v>
      </c>
      <c r="C2" s="2785" t="s">
        <v>2358</v>
      </c>
      <c r="D2" s="2786" t="s">
        <v>1444</v>
      </c>
      <c r="E2" s="2786" t="s">
        <v>1741</v>
      </c>
      <c r="F2" s="2785" t="s">
        <v>2359</v>
      </c>
      <c r="G2" s="2787"/>
      <c r="I2" s="2785" t="s">
        <v>2656</v>
      </c>
      <c r="J2" s="2786" t="s">
        <v>2658</v>
      </c>
      <c r="K2" s="2786" t="s">
        <v>2659</v>
      </c>
      <c r="L2" s="2785" t="s">
        <v>2660</v>
      </c>
      <c r="N2" s="2785" t="s">
        <v>2297</v>
      </c>
      <c r="O2" s="2786" t="s">
        <v>2657</v>
      </c>
      <c r="P2" s="2786" t="s">
        <v>1741</v>
      </c>
      <c r="Q2" s="2785" t="s">
        <v>2359</v>
      </c>
      <c r="S2" s="2785" t="s">
        <v>2297</v>
      </c>
      <c r="T2" s="2786" t="s">
        <v>2657</v>
      </c>
      <c r="U2" s="2786" t="s">
        <v>1741</v>
      </c>
      <c r="V2" s="2785" t="s">
        <v>2359</v>
      </c>
      <c r="X2" s="2785" t="s">
        <v>2297</v>
      </c>
      <c r="Y2" s="2785" t="s">
        <v>2358</v>
      </c>
      <c r="Z2" s="2786" t="s">
        <v>1444</v>
      </c>
      <c r="AA2" s="2786" t="s">
        <v>1741</v>
      </c>
      <c r="AB2" s="2785" t="s">
        <v>2359</v>
      </c>
      <c r="AD2" s="2785" t="s">
        <v>2297</v>
      </c>
      <c r="AE2" s="2785" t="s">
        <v>2358</v>
      </c>
      <c r="AF2" s="2786" t="s">
        <v>1444</v>
      </c>
      <c r="AG2" s="2786" t="s">
        <v>1741</v>
      </c>
      <c r="AH2" s="2785" t="s">
        <v>2359</v>
      </c>
    </row>
    <row r="3" spans="1:34" s="2794" customFormat="1" ht="14.4">
      <c r="A3" s="2788" t="s">
        <v>2667</v>
      </c>
      <c r="B3" s="2789"/>
      <c r="C3" s="2789"/>
      <c r="D3" s="2790"/>
      <c r="E3" s="2790"/>
      <c r="F3" s="2789"/>
      <c r="G3" s="2791"/>
      <c r="H3" s="2792"/>
      <c r="I3" s="2793">
        <f>ROUND(AVERAGE($I4:$I41),2)</f>
        <v>1.47</v>
      </c>
      <c r="J3" s="2793">
        <f>ROUND(AVERAGE($J4:$J41),2)</f>
        <v>0.92</v>
      </c>
      <c r="K3" s="2793">
        <f>ROUND(AVERAGE($K4:$K41),2)</f>
        <v>1.61</v>
      </c>
      <c r="L3" s="2793">
        <f>ROUND(AVERAGE($L4:$L41),2)</f>
        <v>1.07</v>
      </c>
      <c r="N3" s="2791"/>
      <c r="S3" s="2791"/>
      <c r="W3" s="2795"/>
      <c r="X3" s="2796">
        <f>ROUND(SUMPRODUCT(PRODUCT(1+N3:N$40)),4)</f>
        <v>1.6585000000000001</v>
      </c>
      <c r="Y3" s="2796">
        <f>ROUND(SUMPRODUCT(PRODUCT(1+O3:O$40)),4)</f>
        <v>1.3676999999999999</v>
      </c>
      <c r="Z3" s="2796">
        <f t="shared" ref="Z3:Z38" si="0">Y3</f>
        <v>1.3676999999999999</v>
      </c>
      <c r="AA3" s="2796">
        <f>ROUND(SUMPRODUCT(PRODUCT(1+P3:P$40)),4)</f>
        <v>1.7434000000000001</v>
      </c>
      <c r="AB3" s="2796">
        <f>ROUND(SUMPRODUCT(PRODUCT(1+Q3:Q$40)),4)</f>
        <v>1.4609000000000001</v>
      </c>
      <c r="AD3" s="2797">
        <f>ROUND(AVERAGE(I3:I$41)/100,4)</f>
        <v>1.47E-2</v>
      </c>
      <c r="AE3" s="2797">
        <f>ROUND(AVERAGE(J3:J$41)/100,4)</f>
        <v>9.1999999999999998E-3</v>
      </c>
      <c r="AF3" s="2797">
        <f t="shared" ref="AF3:AF39" si="1">AE3</f>
        <v>9.1999999999999998E-3</v>
      </c>
      <c r="AG3" s="2797">
        <f>ROUND(AVERAGE(K3:K$41)/100,4)</f>
        <v>1.61E-2</v>
      </c>
      <c r="AH3" s="2797">
        <f>ROUND(AVERAGE(L3:L$41)/100,4)</f>
        <v>1.0699999999999999E-2</v>
      </c>
    </row>
    <row r="4" spans="1:34" s="2798" customFormat="1" ht="14.4">
      <c r="B4" s="2799"/>
      <c r="C4" s="2799"/>
      <c r="D4" s="2800"/>
      <c r="E4" s="2800"/>
      <c r="F4" s="2799"/>
      <c r="G4" s="2801"/>
      <c r="H4" s="2802"/>
      <c r="I4" s="2803"/>
      <c r="J4" s="2803"/>
      <c r="K4" s="2803"/>
      <c r="L4" s="2803"/>
      <c r="N4" s="2801"/>
      <c r="S4" s="2801"/>
      <c r="W4" s="2804"/>
      <c r="X4" s="2805"/>
      <c r="Y4" s="2805"/>
      <c r="Z4" s="2805"/>
      <c r="AA4" s="2805"/>
      <c r="AB4" s="2805"/>
      <c r="AD4" s="2806"/>
      <c r="AE4" s="2806"/>
      <c r="AF4" s="2806"/>
      <c r="AG4" s="2806"/>
      <c r="AH4" s="2806"/>
    </row>
    <row r="5" spans="1:34" s="2814" customFormat="1">
      <c r="A5" s="2807" t="s">
        <v>2892</v>
      </c>
      <c r="B5" s="2808">
        <f t="shared" ref="B5" si="2">B6*(1+N5)</f>
        <v>510.07089659554606</v>
      </c>
      <c r="C5" s="2808">
        <f t="shared" ref="C5" si="3">C6*(1+O5)</f>
        <v>352.55593185737411</v>
      </c>
      <c r="D5" s="2808">
        <f t="shared" ref="D5" si="4">C5</f>
        <v>352.55593185737411</v>
      </c>
      <c r="E5" s="2808">
        <f t="shared" ref="E5" si="5">E6*(1+P5)</f>
        <v>737.27992463403655</v>
      </c>
      <c r="F5" s="2808">
        <f t="shared" ref="F5" si="6">F6*(1+Q5)</f>
        <v>335.88319198297864</v>
      </c>
      <c r="G5" s="2801">
        <v>2023</v>
      </c>
      <c r="H5" s="2809">
        <v>1</v>
      </c>
      <c r="I5" s="2781">
        <v>0</v>
      </c>
      <c r="J5" s="2781">
        <v>0</v>
      </c>
      <c r="K5" s="2781">
        <v>0</v>
      </c>
      <c r="L5" s="2782">
        <v>0</v>
      </c>
      <c r="M5" s="2805"/>
      <c r="N5" s="2810">
        <f t="shared" ref="N5" si="7">I5/100</f>
        <v>0</v>
      </c>
      <c r="O5" s="2806">
        <f t="shared" ref="O5" si="8">J5/100</f>
        <v>0</v>
      </c>
      <c r="P5" s="2806">
        <f t="shared" ref="P5" si="9">K5/100</f>
        <v>0</v>
      </c>
      <c r="Q5" s="2806">
        <f t="shared" ref="Q5" si="10">L5/100</f>
        <v>0</v>
      </c>
      <c r="R5" s="2811"/>
      <c r="S5" s="2812">
        <f>B5/B6-1</f>
        <v>0</v>
      </c>
      <c r="T5" s="2813">
        <f>C5/C6-1</f>
        <v>0</v>
      </c>
      <c r="U5" s="2813">
        <f>E5/E6-1</f>
        <v>0</v>
      </c>
      <c r="V5" s="2813">
        <f>F5/F6-1</f>
        <v>0</v>
      </c>
      <c r="W5" s="2805"/>
      <c r="X5" s="2805">
        <f>ROUND(IF(项目基本情况!B8="出让",SUMPRODUCT(PRODUCT(1+N5:N$41)),SUMPRODUCT(PRODUCT(1+N5:N$40))),4)</f>
        <v>1.6585000000000001</v>
      </c>
      <c r="Y5" s="2805">
        <f>ROUND(IF(项目基本情况!B8="出让",SUMPRODUCT(PRODUCT(1+O5:O$41)),SUMPRODUCT(PRODUCT(1+O5:O$40))),4)</f>
        <v>1.3676999999999999</v>
      </c>
      <c r="Z5" s="2805">
        <f t="shared" ref="Z5" si="11">Y5</f>
        <v>1.3676999999999999</v>
      </c>
      <c r="AA5" s="2805">
        <f>ROUND(IF(项目基本情况!B8="出让",SUMPRODUCT(PRODUCT(1+P5:P$41)),SUMPRODUCT(PRODUCT(1+P5:P$40))),4)</f>
        <v>1.7434000000000001</v>
      </c>
      <c r="AB5" s="2805">
        <f>ROUND(IF(项目基本情况!B8="出让",SUMPRODUCT(PRODUCT(1+Q5:Q$41)),SUMPRODUCT(PRODUCT(1+Q5:Q$40))),4)</f>
        <v>1.4609000000000001</v>
      </c>
      <c r="AC5" s="2805"/>
      <c r="AD5" s="2806">
        <f>ROUND(AVERAGE(I5:I$41)/100,4)</f>
        <v>1.47E-2</v>
      </c>
      <c r="AE5" s="2806">
        <f>ROUND(AVERAGE(J5:J$41)/100,4)</f>
        <v>9.1999999999999998E-3</v>
      </c>
      <c r="AF5" s="2806">
        <f t="shared" ref="AF5" si="12">AE5</f>
        <v>9.1999999999999998E-3</v>
      </c>
      <c r="AG5" s="2806">
        <f>ROUND(AVERAGE(K5:K$41)/100,4)</f>
        <v>1.61E-2</v>
      </c>
      <c r="AH5" s="2806">
        <f>ROUND(AVERAGE(L5:L$41)/100,4)</f>
        <v>1.0699999999999999E-2</v>
      </c>
    </row>
    <row r="6" spans="1:34" s="2814" customFormat="1">
      <c r="A6" s="2807" t="s">
        <v>2891</v>
      </c>
      <c r="B6" s="2808">
        <f t="shared" ref="B6" si="13">B7*(1+N6)</f>
        <v>510.07089659554606</v>
      </c>
      <c r="C6" s="2808">
        <f t="shared" ref="C6" si="14">C7*(1+O6)</f>
        <v>352.55593185737411</v>
      </c>
      <c r="D6" s="2808">
        <f t="shared" ref="D6" si="15">C6</f>
        <v>352.55593185737411</v>
      </c>
      <c r="E6" s="2808">
        <f t="shared" ref="E6" si="16">E7*(1+P6)</f>
        <v>737.27992463403655</v>
      </c>
      <c r="F6" s="2808">
        <f t="shared" ref="F6" si="17">F7*(1+Q6)</f>
        <v>335.88319198297864</v>
      </c>
      <c r="G6" s="2801">
        <v>2022</v>
      </c>
      <c r="H6" s="2809">
        <v>4</v>
      </c>
      <c r="I6" s="2781">
        <v>0</v>
      </c>
      <c r="J6" s="2781">
        <v>0</v>
      </c>
      <c r="K6" s="2781">
        <v>0</v>
      </c>
      <c r="L6" s="2782">
        <v>0</v>
      </c>
      <c r="M6" s="2805"/>
      <c r="N6" s="2810">
        <f t="shared" ref="N6" si="18">I6/100</f>
        <v>0</v>
      </c>
      <c r="O6" s="2806">
        <f t="shared" ref="O6" si="19">J6/100</f>
        <v>0</v>
      </c>
      <c r="P6" s="2806">
        <f t="shared" ref="P6" si="20">K6/100</f>
        <v>0</v>
      </c>
      <c r="Q6" s="2806">
        <f t="shared" ref="Q6" si="21">L6/100</f>
        <v>0</v>
      </c>
      <c r="R6" s="2811"/>
      <c r="S6" s="2812"/>
      <c r="T6" s="2813"/>
      <c r="U6" s="2813"/>
      <c r="V6" s="2813"/>
      <c r="W6" s="2805"/>
      <c r="X6" s="2805">
        <f>ROUND(IF(项目基本情况!B8="出让",SUMPRODUCT(PRODUCT(1+N6:N$41)),SUMPRODUCT(PRODUCT(1+N6:N$40))),4)</f>
        <v>1.6585000000000001</v>
      </c>
      <c r="Y6" s="2805">
        <f>ROUND(IF(项目基本情况!B8="出让",SUMPRODUCT(PRODUCT(1+O6:O$41)),SUMPRODUCT(PRODUCT(1+O6:O$40))),4)</f>
        <v>1.3676999999999999</v>
      </c>
      <c r="Z6" s="2805">
        <f t="shared" ref="Z6" si="22">Y6</f>
        <v>1.3676999999999999</v>
      </c>
      <c r="AA6" s="2805">
        <f>ROUND(IF(项目基本情况!B8="出让",SUMPRODUCT(PRODUCT(1+P6:P$41)),SUMPRODUCT(PRODUCT(1+P6:P$40))),4)</f>
        <v>1.7434000000000001</v>
      </c>
      <c r="AB6" s="2805">
        <f>ROUND(IF(项目基本情况!B8="出让",SUMPRODUCT(PRODUCT(1+Q6:Q$41)),SUMPRODUCT(PRODUCT(1+Q6:Q$40))),4)</f>
        <v>1.4609000000000001</v>
      </c>
      <c r="AC6" s="2805"/>
      <c r="AD6" s="2806">
        <f>ROUND(AVERAGE(I6:I$41)/100,4)</f>
        <v>1.5100000000000001E-2</v>
      </c>
      <c r="AE6" s="2806">
        <f>ROUND(AVERAGE(J6:J$41)/100,4)</f>
        <v>9.4000000000000004E-3</v>
      </c>
      <c r="AF6" s="2806">
        <f t="shared" ref="AF6" si="23">AE6</f>
        <v>9.4000000000000004E-3</v>
      </c>
      <c r="AG6" s="2806">
        <f>ROUND(AVERAGE(K6:K$41)/100,4)</f>
        <v>1.66E-2</v>
      </c>
      <c r="AH6" s="2806">
        <f>ROUND(AVERAGE(L6:L$41)/100,4)</f>
        <v>1.0999999999999999E-2</v>
      </c>
    </row>
    <row r="7" spans="1:34" s="2814" customFormat="1">
      <c r="A7" s="2807" t="s">
        <v>2890</v>
      </c>
      <c r="B7" s="2808">
        <f t="shared" ref="B7" si="24">B8*(1+N7)</f>
        <v>510.07089659554606</v>
      </c>
      <c r="C7" s="2808">
        <f t="shared" ref="C7" si="25">C8*(1+O7)</f>
        <v>352.55593185737411</v>
      </c>
      <c r="D7" s="2808">
        <f t="shared" ref="D7" si="26">C7</f>
        <v>352.55593185737411</v>
      </c>
      <c r="E7" s="2808">
        <f t="shared" ref="E7" si="27">E8*(1+P7)</f>
        <v>737.27992463403655</v>
      </c>
      <c r="F7" s="2808">
        <f t="shared" ref="F7" si="28">F8*(1+Q7)</f>
        <v>335.88319198297864</v>
      </c>
      <c r="G7" s="2801">
        <v>2022</v>
      </c>
      <c r="H7" s="2809">
        <v>3</v>
      </c>
      <c r="I7" s="2781">
        <v>0</v>
      </c>
      <c r="J7" s="2781">
        <v>0</v>
      </c>
      <c r="K7" s="2781">
        <v>0</v>
      </c>
      <c r="L7" s="2782">
        <v>0</v>
      </c>
      <c r="M7" s="2805"/>
      <c r="N7" s="2810">
        <f t="shared" ref="N7" si="29">I7/100</f>
        <v>0</v>
      </c>
      <c r="O7" s="2806">
        <f t="shared" ref="O7" si="30">J7/100</f>
        <v>0</v>
      </c>
      <c r="P7" s="2806">
        <f t="shared" ref="P7" si="31">K7/100</f>
        <v>0</v>
      </c>
      <c r="Q7" s="2806">
        <f t="shared" ref="Q7" si="32">L7/100</f>
        <v>0</v>
      </c>
      <c r="R7" s="2811"/>
      <c r="S7" s="2812"/>
      <c r="T7" s="2813"/>
      <c r="U7" s="2813"/>
      <c r="V7" s="2813"/>
      <c r="W7" s="2805"/>
      <c r="X7" s="2805">
        <f>ROUND(IF(项目基本情况!B8="出让",SUMPRODUCT(PRODUCT(1+N7:N$41)),SUMPRODUCT(PRODUCT(1+N7:N$40))),4)</f>
        <v>1.6585000000000001</v>
      </c>
      <c r="Y7" s="2805">
        <f>ROUND(IF(项目基本情况!B8="出让",SUMPRODUCT(PRODUCT(1+O7:O$41)),SUMPRODUCT(PRODUCT(1+O7:O$40))),4)</f>
        <v>1.3676999999999999</v>
      </c>
      <c r="Z7" s="2805">
        <f t="shared" ref="Z7" si="33">Y7</f>
        <v>1.3676999999999999</v>
      </c>
      <c r="AA7" s="2805">
        <f>ROUND(IF(项目基本情况!B8="出让",SUMPRODUCT(PRODUCT(1+P7:P$41)),SUMPRODUCT(PRODUCT(1+P7:P$40))),4)</f>
        <v>1.7434000000000001</v>
      </c>
      <c r="AB7" s="2805">
        <f>ROUND(IF(项目基本情况!B8="出让",SUMPRODUCT(PRODUCT(1+Q7:Q$41)),SUMPRODUCT(PRODUCT(1+Q7:Q$40))),4)</f>
        <v>1.4609000000000001</v>
      </c>
      <c r="AC7" s="2805"/>
      <c r="AD7" s="2806">
        <f>ROUND(AVERAGE(I7:I$41)/100,4)</f>
        <v>1.55E-2</v>
      </c>
      <c r="AE7" s="2806">
        <f>ROUND(AVERAGE(J7:J$41)/100,4)</f>
        <v>9.7000000000000003E-3</v>
      </c>
      <c r="AF7" s="2806">
        <f t="shared" ref="AF7" si="34">AE7</f>
        <v>9.7000000000000003E-3</v>
      </c>
      <c r="AG7" s="2806">
        <f>ROUND(AVERAGE(K7:K$41)/100,4)</f>
        <v>1.7100000000000001E-2</v>
      </c>
      <c r="AH7" s="2806">
        <f>ROUND(AVERAGE(L7:L$41)/100,4)</f>
        <v>1.1299999999999999E-2</v>
      </c>
    </row>
    <row r="8" spans="1:34" s="2814" customFormat="1">
      <c r="A8" s="2807" t="s">
        <v>2889</v>
      </c>
      <c r="B8" s="2808">
        <f t="shared" ref="B8" si="35">B9*(1+N8)</f>
        <v>510.07089659554606</v>
      </c>
      <c r="C8" s="2808">
        <f t="shared" ref="C8" si="36">C9*(1+O8)</f>
        <v>352.55593185737411</v>
      </c>
      <c r="D8" s="2808">
        <f t="shared" ref="D8" si="37">C8</f>
        <v>352.55593185737411</v>
      </c>
      <c r="E8" s="2808">
        <f t="shared" ref="E8" si="38">E9*(1+P8)</f>
        <v>737.27992463403655</v>
      </c>
      <c r="F8" s="2808">
        <f t="shared" ref="F8" si="39">F9*(1+Q8)</f>
        <v>335.88319198297864</v>
      </c>
      <c r="G8" s="2801">
        <v>2022</v>
      </c>
      <c r="H8" s="2809">
        <v>2</v>
      </c>
      <c r="I8" s="2781">
        <v>0</v>
      </c>
      <c r="J8" s="2781">
        <v>0</v>
      </c>
      <c r="K8" s="2781">
        <v>0</v>
      </c>
      <c r="L8" s="2782">
        <v>0</v>
      </c>
      <c r="M8" s="2805"/>
      <c r="N8" s="2810">
        <f t="shared" ref="N8" si="40">I8/100</f>
        <v>0</v>
      </c>
      <c r="O8" s="2806">
        <f t="shared" ref="O8" si="41">J8/100</f>
        <v>0</v>
      </c>
      <c r="P8" s="2806">
        <f t="shared" ref="P8" si="42">K8/100</f>
        <v>0</v>
      </c>
      <c r="Q8" s="2806">
        <f t="shared" ref="Q8" si="43">L8/100</f>
        <v>0</v>
      </c>
      <c r="R8" s="2811"/>
      <c r="S8" s="2812"/>
      <c r="T8" s="2813"/>
      <c r="U8" s="2813"/>
      <c r="V8" s="2813"/>
      <c r="W8" s="2805"/>
      <c r="X8" s="2805">
        <f>ROUND(IF(项目基本情况!B8="出让",SUMPRODUCT(PRODUCT(1+N8:N$41)),SUMPRODUCT(PRODUCT(1+N8:N$40))),4)</f>
        <v>1.6585000000000001</v>
      </c>
      <c r="Y8" s="2805">
        <f>ROUND(IF(项目基本情况!B8="出让",SUMPRODUCT(PRODUCT(1+O8:O$41)),SUMPRODUCT(PRODUCT(1+O8:O$40))),4)</f>
        <v>1.3676999999999999</v>
      </c>
      <c r="Z8" s="2805">
        <f t="shared" ref="Z8" si="44">Y8</f>
        <v>1.3676999999999999</v>
      </c>
      <c r="AA8" s="2805">
        <f>ROUND(IF(项目基本情况!B8="出让",SUMPRODUCT(PRODUCT(1+P8:P$41)),SUMPRODUCT(PRODUCT(1+P8:P$40))),4)</f>
        <v>1.7434000000000001</v>
      </c>
      <c r="AB8" s="2805">
        <f>ROUND(IF(项目基本情况!B8="出让",SUMPRODUCT(PRODUCT(1+Q8:Q$41)),SUMPRODUCT(PRODUCT(1+Q8:Q$40))),4)</f>
        <v>1.4609000000000001</v>
      </c>
      <c r="AC8" s="2805"/>
      <c r="AD8" s="2806">
        <f>ROUND(AVERAGE(I8:I$41)/100,4)</f>
        <v>1.6E-2</v>
      </c>
      <c r="AE8" s="2806">
        <f>ROUND(AVERAGE(J8:J$41)/100,4)</f>
        <v>0.01</v>
      </c>
      <c r="AF8" s="2806">
        <f t="shared" ref="AF8" si="45">AE8</f>
        <v>0.01</v>
      </c>
      <c r="AG8" s="2806">
        <f>ROUND(AVERAGE(K8:K$41)/100,4)</f>
        <v>1.7600000000000001E-2</v>
      </c>
      <c r="AH8" s="2806">
        <f>ROUND(AVERAGE(L8:L$41)/100,4)</f>
        <v>1.1599999999999999E-2</v>
      </c>
    </row>
    <row r="9" spans="1:34" s="2814" customFormat="1">
      <c r="A9" s="2807" t="s">
        <v>2888</v>
      </c>
      <c r="B9" s="2808">
        <f t="shared" ref="B9" si="46">B10*(1+N9)</f>
        <v>510.07089659554606</v>
      </c>
      <c r="C9" s="2808">
        <f t="shared" ref="C9" si="47">C10*(1+O9)</f>
        <v>352.55593185737411</v>
      </c>
      <c r="D9" s="2808">
        <f t="shared" ref="D9" si="48">C9</f>
        <v>352.55593185737411</v>
      </c>
      <c r="E9" s="2808">
        <f t="shared" ref="E9" si="49">E10*(1+P9)</f>
        <v>737.27992463403655</v>
      </c>
      <c r="F9" s="2808">
        <f t="shared" ref="F9" si="50">F10*(1+Q9)</f>
        <v>335.88319198297864</v>
      </c>
      <c r="G9" s="2801">
        <v>2022</v>
      </c>
      <c r="H9" s="2809">
        <v>1</v>
      </c>
      <c r="I9" s="2781">
        <v>0</v>
      </c>
      <c r="J9" s="2781">
        <v>0</v>
      </c>
      <c r="K9" s="2781">
        <v>0</v>
      </c>
      <c r="L9" s="2782">
        <v>0</v>
      </c>
      <c r="M9" s="2805"/>
      <c r="N9" s="2810">
        <f t="shared" ref="N9" si="51">I9/100</f>
        <v>0</v>
      </c>
      <c r="O9" s="2806">
        <f t="shared" ref="O9" si="52">J9/100</f>
        <v>0</v>
      </c>
      <c r="P9" s="2806">
        <f t="shared" ref="P9" si="53">K9/100</f>
        <v>0</v>
      </c>
      <c r="Q9" s="2806">
        <f t="shared" ref="Q9" si="54">L9/100</f>
        <v>0</v>
      </c>
      <c r="R9" s="2811"/>
      <c r="S9" s="2812">
        <f>B9/B10-1</f>
        <v>0</v>
      </c>
      <c r="T9" s="2813">
        <f>C9/C10-1</f>
        <v>0</v>
      </c>
      <c r="U9" s="2813">
        <f>E9/E10-1</f>
        <v>0</v>
      </c>
      <c r="V9" s="2813">
        <f>F9/F10-1</f>
        <v>0</v>
      </c>
      <c r="W9" s="2805"/>
      <c r="X9" s="2805">
        <f>ROUND(IF(项目基本情况!B1="出让",SUMPRODUCT(PRODUCT(1+N9:N$41)),SUMPRODUCT(PRODUCT(1+N9:N$40))),4)</f>
        <v>1.6585000000000001</v>
      </c>
      <c r="Y9" s="2805">
        <f>ROUND(IF(项目基本情况!B1="出让",SUMPRODUCT(PRODUCT(1+O9:O$41)),SUMPRODUCT(PRODUCT(1+O9:O$40))),4)</f>
        <v>1.3676999999999999</v>
      </c>
      <c r="Z9" s="2805">
        <f t="shared" ref="Z9" si="55">Y9</f>
        <v>1.3676999999999999</v>
      </c>
      <c r="AA9" s="2805">
        <f>ROUND(IF(项目基本情况!B1="出让",SUMPRODUCT(PRODUCT(1+P9:P$41)),SUMPRODUCT(PRODUCT(1+P9:P$40))),4)</f>
        <v>1.7434000000000001</v>
      </c>
      <c r="AB9" s="2805">
        <f>ROUND(IF(项目基本情况!B1="出让",SUMPRODUCT(PRODUCT(1+Q9:Q$41)),SUMPRODUCT(PRODUCT(1+Q9:Q$40))),4)</f>
        <v>1.4609000000000001</v>
      </c>
      <c r="AC9" s="2805"/>
      <c r="AD9" s="2806">
        <f>ROUND(AVERAGE(I9:I$41)/100,4)</f>
        <v>1.6400000000000001E-2</v>
      </c>
      <c r="AE9" s="2806">
        <f>ROUND(AVERAGE(J9:J$41)/100,4)</f>
        <v>1.03E-2</v>
      </c>
      <c r="AF9" s="2806">
        <f t="shared" ref="AF9" si="56">AE9</f>
        <v>1.03E-2</v>
      </c>
      <c r="AG9" s="2806">
        <f>ROUND(AVERAGE(K9:K$41)/100,4)</f>
        <v>1.8100000000000002E-2</v>
      </c>
      <c r="AH9" s="2806">
        <f>ROUND(AVERAGE(L9:L$41)/100,4)</f>
        <v>1.2E-2</v>
      </c>
    </row>
    <row r="10" spans="1:34" s="2814" customFormat="1">
      <c r="A10" s="2807" t="s">
        <v>2737</v>
      </c>
      <c r="B10" s="2808">
        <f t="shared" ref="B10" si="57">B11*(1+N10)</f>
        <v>510.07089659554606</v>
      </c>
      <c r="C10" s="2808">
        <f t="shared" ref="C10" si="58">C11*(1+O10)</f>
        <v>352.55593185737411</v>
      </c>
      <c r="D10" s="2808">
        <f t="shared" ref="D10" si="59">C10</f>
        <v>352.55593185737411</v>
      </c>
      <c r="E10" s="2808">
        <f t="shared" ref="E10" si="60">E11*(1+P10)</f>
        <v>737.27992463403655</v>
      </c>
      <c r="F10" s="2808">
        <f t="shared" ref="F10" si="61">F11*(1+Q10)</f>
        <v>335.88319198297864</v>
      </c>
      <c r="G10" s="2801">
        <v>2021</v>
      </c>
      <c r="H10" s="2809">
        <v>4</v>
      </c>
      <c r="I10" s="2781">
        <v>1.03</v>
      </c>
      <c r="J10" s="2781">
        <v>0.24</v>
      </c>
      <c r="K10" s="2781">
        <v>1.17</v>
      </c>
      <c r="L10" s="2782">
        <v>0.55000000000000004</v>
      </c>
      <c r="M10" s="2805"/>
      <c r="N10" s="2810">
        <f t="shared" ref="N10" si="62">I10/100</f>
        <v>1.03E-2</v>
      </c>
      <c r="O10" s="2806">
        <f t="shared" ref="O10" si="63">J10/100</f>
        <v>2.3999999999999998E-3</v>
      </c>
      <c r="P10" s="2806">
        <f t="shared" ref="P10" si="64">K10/100</f>
        <v>1.1699999999999999E-2</v>
      </c>
      <c r="Q10" s="2806">
        <f t="shared" ref="Q10" si="65">L10/100</f>
        <v>5.5000000000000005E-3</v>
      </c>
      <c r="R10" s="2811"/>
      <c r="S10" s="2812"/>
      <c r="T10" s="2813"/>
      <c r="U10" s="2813"/>
      <c r="V10" s="2813"/>
      <c r="W10" s="2805"/>
      <c r="X10" s="2805">
        <f>ROUND(IF(项目基本情况!B2="出让",SUMPRODUCT(PRODUCT(1+N10:N$41)),SUMPRODUCT(PRODUCT(1+N10:N$40))),4)</f>
        <v>1.6585000000000001</v>
      </c>
      <c r="Y10" s="2805">
        <f>ROUND(IF(项目基本情况!B2="出让",SUMPRODUCT(PRODUCT(1+O10:O$41)),SUMPRODUCT(PRODUCT(1+O10:O$40))),4)</f>
        <v>1.3676999999999999</v>
      </c>
      <c r="Z10" s="2805">
        <f t="shared" ref="Z10" si="66">Y10</f>
        <v>1.3676999999999999</v>
      </c>
      <c r="AA10" s="2805">
        <f>ROUND(IF(项目基本情况!B2="出让",SUMPRODUCT(PRODUCT(1+P10:P$41)),SUMPRODUCT(PRODUCT(1+P10:P$40))),4)</f>
        <v>1.7434000000000001</v>
      </c>
      <c r="AB10" s="2805">
        <f>ROUND(IF(项目基本情况!B2="出让",SUMPRODUCT(PRODUCT(1+Q10:Q$41)),SUMPRODUCT(PRODUCT(1+Q10:Q$40))),4)</f>
        <v>1.4609000000000001</v>
      </c>
      <c r="AC10" s="2805"/>
      <c r="AD10" s="2806">
        <f>ROUND(AVERAGE(I10:I$41)/100,4)</f>
        <v>1.6899999999999998E-2</v>
      </c>
      <c r="AE10" s="2806">
        <f>ROUND(AVERAGE(J10:J$41)/100,4)</f>
        <v>1.06E-2</v>
      </c>
      <c r="AF10" s="2806">
        <f t="shared" ref="AF10" si="67">AE10</f>
        <v>1.06E-2</v>
      </c>
      <c r="AG10" s="2806">
        <f>ROUND(AVERAGE(K10:K$41)/100,4)</f>
        <v>1.8700000000000001E-2</v>
      </c>
      <c r="AH10" s="2806">
        <f>ROUND(AVERAGE(L10:L$41)/100,4)</f>
        <v>1.24E-2</v>
      </c>
    </row>
    <row r="11" spans="1:34" s="2814" customFormat="1">
      <c r="A11" s="2807" t="s">
        <v>2736</v>
      </c>
      <c r="B11" s="2808">
        <f t="shared" ref="B11" si="68">B12*(1+N11)</f>
        <v>504.87072809615569</v>
      </c>
      <c r="C11" s="2808">
        <f t="shared" ref="C11" si="69">C12*(1+O11)</f>
        <v>351.71182348101968</v>
      </c>
      <c r="D11" s="2808">
        <f t="shared" ref="D11" si="70">C11</f>
        <v>351.71182348101968</v>
      </c>
      <c r="E11" s="2808">
        <f t="shared" ref="E11" si="71">E12*(1+P11)</f>
        <v>728.75350858360832</v>
      </c>
      <c r="F11" s="2808">
        <f t="shared" ref="F11" si="72">F12*(1+Q11)</f>
        <v>334.04593931673656</v>
      </c>
      <c r="G11" s="2801">
        <v>2021</v>
      </c>
      <c r="H11" s="2809">
        <v>3</v>
      </c>
      <c r="I11" s="2781">
        <v>0.47</v>
      </c>
      <c r="J11" s="2781">
        <v>0.41</v>
      </c>
      <c r="K11" s="2781">
        <v>0.48</v>
      </c>
      <c r="L11" s="2782">
        <v>0.48</v>
      </c>
      <c r="M11" s="2805"/>
      <c r="N11" s="2810">
        <f t="shared" ref="N11" si="73">I11/100</f>
        <v>4.6999999999999993E-3</v>
      </c>
      <c r="O11" s="2806">
        <f t="shared" ref="O11" si="74">J11/100</f>
        <v>4.0999999999999995E-3</v>
      </c>
      <c r="P11" s="2806">
        <f t="shared" ref="P11" si="75">K11/100</f>
        <v>4.7999999999999996E-3</v>
      </c>
      <c r="Q11" s="2806">
        <f t="shared" ref="Q11" si="76">L11/100</f>
        <v>4.7999999999999996E-3</v>
      </c>
      <c r="R11" s="2811"/>
      <c r="S11" s="2812"/>
      <c r="T11" s="2813"/>
      <c r="U11" s="2813"/>
      <c r="V11" s="2813"/>
      <c r="W11" s="2805"/>
      <c r="X11" s="2805">
        <f>ROUND(IF(项目基本情况!B3="出让",SUMPRODUCT(PRODUCT(1+N11:N$41)),SUMPRODUCT(PRODUCT(1+N11:N$40))),4)</f>
        <v>1.6415999999999999</v>
      </c>
      <c r="Y11" s="2805">
        <f>ROUND(IF(项目基本情况!B3="出让",SUMPRODUCT(PRODUCT(1+O11:O$41)),SUMPRODUCT(PRODUCT(1+O11:O$40))),4)</f>
        <v>1.3644000000000001</v>
      </c>
      <c r="Z11" s="2805">
        <f t="shared" ref="Z11" si="77">Y11</f>
        <v>1.3644000000000001</v>
      </c>
      <c r="AA11" s="2805">
        <f>ROUND(IF(项目基本情况!B3="出让",SUMPRODUCT(PRODUCT(1+P11:P$41)),SUMPRODUCT(PRODUCT(1+P11:P$40))),4)</f>
        <v>1.7232000000000001</v>
      </c>
      <c r="AB11" s="2805">
        <f>ROUND(IF(项目基本情况!B3="出让",SUMPRODUCT(PRODUCT(1+Q11:Q$41)),SUMPRODUCT(PRODUCT(1+Q11:Q$40))),4)</f>
        <v>1.4529000000000001</v>
      </c>
      <c r="AC11" s="2805"/>
      <c r="AD11" s="2806">
        <f>ROUND(AVERAGE(I11:I$41)/100,4)</f>
        <v>1.72E-2</v>
      </c>
      <c r="AE11" s="2806">
        <f>ROUND(AVERAGE(J11:J$41)/100,4)</f>
        <v>1.09E-2</v>
      </c>
      <c r="AF11" s="2806">
        <f t="shared" ref="AF11" si="78">AE11</f>
        <v>1.09E-2</v>
      </c>
      <c r="AG11" s="2806">
        <f>ROUND(AVERAGE(K11:K$41)/100,4)</f>
        <v>1.89E-2</v>
      </c>
      <c r="AH11" s="2806">
        <f>ROUND(AVERAGE(L11:L$41)/100,4)</f>
        <v>1.26E-2</v>
      </c>
    </row>
    <row r="12" spans="1:34" s="2814" customFormat="1">
      <c r="A12" s="2807" t="s">
        <v>2735</v>
      </c>
      <c r="B12" s="2808">
        <f t="shared" ref="B12" si="79">B13*(1+N12)</f>
        <v>502.50893609650217</v>
      </c>
      <c r="C12" s="2808">
        <f t="shared" ref="C12" si="80">C13*(1+O12)</f>
        <v>350.27569313914915</v>
      </c>
      <c r="D12" s="2808">
        <f t="shared" ref="D12" si="81">C12</f>
        <v>350.27569313914915</v>
      </c>
      <c r="E12" s="2808">
        <f t="shared" ref="E12" si="82">E13*(1+P12)</f>
        <v>725.27220201394141</v>
      </c>
      <c r="F12" s="2808">
        <f t="shared" ref="F12" si="83">F13*(1+Q12)</f>
        <v>332.45017846012797</v>
      </c>
      <c r="G12" s="2801">
        <v>2021</v>
      </c>
      <c r="H12" s="2809">
        <v>2</v>
      </c>
      <c r="I12" s="2781">
        <v>0.92</v>
      </c>
      <c r="J12" s="2781">
        <v>0.72</v>
      </c>
      <c r="K12" s="2781">
        <v>0.95</v>
      </c>
      <c r="L12" s="2782">
        <v>1.01</v>
      </c>
      <c r="M12" s="2805"/>
      <c r="N12" s="2810">
        <f t="shared" ref="N12" si="84">I12/100</f>
        <v>9.1999999999999998E-3</v>
      </c>
      <c r="O12" s="2806">
        <f t="shared" ref="O12" si="85">J12/100</f>
        <v>7.1999999999999998E-3</v>
      </c>
      <c r="P12" s="2806">
        <f t="shared" ref="P12" si="86">K12/100</f>
        <v>9.4999999999999998E-3</v>
      </c>
      <c r="Q12" s="2806">
        <f t="shared" ref="Q12" si="87">L12/100</f>
        <v>1.01E-2</v>
      </c>
      <c r="R12" s="2811"/>
      <c r="S12" s="2812"/>
      <c r="T12" s="2813"/>
      <c r="U12" s="2813"/>
      <c r="V12" s="2813"/>
      <c r="W12" s="2805"/>
      <c r="X12" s="2805">
        <f>ROUND(IF(项目基本情况!B4="出让",SUMPRODUCT(PRODUCT(1+N12:N$41)),SUMPRODUCT(PRODUCT(1+N12:N$40))),4)</f>
        <v>1.6338999999999999</v>
      </c>
      <c r="Y12" s="2805">
        <f>ROUND(IF(项目基本情况!B4="出让",SUMPRODUCT(PRODUCT(1+O12:O$41)),SUMPRODUCT(PRODUCT(1+O12:O$40))),4)</f>
        <v>1.3588</v>
      </c>
      <c r="Z12" s="2805">
        <f t="shared" ref="Z12" si="88">Y12</f>
        <v>1.3588</v>
      </c>
      <c r="AA12" s="2805">
        <f>ROUND(IF(项目基本情况!B4="出让",SUMPRODUCT(PRODUCT(1+P12:P$41)),SUMPRODUCT(PRODUCT(1+P12:P$40))),4)</f>
        <v>1.7150000000000001</v>
      </c>
      <c r="AB12" s="2805">
        <f>ROUND(IF(项目基本情况!B4="出让",SUMPRODUCT(PRODUCT(1+Q12:Q$41)),SUMPRODUCT(PRODUCT(1+Q12:Q$40))),4)</f>
        <v>1.446</v>
      </c>
      <c r="AC12" s="2805"/>
      <c r="AD12" s="2806">
        <f>ROUND(AVERAGE(I12:I$41)/100,4)</f>
        <v>1.7600000000000001E-2</v>
      </c>
      <c r="AE12" s="2806">
        <f>ROUND(AVERAGE(J12:J$41)/100,4)</f>
        <v>1.11E-2</v>
      </c>
      <c r="AF12" s="2806">
        <f t="shared" ref="AF12" si="89">AE12</f>
        <v>1.11E-2</v>
      </c>
      <c r="AG12" s="2806">
        <f>ROUND(AVERAGE(K12:K$41)/100,4)</f>
        <v>1.9400000000000001E-2</v>
      </c>
      <c r="AH12" s="2806">
        <f>ROUND(AVERAGE(L12:L$41)/100,4)</f>
        <v>1.2800000000000001E-2</v>
      </c>
    </row>
    <row r="13" spans="1:34" s="2814" customFormat="1">
      <c r="A13" s="2807" t="s">
        <v>2734</v>
      </c>
      <c r="B13" s="2808">
        <f t="shared" ref="B13" si="90">B14*(1+N13)</f>
        <v>497.92799851020823</v>
      </c>
      <c r="C13" s="2808">
        <f t="shared" ref="C13" si="91">C14*(1+O13)</f>
        <v>347.77173663537445</v>
      </c>
      <c r="D13" s="2808">
        <f t="shared" ref="D13" si="92">C13</f>
        <v>347.77173663537445</v>
      </c>
      <c r="E13" s="2808">
        <f t="shared" ref="E13" si="93">E14*(1+P13)</f>
        <v>718.44695593258189</v>
      </c>
      <c r="F13" s="2808">
        <f t="shared" ref="F13" si="94">F14*(1+Q13)</f>
        <v>329.12600580153247</v>
      </c>
      <c r="G13" s="2801">
        <v>2021</v>
      </c>
      <c r="H13" s="2809">
        <v>1</v>
      </c>
      <c r="I13" s="2781">
        <v>0.97</v>
      </c>
      <c r="J13" s="2781">
        <v>0.16</v>
      </c>
      <c r="K13" s="2781">
        <v>1.1100000000000001</v>
      </c>
      <c r="L13" s="2782">
        <v>0.36</v>
      </c>
      <c r="M13" s="2805"/>
      <c r="N13" s="2810">
        <f t="shared" ref="N13" si="95">I13/100</f>
        <v>9.7000000000000003E-3</v>
      </c>
      <c r="O13" s="2806">
        <f t="shared" ref="O13" si="96">J13/100</f>
        <v>1.6000000000000001E-3</v>
      </c>
      <c r="P13" s="2806">
        <f t="shared" ref="P13" si="97">K13/100</f>
        <v>1.11E-2</v>
      </c>
      <c r="Q13" s="2806">
        <f t="shared" ref="Q13" si="98">L13/100</f>
        <v>3.5999999999999999E-3</v>
      </c>
      <c r="R13" s="2811"/>
      <c r="S13" s="2812">
        <f>B13/B14-1</f>
        <v>9.7000000000000419E-3</v>
      </c>
      <c r="T13" s="2813">
        <f>C13/C14-1</f>
        <v>1.6000000000000458E-3</v>
      </c>
      <c r="U13" s="2813">
        <f>E13/E14-1</f>
        <v>1.110000000000011E-2</v>
      </c>
      <c r="V13" s="2813">
        <f>F13/F14-1</f>
        <v>3.6000000000000476E-3</v>
      </c>
      <c r="W13" s="2805"/>
      <c r="X13" s="2805">
        <f>ROUND(IF(项目基本情况!B5="出让",SUMPRODUCT(PRODUCT(1+N13:N$41)),SUMPRODUCT(PRODUCT(1+N13:N$40))),4)</f>
        <v>1.619</v>
      </c>
      <c r="Y13" s="2805">
        <f>ROUND(IF(项目基本情况!B5="出让",SUMPRODUCT(PRODUCT(1+O13:O$41)),SUMPRODUCT(PRODUCT(1+O13:O$40))),4)</f>
        <v>1.3491</v>
      </c>
      <c r="Z13" s="2805">
        <f t="shared" ref="Z13" si="99">Y13</f>
        <v>1.3491</v>
      </c>
      <c r="AA13" s="2805">
        <f>ROUND(IF(项目基本情况!B5="出让",SUMPRODUCT(PRODUCT(1+P13:P$41)),SUMPRODUCT(PRODUCT(1+P13:P$40))),4)</f>
        <v>1.6988000000000001</v>
      </c>
      <c r="AB13" s="2805">
        <f>ROUND(IF(项目基本情况!B5="出让",SUMPRODUCT(PRODUCT(1+Q13:Q$41)),SUMPRODUCT(PRODUCT(1+Q13:Q$40))),4)</f>
        <v>1.4315</v>
      </c>
      <c r="AC13" s="2805"/>
      <c r="AD13" s="2806">
        <f>ROUND(AVERAGE(I13:I$41)/100,4)</f>
        <v>1.7899999999999999E-2</v>
      </c>
      <c r="AE13" s="2806">
        <f>ROUND(AVERAGE(J13:J$41)/100,4)</f>
        <v>1.12E-2</v>
      </c>
      <c r="AF13" s="2806">
        <f t="shared" ref="AF13" si="100">AE13</f>
        <v>1.12E-2</v>
      </c>
      <c r="AG13" s="2806">
        <f>ROUND(AVERAGE(K13:K$41)/100,4)</f>
        <v>1.9699999999999999E-2</v>
      </c>
      <c r="AH13" s="2806">
        <f>ROUND(AVERAGE(L13:L$41)/100,4)</f>
        <v>1.29E-2</v>
      </c>
    </row>
    <row r="14" spans="1:34" s="2814" customFormat="1">
      <c r="A14" s="2807" t="s">
        <v>2731</v>
      </c>
      <c r="B14" s="2808">
        <f t="shared" ref="B14" si="101">B15*(1+N14)</f>
        <v>493.14449689037161</v>
      </c>
      <c r="C14" s="2808">
        <f t="shared" ref="C14" si="102">C15*(1+O14)</f>
        <v>347.21619073020611</v>
      </c>
      <c r="D14" s="2808">
        <f t="shared" ref="D14" si="103">C14</f>
        <v>347.21619073020611</v>
      </c>
      <c r="E14" s="2808">
        <f t="shared" ref="E14" si="104">E15*(1+P14)</f>
        <v>710.55974278763904</v>
      </c>
      <c r="F14" s="2808">
        <f t="shared" ref="F14" si="105">F15*(1+Q14)</f>
        <v>327.94540235306141</v>
      </c>
      <c r="G14" s="2801">
        <v>2020</v>
      </c>
      <c r="H14" s="2809">
        <v>4</v>
      </c>
      <c r="I14" s="2781">
        <v>2.0699999999999998</v>
      </c>
      <c r="J14" s="2781">
        <v>0.37</v>
      </c>
      <c r="K14" s="2781">
        <v>2.35</v>
      </c>
      <c r="L14" s="2782">
        <v>2.69</v>
      </c>
      <c r="M14" s="2805"/>
      <c r="N14" s="2810">
        <f t="shared" ref="N14" si="106">I14/100</f>
        <v>2.07E-2</v>
      </c>
      <c r="O14" s="2806">
        <f t="shared" ref="O14" si="107">J14/100</f>
        <v>3.7000000000000002E-3</v>
      </c>
      <c r="P14" s="2806">
        <f t="shared" ref="P14" si="108">K14/100</f>
        <v>2.35E-2</v>
      </c>
      <c r="Q14" s="2806">
        <f t="shared" ref="Q14" si="109">L14/100</f>
        <v>2.69E-2</v>
      </c>
      <c r="R14" s="2811"/>
      <c r="S14" s="2812"/>
      <c r="T14" s="2813"/>
      <c r="U14" s="2813"/>
      <c r="V14" s="2813"/>
      <c r="W14" s="2805"/>
      <c r="X14" s="2805">
        <f>ROUND(IF(项目基本情况!B6="出让",SUMPRODUCT(PRODUCT(1+N14:N$41)),SUMPRODUCT(PRODUCT(1+N14:N$40))),4)</f>
        <v>1.6034999999999999</v>
      </c>
      <c r="Y14" s="2805">
        <f>ROUND(IF(项目基本情况!B6="出让",SUMPRODUCT(PRODUCT(1+O14:O$41)),SUMPRODUCT(PRODUCT(1+O14:O$40))),4)</f>
        <v>1.3469</v>
      </c>
      <c r="Z14" s="2805">
        <f t="shared" ref="Z14" si="110">Y14</f>
        <v>1.3469</v>
      </c>
      <c r="AA14" s="2805">
        <f>ROUND(IF(项目基本情况!B6="出让",SUMPRODUCT(PRODUCT(1+P14:P$41)),SUMPRODUCT(PRODUCT(1+P14:P$40))),4)</f>
        <v>1.6801999999999999</v>
      </c>
      <c r="AB14" s="2805">
        <f>ROUND(IF(项目基本情况!B6="出让",SUMPRODUCT(PRODUCT(1+Q14:Q$41)),SUMPRODUCT(PRODUCT(1+Q14:Q$40))),4)</f>
        <v>1.4263999999999999</v>
      </c>
      <c r="AC14" s="2805"/>
      <c r="AD14" s="2806">
        <f>ROUND(AVERAGE(I14:I$41)/100,4)</f>
        <v>1.8200000000000001E-2</v>
      </c>
      <c r="AE14" s="2806">
        <f>ROUND(AVERAGE(J14:J$41)/100,4)</f>
        <v>1.1599999999999999E-2</v>
      </c>
      <c r="AF14" s="2806">
        <f t="shared" ref="AF14" si="111">AE14</f>
        <v>1.1599999999999999E-2</v>
      </c>
      <c r="AG14" s="2806">
        <f>ROUND(AVERAGE(K14:K$41)/100,4)</f>
        <v>0.02</v>
      </c>
      <c r="AH14" s="2806">
        <f>ROUND(AVERAGE(L14:L$41)/100,4)</f>
        <v>1.3299999999999999E-2</v>
      </c>
    </row>
    <row r="15" spans="1:34" s="2814" customFormat="1">
      <c r="A15" s="2807" t="s">
        <v>2730</v>
      </c>
      <c r="B15" s="2808">
        <f t="shared" ref="B15" si="112">B16*(1+N15)</f>
        <v>483.1434279321756</v>
      </c>
      <c r="C15" s="2808">
        <f t="shared" ref="C15" si="113">C16*(1+O15)</f>
        <v>345.93622669144776</v>
      </c>
      <c r="D15" s="2808">
        <f t="shared" ref="D15" si="114">C15</f>
        <v>345.93622669144776</v>
      </c>
      <c r="E15" s="2808">
        <f t="shared" ref="E15" si="115">E16*(1+P15)</f>
        <v>694.24498562544113</v>
      </c>
      <c r="F15" s="2808">
        <f t="shared" ref="F15" si="116">F16*(1+Q15)</f>
        <v>319.35475932716082</v>
      </c>
      <c r="G15" s="2801">
        <v>2020</v>
      </c>
      <c r="H15" s="2809">
        <v>3</v>
      </c>
      <c r="I15" s="2781">
        <v>0.36</v>
      </c>
      <c r="J15" s="2781">
        <v>-0.39</v>
      </c>
      <c r="K15" s="2781">
        <v>0.49</v>
      </c>
      <c r="L15" s="2782">
        <v>7.0000000000000007E-2</v>
      </c>
      <c r="M15" s="2805"/>
      <c r="N15" s="2810">
        <f t="shared" ref="N15" si="117">I15/100</f>
        <v>3.5999999999999999E-3</v>
      </c>
      <c r="O15" s="2806">
        <f t="shared" ref="O15" si="118">J15/100</f>
        <v>-3.9000000000000003E-3</v>
      </c>
      <c r="P15" s="2806">
        <f t="shared" ref="P15" si="119">K15/100</f>
        <v>4.8999999999999998E-3</v>
      </c>
      <c r="Q15" s="2806">
        <f t="shared" ref="Q15" si="120">L15/100</f>
        <v>7.000000000000001E-4</v>
      </c>
      <c r="R15" s="2811"/>
      <c r="S15" s="2812"/>
      <c r="T15" s="2813"/>
      <c r="U15" s="2813"/>
      <c r="V15" s="2813"/>
      <c r="W15" s="2805"/>
      <c r="X15" s="2805">
        <f>ROUND(IF(项目基本情况!B7="出让",SUMPRODUCT(PRODUCT(1+N15:N$41)),SUMPRODUCT(PRODUCT(1+N15:N$40))),4)</f>
        <v>1.571</v>
      </c>
      <c r="Y15" s="2805">
        <f>ROUND(IF(项目基本情况!B7="出让",SUMPRODUCT(PRODUCT(1+O15:O$41)),SUMPRODUCT(PRODUCT(1+O15:O$40))),4)</f>
        <v>1.3420000000000001</v>
      </c>
      <c r="Z15" s="2805">
        <f t="shared" ref="Z15" si="121">Y15</f>
        <v>1.3420000000000001</v>
      </c>
      <c r="AA15" s="2805">
        <f>ROUND(IF(项目基本情况!B7="出让",SUMPRODUCT(PRODUCT(1+P15:P$41)),SUMPRODUCT(PRODUCT(1+P15:P$40))),4)</f>
        <v>1.6415999999999999</v>
      </c>
      <c r="AB15" s="2805">
        <f>ROUND(IF(项目基本情况!B7="出让",SUMPRODUCT(PRODUCT(1+Q15:Q$41)),SUMPRODUCT(PRODUCT(1+Q15:Q$40))),4)</f>
        <v>1.389</v>
      </c>
      <c r="AC15" s="2805"/>
      <c r="AD15" s="2806">
        <f>ROUND(AVERAGE(I15:I$41)/100,4)</f>
        <v>1.8100000000000002E-2</v>
      </c>
      <c r="AE15" s="2806">
        <f>ROUND(AVERAGE(J15:J$41)/100,4)</f>
        <v>1.1900000000000001E-2</v>
      </c>
      <c r="AF15" s="2806">
        <f t="shared" ref="AF15" si="122">AE15</f>
        <v>1.1900000000000001E-2</v>
      </c>
      <c r="AG15" s="2806">
        <f>ROUND(AVERAGE(K15:K$41)/100,4)</f>
        <v>1.9900000000000001E-2</v>
      </c>
      <c r="AH15" s="2806">
        <f>ROUND(AVERAGE(L15:L$41)/100,4)</f>
        <v>1.2800000000000001E-2</v>
      </c>
    </row>
    <row r="16" spans="1:34" s="2814" customFormat="1">
      <c r="A16" s="2807" t="s">
        <v>2694</v>
      </c>
      <c r="B16" s="2808">
        <f t="shared" ref="B16" si="123">B17*(1+N16)</f>
        <v>481.4103506697644</v>
      </c>
      <c r="C16" s="2808">
        <f t="shared" ref="C16" si="124">C17*(1+O16)</f>
        <v>347.29066026648707</v>
      </c>
      <c r="D16" s="2808">
        <f t="shared" ref="D16" si="125">C16</f>
        <v>347.29066026648707</v>
      </c>
      <c r="E16" s="2808">
        <f t="shared" ref="E16" si="126">E17*(1+P16)</f>
        <v>690.85977273901995</v>
      </c>
      <c r="F16" s="2808">
        <f t="shared" ref="F16" si="127">F17*(1+Q16)</f>
        <v>319.13136737000184</v>
      </c>
      <c r="G16" s="2801">
        <v>2020</v>
      </c>
      <c r="H16" s="2809">
        <v>2</v>
      </c>
      <c r="I16" s="2781">
        <v>0.31</v>
      </c>
      <c r="J16" s="2781">
        <v>-0.78</v>
      </c>
      <c r="K16" s="2781">
        <v>0.5</v>
      </c>
      <c r="L16" s="2782">
        <v>0.47</v>
      </c>
      <c r="M16" s="2805"/>
      <c r="N16" s="2810">
        <f t="shared" ref="N16" si="128">I16/100</f>
        <v>3.0999999999999999E-3</v>
      </c>
      <c r="O16" s="2806">
        <f t="shared" ref="O16" si="129">J16/100</f>
        <v>-7.8000000000000005E-3</v>
      </c>
      <c r="P16" s="2806">
        <f t="shared" ref="P16" si="130">K16/100</f>
        <v>5.0000000000000001E-3</v>
      </c>
      <c r="Q16" s="2806">
        <f t="shared" ref="Q16" si="131">L16/100</f>
        <v>4.6999999999999993E-3</v>
      </c>
      <c r="R16" s="2811"/>
      <c r="S16" s="2812"/>
      <c r="T16" s="2813"/>
      <c r="U16" s="2813"/>
      <c r="V16" s="2813"/>
      <c r="W16" s="2805"/>
      <c r="X16" s="2805">
        <f>ROUND(IF(项目基本情况!B8="出让",SUMPRODUCT(PRODUCT(1+N16:N$41)),SUMPRODUCT(PRODUCT(1+N16:N$40))),4)</f>
        <v>1.5652999999999999</v>
      </c>
      <c r="Y16" s="2805">
        <f>ROUND(IF(项目基本情况!B8="出让",SUMPRODUCT(PRODUCT(1+O16:O$41)),SUMPRODUCT(PRODUCT(1+O16:O$40))),4)</f>
        <v>1.3472</v>
      </c>
      <c r="Z16" s="2805">
        <f t="shared" ref="Z16" si="132">Y16</f>
        <v>1.3472</v>
      </c>
      <c r="AA16" s="2805">
        <f>ROUND(IF(项目基本情况!B8="出让",SUMPRODUCT(PRODUCT(1+P16:P$41)),SUMPRODUCT(PRODUCT(1+P16:P$40))),4)</f>
        <v>1.6335999999999999</v>
      </c>
      <c r="AB16" s="2805">
        <f>ROUND(IF(项目基本情况!B8="出让",SUMPRODUCT(PRODUCT(1+Q16:Q$41)),SUMPRODUCT(PRODUCT(1+Q16:Q$40))),4)</f>
        <v>1.3880999999999999</v>
      </c>
      <c r="AC16" s="2805"/>
      <c r="AD16" s="2806">
        <f>ROUND(AVERAGE(I16:I$41)/100,4)</f>
        <v>1.8599999999999998E-2</v>
      </c>
      <c r="AE16" s="2806">
        <f>ROUND(AVERAGE(J16:J$41)/100,4)</f>
        <v>1.2500000000000001E-2</v>
      </c>
      <c r="AF16" s="2806">
        <f t="shared" ref="AF16" si="133">AE16</f>
        <v>1.2500000000000001E-2</v>
      </c>
      <c r="AG16" s="2806">
        <f>ROUND(AVERAGE(K16:K$41)/100,4)</f>
        <v>2.0400000000000001E-2</v>
      </c>
      <c r="AH16" s="2806">
        <f>ROUND(AVERAGE(L16:L$41)/100,4)</f>
        <v>1.32E-2</v>
      </c>
    </row>
    <row r="17" spans="1:34" s="2814" customFormat="1">
      <c r="A17" s="2807" t="s">
        <v>2692</v>
      </c>
      <c r="B17" s="2808">
        <f t="shared" ref="B17" si="134">B18*(1+N17)</f>
        <v>479.92259063878413</v>
      </c>
      <c r="C17" s="2808">
        <f t="shared" ref="C17" si="135">C18*(1+O17)</f>
        <v>350.02082268341775</v>
      </c>
      <c r="D17" s="2808">
        <f t="shared" ref="D17" si="136">C17</f>
        <v>350.02082268341775</v>
      </c>
      <c r="E17" s="2808">
        <f t="shared" ref="E17" si="137">E18*(1+P17)</f>
        <v>687.42265944181099</v>
      </c>
      <c r="F17" s="2808">
        <f t="shared" ref="F17" si="138">F18*(1+Q17)</f>
        <v>317.63846657708956</v>
      </c>
      <c r="G17" s="2801">
        <v>2020</v>
      </c>
      <c r="H17" s="2809">
        <v>1</v>
      </c>
      <c r="I17" s="2781">
        <v>0.12</v>
      </c>
      <c r="J17" s="2781">
        <v>-0.4</v>
      </c>
      <c r="K17" s="2781">
        <v>0.21</v>
      </c>
      <c r="L17" s="2782">
        <v>0.27</v>
      </c>
      <c r="M17" s="2805"/>
      <c r="N17" s="2810">
        <f t="shared" ref="N17" si="139">I17/100</f>
        <v>1.1999999999999999E-3</v>
      </c>
      <c r="O17" s="2806">
        <f t="shared" ref="O17" si="140">J17/100</f>
        <v>-4.0000000000000001E-3</v>
      </c>
      <c r="P17" s="2806">
        <f t="shared" ref="P17" si="141">K17/100</f>
        <v>2.0999999999999999E-3</v>
      </c>
      <c r="Q17" s="2806">
        <f t="shared" ref="Q17" si="142">L17/100</f>
        <v>2.7000000000000001E-3</v>
      </c>
      <c r="R17" s="2811"/>
      <c r="S17" s="2812">
        <f>B17/B18-1</f>
        <v>1.2000000000000899E-3</v>
      </c>
      <c r="T17" s="2813">
        <f>C17/C18-1</f>
        <v>-4.0000000000000036E-3</v>
      </c>
      <c r="U17" s="2813">
        <f>E17/E18-1</f>
        <v>2.0999999999999908E-3</v>
      </c>
      <c r="V17" s="2813">
        <f>F17/F18-1</f>
        <v>2.6999999999999247E-3</v>
      </c>
      <c r="W17" s="2805"/>
      <c r="X17" s="2805">
        <f>ROUND(IF(项目基本情况!B8="出让",SUMPRODUCT(PRODUCT(1+N17:N$41)),SUMPRODUCT(PRODUCT(1+N17:N$40))),4)</f>
        <v>1.5605</v>
      </c>
      <c r="Y17" s="2805">
        <f>ROUND(IF(项目基本情况!B8="出让",SUMPRODUCT(PRODUCT(1+O17:O$41)),SUMPRODUCT(PRODUCT(1+O17:O$40))),4)</f>
        <v>1.3577999999999999</v>
      </c>
      <c r="Z17" s="2805">
        <f t="shared" ref="Z17" si="143">Y17</f>
        <v>1.3577999999999999</v>
      </c>
      <c r="AA17" s="2805">
        <f>ROUND(IF(项目基本情况!B8="出让",SUMPRODUCT(PRODUCT(1+P17:P$41)),SUMPRODUCT(PRODUCT(1+P17:P$40))),4)</f>
        <v>1.6254999999999999</v>
      </c>
      <c r="AB17" s="2805">
        <f>ROUND(IF(项目基本情况!B8="出让",SUMPRODUCT(PRODUCT(1+Q17:Q$41)),SUMPRODUCT(PRODUCT(1+Q17:Q$40))),4)</f>
        <v>1.3815999999999999</v>
      </c>
      <c r="AC17" s="2805"/>
      <c r="AD17" s="2806">
        <f>ROUND(AVERAGE(I17:I$41)/100,4)</f>
        <v>1.9199999999999998E-2</v>
      </c>
      <c r="AE17" s="2806">
        <f>ROUND(AVERAGE(J17:J$41)/100,4)</f>
        <v>1.3299999999999999E-2</v>
      </c>
      <c r="AF17" s="2806">
        <f t="shared" ref="AF17" si="144">AE17</f>
        <v>1.3299999999999999E-2</v>
      </c>
      <c r="AG17" s="2806">
        <f>ROUND(AVERAGE(K17:K$41)/100,4)</f>
        <v>2.1100000000000001E-2</v>
      </c>
      <c r="AH17" s="2806">
        <f>ROUND(AVERAGE(L17:L$41)/100,4)</f>
        <v>1.3599999999999999E-2</v>
      </c>
    </row>
    <row r="18" spans="1:34" s="2814" customFormat="1">
      <c r="A18" s="2807" t="s">
        <v>2690</v>
      </c>
      <c r="B18" s="2808">
        <f t="shared" ref="B18" si="145">B19*(1+N18)</f>
        <v>479.34737379023579</v>
      </c>
      <c r="C18" s="2808">
        <f t="shared" ref="C18" si="146">C19*(1+O18)</f>
        <v>351.4265287986122</v>
      </c>
      <c r="D18" s="2808">
        <f t="shared" ref="D18" si="147">C18</f>
        <v>351.4265287986122</v>
      </c>
      <c r="E18" s="2808">
        <f t="shared" ref="E18" si="148">E19*(1+P18)</f>
        <v>685.98209703803116</v>
      </c>
      <c r="F18" s="2808">
        <f t="shared" ref="F18" si="149">F19*(1+Q18)</f>
        <v>316.78315206651001</v>
      </c>
      <c r="G18" s="2801">
        <v>2019</v>
      </c>
      <c r="H18" s="2809">
        <v>4</v>
      </c>
      <c r="I18" s="2809">
        <v>0.45</v>
      </c>
      <c r="J18" s="2809">
        <v>-0.12</v>
      </c>
      <c r="K18" s="2809">
        <v>0.54</v>
      </c>
      <c r="L18" s="2815">
        <v>0.48</v>
      </c>
      <c r="M18" s="2805"/>
      <c r="N18" s="2810">
        <f t="shared" ref="N18" si="150">I18/100</f>
        <v>4.5000000000000005E-3</v>
      </c>
      <c r="O18" s="2806">
        <f t="shared" ref="O18" si="151">J18/100</f>
        <v>-1.1999999999999999E-3</v>
      </c>
      <c r="P18" s="2806">
        <f t="shared" ref="P18" si="152">K18/100</f>
        <v>5.4000000000000003E-3</v>
      </c>
      <c r="Q18" s="2806">
        <f t="shared" ref="Q18" si="153">L18/100</f>
        <v>4.7999999999999996E-3</v>
      </c>
      <c r="R18" s="2811"/>
      <c r="S18" s="2812"/>
      <c r="T18" s="2813"/>
      <c r="U18" s="2813"/>
      <c r="V18" s="2813"/>
      <c r="W18" s="2805"/>
      <c r="X18" s="2805">
        <f>ROUND(IF(项目基本情况!B8="出让",SUMPRODUCT(PRODUCT(1+N18:N$41)),SUMPRODUCT(PRODUCT(1+N18:N$40))),4)</f>
        <v>1.5586</v>
      </c>
      <c r="Y18" s="2805">
        <f>ROUND(IF(项目基本情况!B8="出让",SUMPRODUCT(PRODUCT(1+O18:O$41)),SUMPRODUCT(PRODUCT(1+O18:O$40))),4)</f>
        <v>1.3633</v>
      </c>
      <c r="Z18" s="2805">
        <f t="shared" ref="Z18" si="154">Y18</f>
        <v>1.3633</v>
      </c>
      <c r="AA18" s="2805">
        <f>ROUND(IF(项目基本情况!B8="出让",SUMPRODUCT(PRODUCT(1+P18:P$41)),SUMPRODUCT(PRODUCT(1+P18:P$40))),4)</f>
        <v>1.6221000000000001</v>
      </c>
      <c r="AB18" s="2805">
        <f>ROUND(IF(项目基本情况!B8="出让",SUMPRODUCT(PRODUCT(1+Q18:Q$41)),SUMPRODUCT(PRODUCT(1+Q18:Q$40))),4)</f>
        <v>1.3777999999999999</v>
      </c>
      <c r="AC18" s="2805"/>
      <c r="AD18" s="2806">
        <f>ROUND(AVERAGE(I18:I$41)/100,4)</f>
        <v>0.02</v>
      </c>
      <c r="AE18" s="2806">
        <f>ROUND(AVERAGE(J18:J$41)/100,4)</f>
        <v>1.4E-2</v>
      </c>
      <c r="AF18" s="2806">
        <f t="shared" ref="AF18" si="155">AE18</f>
        <v>1.4E-2</v>
      </c>
      <c r="AG18" s="2806">
        <f>ROUND(AVERAGE(K18:K$41)/100,4)</f>
        <v>2.1899999999999999E-2</v>
      </c>
      <c r="AH18" s="2806">
        <f>ROUND(AVERAGE(L18:L$41)/100,4)</f>
        <v>1.4E-2</v>
      </c>
    </row>
    <row r="19" spans="1:34" s="2814" customFormat="1" ht="13.8" thickBot="1">
      <c r="A19" s="2807" t="s">
        <v>2689</v>
      </c>
      <c r="B19" s="2808">
        <f t="shared" ref="B19" si="156">B20*(1+N19)</f>
        <v>477.19997390765138</v>
      </c>
      <c r="C19" s="2808">
        <f t="shared" ref="C19" si="157">C20*(1+O19)</f>
        <v>351.84874729536665</v>
      </c>
      <c r="D19" s="2808">
        <f t="shared" ref="D19" si="158">C19</f>
        <v>351.84874729536665</v>
      </c>
      <c r="E19" s="2808">
        <f t="shared" ref="E19" si="159">E20*(1+P19)</f>
        <v>682.29768951465201</v>
      </c>
      <c r="F19" s="2808">
        <f t="shared" ref="F19" si="160">F20*(1+Q19)</f>
        <v>315.26985675409043</v>
      </c>
      <c r="G19" s="2801">
        <v>2019</v>
      </c>
      <c r="H19" s="2809">
        <v>3</v>
      </c>
      <c r="I19" s="2809">
        <v>0.61</v>
      </c>
      <c r="J19" s="2809">
        <v>0.67</v>
      </c>
      <c r="K19" s="2809">
        <v>0.6</v>
      </c>
      <c r="L19" s="2815">
        <v>1.03</v>
      </c>
      <c r="M19" s="2805"/>
      <c r="N19" s="2810">
        <f t="shared" ref="N19" si="161">I19/100</f>
        <v>6.0999999999999995E-3</v>
      </c>
      <c r="O19" s="2806">
        <f t="shared" ref="O19" si="162">J19/100</f>
        <v>6.7000000000000002E-3</v>
      </c>
      <c r="P19" s="2806">
        <f t="shared" ref="P19" si="163">K19/100</f>
        <v>6.0000000000000001E-3</v>
      </c>
      <c r="Q19" s="2806">
        <f t="shared" ref="Q19" si="164">L19/100</f>
        <v>1.03E-2</v>
      </c>
      <c r="R19" s="2811"/>
      <c r="S19" s="2812"/>
      <c r="T19" s="2813"/>
      <c r="U19" s="2813"/>
      <c r="V19" s="2813"/>
      <c r="W19" s="2805"/>
      <c r="X19" s="2805">
        <f>ROUND(IF(项目基本情况!B8="出让",SUMPRODUCT(PRODUCT(1+N19:N$41)),SUMPRODUCT(PRODUCT(1+N19:N$40))),4)</f>
        <v>1.5516000000000001</v>
      </c>
      <c r="Y19" s="2805">
        <f>ROUND(IF(项目基本情况!B8="出让",SUMPRODUCT(PRODUCT(1+O19:O$41)),SUMPRODUCT(PRODUCT(1+O19:O$40))),4)</f>
        <v>1.3649</v>
      </c>
      <c r="Z19" s="2805">
        <f t="shared" ref="Z19" si="165">Y19</f>
        <v>1.3649</v>
      </c>
      <c r="AA19" s="2805">
        <f>ROUND(IF(项目基本情况!B8="出让",SUMPRODUCT(PRODUCT(1+P19:P$41)),SUMPRODUCT(PRODUCT(1+P19:P$40))),4)</f>
        <v>1.6133999999999999</v>
      </c>
      <c r="AB19" s="2805">
        <f>ROUND(IF(项目基本情况!B8="出让",SUMPRODUCT(PRODUCT(1+Q19:Q$41)),SUMPRODUCT(PRODUCT(1+Q19:Q$40))),4)</f>
        <v>1.3713</v>
      </c>
      <c r="AC19" s="2805"/>
      <c r="AD19" s="2806">
        <f>ROUND(AVERAGE(I19:I$41)/100,4)</f>
        <v>2.07E-2</v>
      </c>
      <c r="AE19" s="2806">
        <f>ROUND(AVERAGE(J19:J$41)/100,4)</f>
        <v>1.47E-2</v>
      </c>
      <c r="AF19" s="2806">
        <f t="shared" ref="AF19" si="166">AE19</f>
        <v>1.47E-2</v>
      </c>
      <c r="AG19" s="2806">
        <f>ROUND(AVERAGE(K19:K$41)/100,4)</f>
        <v>2.2599999999999999E-2</v>
      </c>
      <c r="AH19" s="2806">
        <f>ROUND(AVERAGE(L19:L$41)/100,4)</f>
        <v>1.44E-2</v>
      </c>
    </row>
    <row r="20" spans="1:34" s="2814" customFormat="1">
      <c r="A20" s="2807" t="s">
        <v>2686</v>
      </c>
      <c r="B20" s="2808">
        <f t="shared" ref="B20:B25" si="167">B21*(1+N20)</f>
        <v>474.30670301923408</v>
      </c>
      <c r="C20" s="2808">
        <f t="shared" ref="C20" si="168">C21*(1+O20)</f>
        <v>349.50705005996491</v>
      </c>
      <c r="D20" s="2808">
        <f t="shared" ref="D20" si="169">C20</f>
        <v>349.50705005996491</v>
      </c>
      <c r="E20" s="2808">
        <f t="shared" ref="E20" si="170">E21*(1+P20)</f>
        <v>678.22831959706957</v>
      </c>
      <c r="F20" s="2808">
        <f t="shared" ref="F20" si="171">F21*(1+Q20)</f>
        <v>312.0556832169558</v>
      </c>
      <c r="G20" s="2801">
        <v>2019</v>
      </c>
      <c r="H20" s="2816">
        <v>2</v>
      </c>
      <c r="I20" s="2816">
        <v>1.53</v>
      </c>
      <c r="J20" s="2816">
        <v>1.01</v>
      </c>
      <c r="K20" s="2816">
        <v>1.62</v>
      </c>
      <c r="L20" s="2817">
        <v>1.25</v>
      </c>
      <c r="M20" s="2805"/>
      <c r="N20" s="2810">
        <f t="shared" ref="N20" si="172">I20/100</f>
        <v>1.5300000000000001E-2</v>
      </c>
      <c r="O20" s="2806">
        <f t="shared" ref="O20" si="173">J20/100</f>
        <v>1.01E-2</v>
      </c>
      <c r="P20" s="2806">
        <f t="shared" ref="P20" si="174">K20/100</f>
        <v>1.6200000000000003E-2</v>
      </c>
      <c r="Q20" s="2806">
        <f t="shared" ref="Q20" si="175">L20/100</f>
        <v>1.2500000000000001E-2</v>
      </c>
      <c r="R20" s="2811"/>
      <c r="S20" s="2812"/>
      <c r="T20" s="2813"/>
      <c r="U20" s="2813"/>
      <c r="V20" s="2813"/>
      <c r="W20" s="2805"/>
      <c r="X20" s="2805">
        <f>ROUND(IF(项目基本情况!B8="出让",SUMPRODUCT(PRODUCT(1+N20:N$41)),SUMPRODUCT(PRODUCT(1+N20:N$40))),4)</f>
        <v>1.5422</v>
      </c>
      <c r="Y20" s="2805">
        <f>ROUND(IF(项目基本情况!B8="出让",SUMPRODUCT(PRODUCT(1+O20:O$41)),SUMPRODUCT(PRODUCT(1+O20:O$40))),4)</f>
        <v>1.3557999999999999</v>
      </c>
      <c r="Z20" s="2805">
        <f t="shared" ref="Z20" si="176">Y20</f>
        <v>1.3557999999999999</v>
      </c>
      <c r="AA20" s="2805">
        <f>ROUND(IF(项目基本情况!B8="出让",SUMPRODUCT(PRODUCT(1+P20:P$41)),SUMPRODUCT(PRODUCT(1+P20:P$40))),4)</f>
        <v>1.6036999999999999</v>
      </c>
      <c r="AB20" s="2805">
        <f>ROUND(IF(项目基本情况!B8="出让",SUMPRODUCT(PRODUCT(1+Q20:Q$41)),SUMPRODUCT(PRODUCT(1+Q20:Q$40))),4)</f>
        <v>1.3573</v>
      </c>
      <c r="AC20" s="2805"/>
      <c r="AD20" s="2806">
        <f>ROUND(AVERAGE(I20:I$41)/100,4)</f>
        <v>2.1299999999999999E-2</v>
      </c>
      <c r="AE20" s="2806">
        <f>ROUND(AVERAGE(J20:J$41)/100,4)</f>
        <v>1.4999999999999999E-2</v>
      </c>
      <c r="AF20" s="2806">
        <f t="shared" ref="AF20" si="177">AE20</f>
        <v>1.4999999999999999E-2</v>
      </c>
      <c r="AG20" s="2806">
        <f>ROUND(AVERAGE(K20:K$41)/100,4)</f>
        <v>2.3300000000000001E-2</v>
      </c>
      <c r="AH20" s="2806">
        <f>ROUND(AVERAGE(L20:L$41)/100,4)</f>
        <v>1.46E-2</v>
      </c>
    </row>
    <row r="21" spans="1:34" s="2814" customFormat="1" ht="13.8" thickBot="1">
      <c r="A21" s="2807" t="s">
        <v>2685</v>
      </c>
      <c r="B21" s="2808">
        <f t="shared" si="167"/>
        <v>467.15916775261894</v>
      </c>
      <c r="C21" s="2808">
        <f t="shared" ref="C21" si="178">C22*(1+O21)</f>
        <v>346.01232557169084</v>
      </c>
      <c r="D21" s="2808">
        <f t="shared" ref="D21" si="179">C21</f>
        <v>346.01232557169084</v>
      </c>
      <c r="E21" s="2808">
        <f t="shared" ref="E21" si="180">E22*(1+P21)</f>
        <v>667.41617752122568</v>
      </c>
      <c r="F21" s="2808">
        <f t="shared" ref="F21" si="181">F22*(1+Q21)</f>
        <v>308.20314391798104</v>
      </c>
      <c r="G21" s="2801">
        <v>2019</v>
      </c>
      <c r="H21" s="2809">
        <v>1</v>
      </c>
      <c r="I21" s="2809">
        <v>0.6</v>
      </c>
      <c r="J21" s="2809">
        <v>0.37</v>
      </c>
      <c r="K21" s="2809">
        <v>0.63</v>
      </c>
      <c r="L21" s="2815">
        <v>1.1299999999999999</v>
      </c>
      <c r="M21" s="2805"/>
      <c r="N21" s="2810">
        <f t="shared" ref="N21" si="182">I21/100</f>
        <v>6.0000000000000001E-3</v>
      </c>
      <c r="O21" s="2806">
        <f t="shared" ref="O21" si="183">J21/100</f>
        <v>3.7000000000000002E-3</v>
      </c>
      <c r="P21" s="2806">
        <f t="shared" ref="P21" si="184">K21/100</f>
        <v>6.3E-3</v>
      </c>
      <c r="Q21" s="2806">
        <f t="shared" ref="Q21" si="185">L21/100</f>
        <v>1.1299999999999999E-2</v>
      </c>
      <c r="R21" s="2811"/>
      <c r="S21" s="2812">
        <f>B21/B22-1</f>
        <v>6.0000000000000053E-3</v>
      </c>
      <c r="T21" s="2813">
        <f>C21/C22-1</f>
        <v>3.7000000000000366E-3</v>
      </c>
      <c r="U21" s="2813">
        <f>E21/E22-1</f>
        <v>6.2999999999999723E-3</v>
      </c>
      <c r="V21" s="2813">
        <f>F21/F22-1</f>
        <v>1.1300000000000088E-2</v>
      </c>
      <c r="W21" s="2805"/>
      <c r="X21" s="2805">
        <f>ROUND(IF(项目基本情况!B8="出让",SUMPRODUCT(PRODUCT(1+N21:N$41)),SUMPRODUCT(PRODUCT(1+N21:N$40))),4)</f>
        <v>1.5189999999999999</v>
      </c>
      <c r="Y21" s="2805">
        <f>ROUND(IF(项目基本情况!B8="出让",SUMPRODUCT(PRODUCT(1+O21:O$41)),SUMPRODUCT(PRODUCT(1+O21:O$40))),4)</f>
        <v>1.3423</v>
      </c>
      <c r="Z21" s="2805">
        <f t="shared" ref="Z21" si="186">Y21</f>
        <v>1.3423</v>
      </c>
      <c r="AA21" s="2805">
        <f>ROUND(IF(项目基本情况!B8="出让",SUMPRODUCT(PRODUCT(1+P21:P$41)),SUMPRODUCT(PRODUCT(1+P21:P$40))),4)</f>
        <v>1.5782</v>
      </c>
      <c r="AB21" s="2805">
        <f>ROUND(IF(项目基本情况!B8="出让",SUMPRODUCT(PRODUCT(1+Q21:Q$41)),SUMPRODUCT(PRODUCT(1+Q21:Q$40))),4)</f>
        <v>1.3405</v>
      </c>
      <c r="AC21" s="2805"/>
      <c r="AD21" s="2806">
        <f>ROUND(AVERAGE(I21:I$41)/100,4)</f>
        <v>2.1600000000000001E-2</v>
      </c>
      <c r="AE21" s="2806">
        <f>ROUND(AVERAGE(J21:J$41)/100,4)</f>
        <v>1.5299999999999999E-2</v>
      </c>
      <c r="AF21" s="2806">
        <f t="shared" ref="AF21" si="187">AE21</f>
        <v>1.5299999999999999E-2</v>
      </c>
      <c r="AG21" s="2806">
        <f>ROUND(AVERAGE(K21:K$41)/100,4)</f>
        <v>2.3699999999999999E-2</v>
      </c>
      <c r="AH21" s="2806">
        <f>ROUND(AVERAGE(L21:L$41)/100,4)</f>
        <v>1.47E-2</v>
      </c>
    </row>
    <row r="22" spans="1:34" s="2814" customFormat="1">
      <c r="A22" s="2807" t="s">
        <v>2683</v>
      </c>
      <c r="B22" s="2818">
        <f t="shared" si="167"/>
        <v>464.37293017158942</v>
      </c>
      <c r="C22" s="2818">
        <f t="shared" ref="C22" si="188">C23*(1+O22)</f>
        <v>344.73679941385956</v>
      </c>
      <c r="D22" s="2818">
        <f t="shared" ref="D22" si="189">C22</f>
        <v>344.73679941385956</v>
      </c>
      <c r="E22" s="2818">
        <f t="shared" ref="E22" si="190">E23*(1+P22)</f>
        <v>663.2377795103107</v>
      </c>
      <c r="F22" s="2819">
        <f t="shared" ref="F22" si="191">F23*(1+Q22)</f>
        <v>304.75936311478398</v>
      </c>
      <c r="G22" s="3715">
        <v>2018</v>
      </c>
      <c r="H22" s="2816">
        <v>4</v>
      </c>
      <c r="I22" s="2816">
        <v>0.96</v>
      </c>
      <c r="J22" s="2816">
        <v>1.03</v>
      </c>
      <c r="K22" s="2816">
        <v>0.92</v>
      </c>
      <c r="L22" s="2817">
        <v>1.29</v>
      </c>
      <c r="M22" s="2805"/>
      <c r="N22" s="2810">
        <f t="shared" ref="N22" si="192">I22/100</f>
        <v>9.5999999999999992E-3</v>
      </c>
      <c r="O22" s="2806">
        <f t="shared" ref="O22" si="193">J22/100</f>
        <v>1.03E-2</v>
      </c>
      <c r="P22" s="2806">
        <f t="shared" ref="P22" si="194">K22/100</f>
        <v>9.1999999999999998E-3</v>
      </c>
      <c r="Q22" s="2806">
        <f t="shared" ref="Q22" si="195">L22/100</f>
        <v>1.29E-2</v>
      </c>
      <c r="R22" s="2811"/>
      <c r="S22" s="2820"/>
      <c r="T22" s="2821"/>
      <c r="U22" s="2821"/>
      <c r="V22" s="2821"/>
      <c r="W22" s="2805"/>
      <c r="X22" s="2805">
        <f>ROUND(SUMPRODUCT(PRODUCT(1+N22:N$40)),4)</f>
        <v>1.5099</v>
      </c>
      <c r="Y22" s="2805">
        <f>ROUND(SUMPRODUCT(PRODUCT(1+O22:O$40)),4)</f>
        <v>1.3372999999999999</v>
      </c>
      <c r="Z22" s="2805">
        <f t="shared" ref="Z22" si="196">Y22</f>
        <v>1.3372999999999999</v>
      </c>
      <c r="AA22" s="2805">
        <f>ROUND(SUMPRODUCT(PRODUCT(1+P22:P$40)),4)</f>
        <v>1.5683</v>
      </c>
      <c r="AB22" s="2805">
        <f>ROUND(SUMPRODUCT(PRODUCT(1+Q22:Q$40)),4)</f>
        <v>1.3255999999999999</v>
      </c>
      <c r="AC22" s="2805"/>
      <c r="AD22" s="2806">
        <f>ROUND(AVERAGE(I22:I$41)/100,4)</f>
        <v>2.24E-2</v>
      </c>
      <c r="AE22" s="2806">
        <f>ROUND(AVERAGE(J22:J$41)/100,4)</f>
        <v>1.5800000000000002E-2</v>
      </c>
      <c r="AF22" s="2806">
        <f t="shared" ref="AF22" si="197">AE22</f>
        <v>1.5800000000000002E-2</v>
      </c>
      <c r="AG22" s="2806">
        <f>ROUND(AVERAGE(K22:K$41)/100,4)</f>
        <v>2.4500000000000001E-2</v>
      </c>
      <c r="AH22" s="2806">
        <f>ROUND(AVERAGE(L22:L$41)/100,4)</f>
        <v>1.49E-2</v>
      </c>
    </row>
    <row r="23" spans="1:34" s="2814" customFormat="1" ht="14.4" customHeight="1">
      <c r="A23" s="2807" t="s">
        <v>2676</v>
      </c>
      <c r="B23" s="2808">
        <f t="shared" si="167"/>
        <v>459.95733971036987</v>
      </c>
      <c r="C23" s="2808">
        <f t="shared" ref="C23" si="198">C24*(1+O23)</f>
        <v>341.22221064422405</v>
      </c>
      <c r="D23" s="2808">
        <f t="shared" ref="D23" si="199">C23</f>
        <v>341.22221064422405</v>
      </c>
      <c r="E23" s="2808">
        <f t="shared" ref="E23" si="200">E24*(1+P23)</f>
        <v>657.19161663724799</v>
      </c>
      <c r="F23" s="2808">
        <f t="shared" ref="F23" si="201">F24*(1+Q23)</f>
        <v>300.87803644464805</v>
      </c>
      <c r="G23" s="3715"/>
      <c r="H23" s="2809">
        <v>3</v>
      </c>
      <c r="I23" s="2809">
        <v>1.51</v>
      </c>
      <c r="J23" s="2809">
        <v>1.41</v>
      </c>
      <c r="K23" s="2809">
        <v>1.52</v>
      </c>
      <c r="L23" s="2815">
        <v>1.74</v>
      </c>
      <c r="M23" s="2805"/>
      <c r="N23" s="2810">
        <f t="shared" ref="N23" si="202">I23/100</f>
        <v>1.5100000000000001E-2</v>
      </c>
      <c r="O23" s="2806">
        <f t="shared" ref="O23" si="203">J23/100</f>
        <v>1.41E-2</v>
      </c>
      <c r="P23" s="2806">
        <f t="shared" ref="P23" si="204">K23/100</f>
        <v>1.52E-2</v>
      </c>
      <c r="Q23" s="2806">
        <f t="shared" ref="Q23" si="205">L23/100</f>
        <v>1.7399999999999999E-2</v>
      </c>
      <c r="R23" s="2811"/>
      <c r="S23" s="2810"/>
      <c r="T23" s="2806"/>
      <c r="U23" s="2806"/>
      <c r="V23" s="2806"/>
      <c r="W23" s="2805"/>
      <c r="X23" s="2805">
        <f>ROUND(SUMPRODUCT(PRODUCT(1+N23:N$40)),4)</f>
        <v>1.4956</v>
      </c>
      <c r="Y23" s="2805">
        <f>ROUND(SUMPRODUCT(PRODUCT(1+O23:O$40)),4)</f>
        <v>1.3237000000000001</v>
      </c>
      <c r="Z23" s="2805">
        <f t="shared" ref="Z23" si="206">Y23</f>
        <v>1.3237000000000001</v>
      </c>
      <c r="AA23" s="2805">
        <f>ROUND(SUMPRODUCT(PRODUCT(1+P23:P$40)),4)</f>
        <v>1.554</v>
      </c>
      <c r="AB23" s="2805">
        <f>ROUND(SUMPRODUCT(PRODUCT(1+Q23:Q$40)),4)</f>
        <v>1.3087</v>
      </c>
      <c r="AC23" s="2805"/>
      <c r="AD23" s="2806">
        <f>ROUND(AVERAGE(I23:I$41)/100,4)</f>
        <v>2.3099999999999999E-2</v>
      </c>
      <c r="AE23" s="2806">
        <f>ROUND(AVERAGE(J23:J$41)/100,4)</f>
        <v>1.61E-2</v>
      </c>
      <c r="AF23" s="2806">
        <f t="shared" ref="AF23" si="207">AE23</f>
        <v>1.61E-2</v>
      </c>
      <c r="AG23" s="2806">
        <f>ROUND(AVERAGE(K23:K$41)/100,4)</f>
        <v>2.53E-2</v>
      </c>
      <c r="AH23" s="2806">
        <f>ROUND(AVERAGE(L23:L$41)/100,4)</f>
        <v>1.4999999999999999E-2</v>
      </c>
    </row>
    <row r="24" spans="1:34" s="2814" customFormat="1" ht="14.4" customHeight="1">
      <c r="A24" s="2807" t="s">
        <v>2677</v>
      </c>
      <c r="B24" s="2808">
        <f t="shared" si="167"/>
        <v>453.11529869999993</v>
      </c>
      <c r="C24" s="2808">
        <f t="shared" ref="C24" si="208">C25*(1+O24)</f>
        <v>336.47787264000004</v>
      </c>
      <c r="D24" s="2808">
        <f t="shared" ref="D24" si="209">C24</f>
        <v>336.47787264000004</v>
      </c>
      <c r="E24" s="2808">
        <f t="shared" ref="E24" si="210">E25*(1+P24)</f>
        <v>647.35186823999993</v>
      </c>
      <c r="F24" s="2808">
        <f t="shared" ref="F24" si="211">F25*(1+Q24)</f>
        <v>295.73229452000004</v>
      </c>
      <c r="G24" s="3715"/>
      <c r="H24" s="2822">
        <v>2</v>
      </c>
      <c r="I24" s="2822">
        <v>1.49</v>
      </c>
      <c r="J24" s="2822">
        <v>0.96</v>
      </c>
      <c r="K24" s="2822">
        <v>1.58</v>
      </c>
      <c r="L24" s="2823">
        <v>2.44</v>
      </c>
      <c r="M24" s="2805"/>
      <c r="N24" s="2810">
        <f t="shared" ref="N24" si="212">I24/100</f>
        <v>1.49E-2</v>
      </c>
      <c r="O24" s="2806">
        <f t="shared" ref="O24" si="213">J24/100</f>
        <v>9.5999999999999992E-3</v>
      </c>
      <c r="P24" s="2806">
        <f t="shared" ref="P24" si="214">K24/100</f>
        <v>1.5800000000000002E-2</v>
      </c>
      <c r="Q24" s="2806">
        <f t="shared" ref="Q24" si="215">L24/100</f>
        <v>2.4399999999999998E-2</v>
      </c>
      <c r="R24" s="2811"/>
      <c r="S24" s="2810"/>
      <c r="T24" s="2806"/>
      <c r="U24" s="2806"/>
      <c r="V24" s="2806"/>
      <c r="W24" s="2805"/>
      <c r="X24" s="2805">
        <f>ROUND(SUMPRODUCT(PRODUCT(1+N24:N$40)),4)</f>
        <v>1.4733000000000001</v>
      </c>
      <c r="Y24" s="2805">
        <f>ROUND(SUMPRODUCT(PRODUCT(1+O24:O$40)),4)</f>
        <v>1.3052999999999999</v>
      </c>
      <c r="Z24" s="2805">
        <f t="shared" ref="Z24" si="216">Y24</f>
        <v>1.3052999999999999</v>
      </c>
      <c r="AA24" s="2805">
        <f>ROUND(SUMPRODUCT(PRODUCT(1+P24:P$40)),4)</f>
        <v>1.5306999999999999</v>
      </c>
      <c r="AB24" s="2805">
        <f>ROUND(SUMPRODUCT(PRODUCT(1+Q24:Q$40)),4)</f>
        <v>1.2863</v>
      </c>
      <c r="AC24" s="2805"/>
      <c r="AD24" s="2806">
        <f>ROUND(AVERAGE(I24:I$41)/100,4)</f>
        <v>2.35E-2</v>
      </c>
      <c r="AE24" s="2806">
        <f>ROUND(AVERAGE(J24:J$41)/100,4)</f>
        <v>1.6199999999999999E-2</v>
      </c>
      <c r="AF24" s="2806">
        <f t="shared" ref="AF24" si="217">AE24</f>
        <v>1.6199999999999999E-2</v>
      </c>
      <c r="AG24" s="2806">
        <f>ROUND(AVERAGE(K24:K$41)/100,4)</f>
        <v>2.5899999999999999E-2</v>
      </c>
      <c r="AH24" s="2806">
        <f>ROUND(AVERAGE(L24:L$41)/100,4)</f>
        <v>1.49E-2</v>
      </c>
    </row>
    <row r="25" spans="1:34" s="2814" customFormat="1" ht="15" customHeight="1" thickBot="1">
      <c r="A25" s="2807" t="s">
        <v>2673</v>
      </c>
      <c r="B25" s="2808">
        <f t="shared" si="167"/>
        <v>446.46299999999997</v>
      </c>
      <c r="C25" s="2808">
        <f t="shared" ref="C25" si="218">C26*(1+O25)</f>
        <v>333.27840000000003</v>
      </c>
      <c r="D25" s="2808">
        <f t="shared" ref="D25:D30" si="219">C25</f>
        <v>333.27840000000003</v>
      </c>
      <c r="E25" s="2808">
        <f t="shared" ref="E25" si="220">E26*(1+P25)</f>
        <v>637.28279999999995</v>
      </c>
      <c r="F25" s="2808">
        <f t="shared" ref="F25" si="221">F26*(1+Q25)</f>
        <v>288.68830000000003</v>
      </c>
      <c r="G25" s="3716"/>
      <c r="H25" s="2809">
        <v>1</v>
      </c>
      <c r="I25" s="2809">
        <v>1.7</v>
      </c>
      <c r="J25" s="2809">
        <v>1.92</v>
      </c>
      <c r="K25" s="2809">
        <v>1.64</v>
      </c>
      <c r="L25" s="2815">
        <v>2.0099999999999998</v>
      </c>
      <c r="M25" s="2805"/>
      <c r="N25" s="2810">
        <f t="shared" ref="N25:N30" si="222">I25/100</f>
        <v>1.7000000000000001E-2</v>
      </c>
      <c r="O25" s="2806">
        <f t="shared" ref="O25" si="223">J25/100</f>
        <v>1.9199999999999998E-2</v>
      </c>
      <c r="P25" s="2806">
        <f t="shared" ref="P25" si="224">K25/100</f>
        <v>1.6399999999999998E-2</v>
      </c>
      <c r="Q25" s="2806">
        <f t="shared" ref="Q25" si="225">L25/100</f>
        <v>2.0099999999999996E-2</v>
      </c>
      <c r="R25" s="2811"/>
      <c r="S25" s="2812">
        <f>B25/B26-1</f>
        <v>1.6999999999999904E-2</v>
      </c>
      <c r="T25" s="2813">
        <f>C25/C26-1</f>
        <v>1.9200000000000106E-2</v>
      </c>
      <c r="U25" s="2813">
        <f>E25/E26-1</f>
        <v>1.639999999999997E-2</v>
      </c>
      <c r="V25" s="2813">
        <f>F25/F26-1</f>
        <v>2.0100000000000007E-2</v>
      </c>
      <c r="W25" s="2805"/>
      <c r="X25" s="2805">
        <f>ROUND(SUMPRODUCT(PRODUCT(1+N25:N$40)),4)</f>
        <v>1.4517</v>
      </c>
      <c r="Y25" s="2805">
        <f>ROUND(SUMPRODUCT(PRODUCT(1+O25:O$40)),4)</f>
        <v>1.2928999999999999</v>
      </c>
      <c r="Z25" s="2805">
        <f t="shared" ref="Z25" si="226">Y25</f>
        <v>1.2928999999999999</v>
      </c>
      <c r="AA25" s="2805">
        <f>ROUND(SUMPRODUCT(PRODUCT(1+P25:P$40)),4)</f>
        <v>1.5068999999999999</v>
      </c>
      <c r="AB25" s="2805">
        <f>ROUND(SUMPRODUCT(PRODUCT(1+Q25:Q$40)),4)</f>
        <v>1.2557</v>
      </c>
      <c r="AC25" s="2805"/>
      <c r="AD25" s="2806">
        <f>ROUND(AVERAGE(I25:I$41)/100,4)</f>
        <v>2.4E-2</v>
      </c>
      <c r="AE25" s="2806">
        <f>ROUND(AVERAGE(J25:J$41)/100,4)</f>
        <v>1.66E-2</v>
      </c>
      <c r="AF25" s="2806">
        <f t="shared" ref="AF25" si="227">AE25</f>
        <v>1.66E-2</v>
      </c>
      <c r="AG25" s="2806">
        <f>ROUND(AVERAGE(K25:K$41)/100,4)</f>
        <v>2.6499999999999999E-2</v>
      </c>
      <c r="AH25" s="2806">
        <f>ROUND(AVERAGE(L25:L$41)/100,4)</f>
        <v>1.43E-2</v>
      </c>
    </row>
    <row r="26" spans="1:34">
      <c r="A26" s="2807" t="s">
        <v>2666</v>
      </c>
      <c r="B26" s="2824">
        <v>439</v>
      </c>
      <c r="C26" s="2824">
        <v>327</v>
      </c>
      <c r="D26" s="2824">
        <f t="shared" si="219"/>
        <v>327</v>
      </c>
      <c r="E26" s="2824">
        <v>627</v>
      </c>
      <c r="F26" s="2825">
        <v>283</v>
      </c>
      <c r="G26" s="3714">
        <v>2017</v>
      </c>
      <c r="H26" s="2816">
        <v>4</v>
      </c>
      <c r="I26" s="2816">
        <v>1.71</v>
      </c>
      <c r="J26" s="2816">
        <v>1.78</v>
      </c>
      <c r="K26" s="2816">
        <v>1.71</v>
      </c>
      <c r="L26" s="2817">
        <v>1.43</v>
      </c>
      <c r="N26" s="2826">
        <f t="shared" si="222"/>
        <v>1.7100000000000001E-2</v>
      </c>
      <c r="O26" s="2827">
        <f t="shared" ref="O26" si="228">J26/100</f>
        <v>1.78E-2</v>
      </c>
      <c r="P26" s="2827">
        <f t="shared" ref="P26" si="229">K26/100</f>
        <v>1.7100000000000001E-2</v>
      </c>
      <c r="Q26" s="2827">
        <f t="shared" ref="Q26" si="230">L26/100</f>
        <v>1.43E-2</v>
      </c>
      <c r="R26" s="2811"/>
      <c r="S26" s="2820"/>
      <c r="T26" s="2821"/>
      <c r="U26" s="2821"/>
      <c r="V26" s="2821"/>
      <c r="X26" s="2805">
        <f>ROUND(SUMPRODUCT(PRODUCT(1+N26:N$40)),4)</f>
        <v>1.4274</v>
      </c>
      <c r="Y26" s="2805">
        <f>ROUND(SUMPRODUCT(PRODUCT(1+O26:O$40)),4)</f>
        <v>1.2685</v>
      </c>
      <c r="Z26" s="2805">
        <f t="shared" si="0"/>
        <v>1.2685</v>
      </c>
      <c r="AA26" s="2805">
        <f>ROUND(SUMPRODUCT(PRODUCT(1+P26:P$40)),4)</f>
        <v>1.4825999999999999</v>
      </c>
      <c r="AB26" s="2805">
        <f>ROUND(SUMPRODUCT(PRODUCT(1+Q26:Q$40)),4)</f>
        <v>1.2309000000000001</v>
      </c>
      <c r="AD26" s="2806">
        <f>ROUND(AVERAGE(I26:I$41)/100,4)</f>
        <v>2.4500000000000001E-2</v>
      </c>
      <c r="AE26" s="2806">
        <f>ROUND(AVERAGE(J26:J$41)/100,4)</f>
        <v>1.6500000000000001E-2</v>
      </c>
      <c r="AF26" s="2806">
        <f t="shared" si="1"/>
        <v>1.6500000000000001E-2</v>
      </c>
      <c r="AG26" s="2806">
        <f>ROUND(AVERAGE(K26:K$41)/100,4)</f>
        <v>2.7099999999999999E-2</v>
      </c>
      <c r="AH26" s="2806">
        <f>ROUND(AVERAGE(L26:L$41)/100,4)</f>
        <v>1.3899999999999999E-2</v>
      </c>
    </row>
    <row r="27" spans="1:34" s="2814" customFormat="1" ht="14.4" customHeight="1">
      <c r="A27" s="2807" t="s">
        <v>2668</v>
      </c>
      <c r="B27" s="2808">
        <f t="shared" ref="B27:C29" si="231">B28*(1+N27)</f>
        <v>431.80730811680002</v>
      </c>
      <c r="C27" s="2808">
        <f t="shared" si="231"/>
        <v>320.57880516480003</v>
      </c>
      <c r="D27" s="2808">
        <f t="shared" si="219"/>
        <v>320.57880516480003</v>
      </c>
      <c r="E27" s="2808">
        <f t="shared" ref="E27:F29" si="232">E28*(1+P27)</f>
        <v>615.96110553196797</v>
      </c>
      <c r="F27" s="2808">
        <f t="shared" si="232"/>
        <v>279.46777300108801</v>
      </c>
      <c r="G27" s="3715"/>
      <c r="H27" s="2809">
        <v>3</v>
      </c>
      <c r="I27" s="2809">
        <v>2.98</v>
      </c>
      <c r="J27" s="2809">
        <v>2.11</v>
      </c>
      <c r="K27" s="2809">
        <v>3.24</v>
      </c>
      <c r="L27" s="2815">
        <v>1.72</v>
      </c>
      <c r="M27" s="2805"/>
      <c r="N27" s="2810">
        <f t="shared" si="222"/>
        <v>2.98E-2</v>
      </c>
      <c r="O27" s="2828">
        <f t="shared" ref="O27:O28" si="233">J27/100</f>
        <v>2.1099999999999997E-2</v>
      </c>
      <c r="P27" s="2828">
        <f t="shared" ref="P27:P28" si="234">K27/100</f>
        <v>3.2400000000000005E-2</v>
      </c>
      <c r="Q27" s="2828">
        <f t="shared" ref="Q27:Q28" si="235">L27/100</f>
        <v>1.72E-2</v>
      </c>
      <c r="R27" s="2811"/>
      <c r="S27" s="2810"/>
      <c r="T27" s="2806"/>
      <c r="U27" s="2806"/>
      <c r="V27" s="2806"/>
      <c r="W27" s="2805"/>
      <c r="X27" s="2805">
        <f>ROUND(SUMPRODUCT(PRODUCT(1+N27:N$40)),4)</f>
        <v>1.4034</v>
      </c>
      <c r="Y27" s="2805">
        <f>ROUND(SUMPRODUCT(PRODUCT(1+O27:O$40)),4)</f>
        <v>1.2463</v>
      </c>
      <c r="Z27" s="2805">
        <f t="shared" si="0"/>
        <v>1.2463</v>
      </c>
      <c r="AA27" s="2805">
        <f>ROUND(SUMPRODUCT(PRODUCT(1+P27:P$40)),4)</f>
        <v>1.4577</v>
      </c>
      <c r="AB27" s="2805">
        <f>ROUND(SUMPRODUCT(PRODUCT(1+Q27:Q$40)),4)</f>
        <v>1.2136</v>
      </c>
      <c r="AC27" s="2805"/>
      <c r="AD27" s="2806">
        <f>ROUND(AVERAGE(I27:I$41)/100,4)</f>
        <v>2.4899999999999999E-2</v>
      </c>
      <c r="AE27" s="2806">
        <f>ROUND(AVERAGE(J27:J$41)/100,4)</f>
        <v>1.6400000000000001E-2</v>
      </c>
      <c r="AF27" s="2806">
        <f t="shared" si="1"/>
        <v>1.6400000000000001E-2</v>
      </c>
      <c r="AG27" s="2806">
        <f>ROUND(AVERAGE(K27:K$41)/100,4)</f>
        <v>2.7799999999999998E-2</v>
      </c>
      <c r="AH27" s="2806">
        <f>ROUND(AVERAGE(L27:L$41)/100,4)</f>
        <v>1.3899999999999999E-2</v>
      </c>
    </row>
    <row r="28" spans="1:34" s="2783" customFormat="1" ht="14.4" customHeight="1">
      <c r="A28" s="2807" t="s">
        <v>2298</v>
      </c>
      <c r="B28" s="2808">
        <f t="shared" si="231"/>
        <v>419.31181600000002</v>
      </c>
      <c r="C28" s="2808">
        <f t="shared" si="231"/>
        <v>313.95436800000004</v>
      </c>
      <c r="D28" s="2808">
        <f t="shared" si="219"/>
        <v>313.95436800000004</v>
      </c>
      <c r="E28" s="2808">
        <f t="shared" si="232"/>
        <v>596.63028431999999</v>
      </c>
      <c r="F28" s="2808">
        <f t="shared" si="232"/>
        <v>274.74220703999998</v>
      </c>
      <c r="G28" s="3715"/>
      <c r="H28" s="2822">
        <v>2</v>
      </c>
      <c r="I28" s="2822">
        <v>3.4</v>
      </c>
      <c r="J28" s="2822">
        <v>2</v>
      </c>
      <c r="K28" s="2822">
        <v>3.82</v>
      </c>
      <c r="L28" s="2823">
        <v>1.68</v>
      </c>
      <c r="N28" s="2810">
        <f t="shared" si="222"/>
        <v>3.4000000000000002E-2</v>
      </c>
      <c r="O28" s="2828">
        <f t="shared" si="233"/>
        <v>0.02</v>
      </c>
      <c r="P28" s="2828">
        <f t="shared" si="234"/>
        <v>3.8199999999999998E-2</v>
      </c>
      <c r="Q28" s="2828">
        <f t="shared" si="235"/>
        <v>1.6799999999999999E-2</v>
      </c>
      <c r="S28" s="2810"/>
      <c r="T28" s="2806"/>
      <c r="U28" s="2806"/>
      <c r="V28" s="2806"/>
      <c r="X28" s="2805">
        <f>ROUND(SUMPRODUCT(PRODUCT(1+N28:N$40)),4)</f>
        <v>1.3628</v>
      </c>
      <c r="Y28" s="2805">
        <f>ROUND(SUMPRODUCT(PRODUCT(1+O28:O$40)),4)</f>
        <v>1.2205999999999999</v>
      </c>
      <c r="Z28" s="2805">
        <f t="shared" si="0"/>
        <v>1.2205999999999999</v>
      </c>
      <c r="AA28" s="2805">
        <f>ROUND(SUMPRODUCT(PRODUCT(1+P28:P$40)),4)</f>
        <v>1.4118999999999999</v>
      </c>
      <c r="AB28" s="2805">
        <f>ROUND(SUMPRODUCT(PRODUCT(1+Q28:Q$40)),4)</f>
        <v>1.1930000000000001</v>
      </c>
      <c r="AD28" s="2806">
        <f>ROUND(AVERAGE(I28:I$41)/100,4)</f>
        <v>2.46E-2</v>
      </c>
      <c r="AE28" s="2806">
        <f>ROUND(AVERAGE(J28:J$41)/100,4)</f>
        <v>1.6E-2</v>
      </c>
      <c r="AF28" s="2806">
        <f t="shared" si="1"/>
        <v>1.6E-2</v>
      </c>
      <c r="AG28" s="2806">
        <f>ROUND(AVERAGE(K28:K$41)/100,4)</f>
        <v>2.75E-2</v>
      </c>
      <c r="AH28" s="2806">
        <f>ROUND(AVERAGE(L28:L$41)/100,4)</f>
        <v>1.37E-2</v>
      </c>
    </row>
    <row r="29" spans="1:34" s="2814" customFormat="1" ht="15" customHeight="1" thickBot="1">
      <c r="A29" s="2807" t="s">
        <v>2299</v>
      </c>
      <c r="B29" s="2808">
        <f t="shared" si="231"/>
        <v>405.524</v>
      </c>
      <c r="C29" s="2808">
        <f t="shared" si="231"/>
        <v>307.79840000000002</v>
      </c>
      <c r="D29" s="2808">
        <f t="shared" si="219"/>
        <v>307.79840000000002</v>
      </c>
      <c r="E29" s="2808">
        <f t="shared" si="232"/>
        <v>574.67759999999998</v>
      </c>
      <c r="F29" s="2808">
        <f t="shared" si="232"/>
        <v>270.20280000000002</v>
      </c>
      <c r="G29" s="3716"/>
      <c r="H29" s="2809">
        <v>1</v>
      </c>
      <c r="I29" s="2809">
        <v>3.45</v>
      </c>
      <c r="J29" s="2809">
        <v>1.92</v>
      </c>
      <c r="K29" s="2809">
        <v>3.92</v>
      </c>
      <c r="L29" s="2815">
        <v>1.58</v>
      </c>
      <c r="M29" s="2805"/>
      <c r="N29" s="2812">
        <f t="shared" si="222"/>
        <v>3.4500000000000003E-2</v>
      </c>
      <c r="O29" s="2813">
        <f t="shared" ref="O29" si="236">J29/100</f>
        <v>1.9199999999999998E-2</v>
      </c>
      <c r="P29" s="2813">
        <f t="shared" ref="P29" si="237">K29/100</f>
        <v>3.9199999999999999E-2</v>
      </c>
      <c r="Q29" s="2813">
        <f t="shared" ref="Q29" si="238">L29/100</f>
        <v>1.5800000000000002E-2</v>
      </c>
      <c r="R29" s="2811"/>
      <c r="S29" s="2812">
        <f>B29/B30-1</f>
        <v>3.4499999999999975E-2</v>
      </c>
      <c r="T29" s="2813">
        <f>C29/C30-1</f>
        <v>1.9200000000000106E-2</v>
      </c>
      <c r="U29" s="2813">
        <f>E29/E30-1</f>
        <v>3.9199999999999902E-2</v>
      </c>
      <c r="V29" s="2813">
        <f>F29/F30-1</f>
        <v>1.5800000000000036E-2</v>
      </c>
      <c r="W29" s="2805"/>
      <c r="X29" s="2805">
        <f>ROUND(SUMPRODUCT(PRODUCT(1+N29:N$40)),4)</f>
        <v>1.3180000000000001</v>
      </c>
      <c r="Y29" s="2805">
        <f>ROUND(SUMPRODUCT(PRODUCT(1+O29:O$40)),4)</f>
        <v>1.1966000000000001</v>
      </c>
      <c r="Z29" s="2805">
        <f t="shared" si="0"/>
        <v>1.1966000000000001</v>
      </c>
      <c r="AA29" s="2805">
        <f>ROUND(SUMPRODUCT(PRODUCT(1+P29:P$40)),4)</f>
        <v>1.36</v>
      </c>
      <c r="AB29" s="2805">
        <f>ROUND(SUMPRODUCT(PRODUCT(1+Q29:Q$40)),4)</f>
        <v>1.1733</v>
      </c>
      <c r="AC29" s="2805"/>
      <c r="AD29" s="2806">
        <f>ROUND(AVERAGE(I29:I$41)/100,4)</f>
        <v>2.3900000000000001E-2</v>
      </c>
      <c r="AE29" s="2806">
        <f>ROUND(AVERAGE(J29:J$41)/100,4)</f>
        <v>1.5699999999999999E-2</v>
      </c>
      <c r="AF29" s="2806">
        <f t="shared" si="1"/>
        <v>1.5699999999999999E-2</v>
      </c>
      <c r="AG29" s="2806">
        <f>ROUND(AVERAGE(K29:K$41)/100,4)</f>
        <v>2.6599999999999999E-2</v>
      </c>
      <c r="AH29" s="2806">
        <f>ROUND(AVERAGE(L29:L$41)/100,4)</f>
        <v>1.34E-2</v>
      </c>
    </row>
    <row r="30" spans="1:34">
      <c r="A30" s="2807" t="s">
        <v>949</v>
      </c>
      <c r="B30" s="2829">
        <v>392</v>
      </c>
      <c r="C30" s="2829">
        <v>302</v>
      </c>
      <c r="D30" s="2829">
        <f t="shared" si="219"/>
        <v>302</v>
      </c>
      <c r="E30" s="2829">
        <v>553</v>
      </c>
      <c r="F30" s="2830">
        <v>266</v>
      </c>
      <c r="G30" s="3714">
        <v>2016</v>
      </c>
      <c r="H30" s="2816">
        <v>4</v>
      </c>
      <c r="I30" s="2816">
        <v>4.5599999999999996</v>
      </c>
      <c r="J30" s="2816">
        <v>2.15</v>
      </c>
      <c r="K30" s="2816">
        <v>5.32</v>
      </c>
      <c r="L30" s="2817">
        <v>1.57</v>
      </c>
      <c r="N30" s="2810">
        <f t="shared" si="222"/>
        <v>4.5599999999999995E-2</v>
      </c>
      <c r="O30" s="2806">
        <f t="shared" ref="O30:Q45" si="239">J30/100</f>
        <v>2.1499999999999998E-2</v>
      </c>
      <c r="P30" s="2806">
        <f t="shared" si="239"/>
        <v>5.3200000000000004E-2</v>
      </c>
      <c r="Q30" s="2806">
        <f t="shared" si="239"/>
        <v>1.5700000000000002E-2</v>
      </c>
      <c r="R30" s="2811"/>
      <c r="S30" s="2820"/>
      <c r="T30" s="2821"/>
      <c r="U30" s="2821"/>
      <c r="V30" s="2821"/>
      <c r="X30" s="2805">
        <f>ROUND(SUMPRODUCT(PRODUCT(1+N30:N$40)),4)</f>
        <v>1.274</v>
      </c>
      <c r="Y30" s="2805">
        <f>ROUND(SUMPRODUCT(PRODUCT(1+O30:O$40)),4)</f>
        <v>1.1740999999999999</v>
      </c>
      <c r="Z30" s="2805">
        <f t="shared" si="0"/>
        <v>1.1740999999999999</v>
      </c>
      <c r="AA30" s="2805">
        <f>ROUND(SUMPRODUCT(PRODUCT(1+P30:P$40)),4)</f>
        <v>1.3087</v>
      </c>
      <c r="AB30" s="2805">
        <f>ROUND(SUMPRODUCT(PRODUCT(1+Q30:Q$40)),4)</f>
        <v>1.1551</v>
      </c>
      <c r="AD30" s="2806">
        <f>ROUND(AVERAGE(I30:I$41)/100,4)</f>
        <v>2.3E-2</v>
      </c>
      <c r="AE30" s="2806">
        <f>ROUND(AVERAGE(J30:J$41)/100,4)</f>
        <v>1.55E-2</v>
      </c>
      <c r="AF30" s="2806">
        <f t="shared" si="1"/>
        <v>1.55E-2</v>
      </c>
      <c r="AG30" s="2806">
        <f>ROUND(AVERAGE(K30:K$41)/100,4)</f>
        <v>2.5600000000000001E-2</v>
      </c>
      <c r="AH30" s="2806">
        <f>ROUND(AVERAGE(L30:L$41)/100,4)</f>
        <v>1.32E-2</v>
      </c>
    </row>
    <row r="31" spans="1:34">
      <c r="A31" s="2807" t="s">
        <v>948</v>
      </c>
      <c r="B31" s="2808">
        <f t="shared" ref="B31:C33" si="240">B30/(1+N30)</f>
        <v>374.90436113236416</v>
      </c>
      <c r="C31" s="2808">
        <f t="shared" si="240"/>
        <v>295.64366128242779</v>
      </c>
      <c r="D31" s="2808">
        <f t="shared" ref="D31:D90" si="241">C31</f>
        <v>295.64366128242779</v>
      </c>
      <c r="E31" s="2808">
        <f t="shared" ref="E31:F33" si="242">E30/(1+P30)</f>
        <v>525.06646410938095</v>
      </c>
      <c r="F31" s="2808">
        <f t="shared" si="242"/>
        <v>261.88835286009646</v>
      </c>
      <c r="G31" s="3715"/>
      <c r="H31" s="2809">
        <v>3</v>
      </c>
      <c r="I31" s="2809">
        <v>4.12</v>
      </c>
      <c r="J31" s="2809">
        <v>2</v>
      </c>
      <c r="K31" s="2809">
        <v>4.79</v>
      </c>
      <c r="L31" s="2815">
        <v>1.97</v>
      </c>
      <c r="N31" s="2810">
        <f t="shared" ref="N31:Q65" si="243">I31/100</f>
        <v>4.1200000000000001E-2</v>
      </c>
      <c r="O31" s="2806">
        <f t="shared" si="239"/>
        <v>0.02</v>
      </c>
      <c r="P31" s="2806">
        <f t="shared" si="239"/>
        <v>4.7899999999999998E-2</v>
      </c>
      <c r="Q31" s="2806">
        <f t="shared" si="239"/>
        <v>1.9699999999999999E-2</v>
      </c>
      <c r="R31" s="2811"/>
      <c r="S31" s="2810"/>
      <c r="T31" s="2806"/>
      <c r="U31" s="2806"/>
      <c r="V31" s="2806"/>
      <c r="X31" s="2805">
        <f>ROUND(SUMPRODUCT(PRODUCT(1+N31:N$40)),4)</f>
        <v>1.2184999999999999</v>
      </c>
      <c r="Y31" s="2805">
        <f>ROUND(SUMPRODUCT(PRODUCT(1+O31:O$40)),4)</f>
        <v>1.1494</v>
      </c>
      <c r="Z31" s="2805">
        <f t="shared" si="0"/>
        <v>1.1494</v>
      </c>
      <c r="AA31" s="2805">
        <f>ROUND(SUMPRODUCT(PRODUCT(1+P31:P$40)),4)</f>
        <v>1.2425999999999999</v>
      </c>
      <c r="AB31" s="2805">
        <f>ROUND(SUMPRODUCT(PRODUCT(1+Q31:Q$40)),4)</f>
        <v>1.1372</v>
      </c>
      <c r="AD31" s="2806">
        <f>ROUND(AVERAGE(I31:I$41)/100,4)</f>
        <v>2.0899999999999998E-2</v>
      </c>
      <c r="AE31" s="2806">
        <f>ROUND(AVERAGE(J31:J$41)/100,4)</f>
        <v>1.49E-2</v>
      </c>
      <c r="AF31" s="2806">
        <f t="shared" si="1"/>
        <v>1.49E-2</v>
      </c>
      <c r="AG31" s="2806">
        <f>ROUND(AVERAGE(K31:K$41)/100,4)</f>
        <v>2.3099999999999999E-2</v>
      </c>
      <c r="AH31" s="2806">
        <f>ROUND(AVERAGE(L31:L$41)/100,4)</f>
        <v>1.2999999999999999E-2</v>
      </c>
    </row>
    <row r="32" spans="1:34">
      <c r="A32" s="2807" t="s">
        <v>938</v>
      </c>
      <c r="B32" s="2808">
        <f t="shared" si="240"/>
        <v>360.06949782209392</v>
      </c>
      <c r="C32" s="2808">
        <f t="shared" si="240"/>
        <v>289.84672674747821</v>
      </c>
      <c r="D32" s="2808">
        <f t="shared" si="241"/>
        <v>289.84672674747821</v>
      </c>
      <c r="E32" s="2808">
        <f t="shared" si="242"/>
        <v>501.06543001181495</v>
      </c>
      <c r="F32" s="2808">
        <f t="shared" si="242"/>
        <v>256.82882500744967</v>
      </c>
      <c r="G32" s="3715"/>
      <c r="H32" s="2822">
        <v>2</v>
      </c>
      <c r="I32" s="2822">
        <v>3.85</v>
      </c>
      <c r="J32" s="2822">
        <v>1.95</v>
      </c>
      <c r="K32" s="2822">
        <v>4.4800000000000004</v>
      </c>
      <c r="L32" s="2823">
        <v>1.41</v>
      </c>
      <c r="N32" s="2810">
        <f t="shared" si="243"/>
        <v>3.85E-2</v>
      </c>
      <c r="O32" s="2806">
        <f t="shared" si="239"/>
        <v>1.95E-2</v>
      </c>
      <c r="P32" s="2806">
        <f t="shared" si="239"/>
        <v>4.4800000000000006E-2</v>
      </c>
      <c r="Q32" s="2806">
        <f t="shared" si="239"/>
        <v>1.41E-2</v>
      </c>
      <c r="R32" s="2811"/>
      <c r="S32" s="2810"/>
      <c r="T32" s="2806"/>
      <c r="U32" s="2806"/>
      <c r="V32" s="2806"/>
      <c r="X32" s="2805">
        <f>ROUND(SUMPRODUCT(PRODUCT(1+N32:N$40)),4)</f>
        <v>1.1702999999999999</v>
      </c>
      <c r="Y32" s="2805">
        <f>ROUND(SUMPRODUCT(PRODUCT(1+O32:O$40)),4)</f>
        <v>1.1269</v>
      </c>
      <c r="Z32" s="2805">
        <f t="shared" si="0"/>
        <v>1.1269</v>
      </c>
      <c r="AA32" s="2805">
        <f>ROUND(SUMPRODUCT(PRODUCT(1+P32:P$40)),4)</f>
        <v>1.1858</v>
      </c>
      <c r="AB32" s="2805">
        <f>ROUND(SUMPRODUCT(PRODUCT(1+Q32:Q$40)),4)</f>
        <v>1.1152</v>
      </c>
      <c r="AD32" s="2806">
        <f>ROUND(AVERAGE(I32:I$41)/100,4)</f>
        <v>1.89E-2</v>
      </c>
      <c r="AE32" s="2806">
        <f>ROUND(AVERAGE(J32:J$41)/100,4)</f>
        <v>1.44E-2</v>
      </c>
      <c r="AF32" s="2806">
        <f t="shared" si="1"/>
        <v>1.44E-2</v>
      </c>
      <c r="AG32" s="2806">
        <f>ROUND(AVERAGE(K32:K$41)/100,4)</f>
        <v>2.06E-2</v>
      </c>
      <c r="AH32" s="2806">
        <f>ROUND(AVERAGE(L32:L$41)/100,4)</f>
        <v>1.23E-2</v>
      </c>
    </row>
    <row r="33" spans="1:34" ht="13.8" thickBot="1">
      <c r="A33" s="2807" t="s">
        <v>947</v>
      </c>
      <c r="B33" s="2808">
        <f t="shared" si="240"/>
        <v>346.720748986128</v>
      </c>
      <c r="C33" s="2808">
        <f t="shared" si="240"/>
        <v>284.30282172386285</v>
      </c>
      <c r="D33" s="2808">
        <f t="shared" si="241"/>
        <v>284.30282172386285</v>
      </c>
      <c r="E33" s="2808">
        <f t="shared" si="242"/>
        <v>479.58023546306947</v>
      </c>
      <c r="F33" s="2808">
        <f t="shared" si="242"/>
        <v>253.25788877571213</v>
      </c>
      <c r="G33" s="3718"/>
      <c r="H33" s="2809">
        <v>1</v>
      </c>
      <c r="I33" s="2809">
        <v>4.09</v>
      </c>
      <c r="J33" s="2809">
        <v>2.93</v>
      </c>
      <c r="K33" s="2809">
        <v>4.54</v>
      </c>
      <c r="L33" s="2815">
        <v>1.48</v>
      </c>
      <c r="N33" s="2810">
        <f t="shared" si="243"/>
        <v>4.0899999999999999E-2</v>
      </c>
      <c r="O33" s="2806">
        <f t="shared" si="239"/>
        <v>2.9300000000000003E-2</v>
      </c>
      <c r="P33" s="2806">
        <f t="shared" si="239"/>
        <v>4.5400000000000003E-2</v>
      </c>
      <c r="Q33" s="2806">
        <f t="shared" si="239"/>
        <v>1.4800000000000001E-2</v>
      </c>
      <c r="R33" s="2811"/>
      <c r="S33" s="2812">
        <f>B33/B34-1</f>
        <v>4.1203450408792808E-2</v>
      </c>
      <c r="T33" s="2813">
        <f>C33/C34-1</f>
        <v>2.6363977342465095E-2</v>
      </c>
      <c r="U33" s="2813">
        <f>E33/E34-1</f>
        <v>4.4837114298626357E-2</v>
      </c>
      <c r="V33" s="2813">
        <f>F33/F34-1</f>
        <v>1.7099954922538574E-2</v>
      </c>
      <c r="X33" s="2805">
        <f>ROUND(SUMPRODUCT(PRODUCT(1+N33:N$40)),4)</f>
        <v>1.1269</v>
      </c>
      <c r="Y33" s="2805">
        <f>ROUND(SUMPRODUCT(PRODUCT(1+O33:O$40)),4)</f>
        <v>1.1052999999999999</v>
      </c>
      <c r="Z33" s="2805">
        <f t="shared" si="0"/>
        <v>1.1052999999999999</v>
      </c>
      <c r="AA33" s="2805">
        <f>ROUND(SUMPRODUCT(PRODUCT(1+P33:P$40)),4)</f>
        <v>1.1349</v>
      </c>
      <c r="AB33" s="2805">
        <f>ROUND(SUMPRODUCT(PRODUCT(1+Q33:Q$40)),4)</f>
        <v>1.0996999999999999</v>
      </c>
      <c r="AD33" s="2806">
        <f>ROUND(AVERAGE(I33:I$41)/100,4)</f>
        <v>1.67E-2</v>
      </c>
      <c r="AE33" s="2806">
        <f>ROUND(AVERAGE(J33:J$41)/100,4)</f>
        <v>1.38E-2</v>
      </c>
      <c r="AF33" s="2806">
        <f t="shared" si="1"/>
        <v>1.38E-2</v>
      </c>
      <c r="AG33" s="2806">
        <f>ROUND(AVERAGE(K33:K$41)/100,4)</f>
        <v>1.7899999999999999E-2</v>
      </c>
      <c r="AH33" s="2806">
        <f>ROUND(AVERAGE(L33:L$41)/100,4)</f>
        <v>1.21E-2</v>
      </c>
    </row>
    <row r="34" spans="1:34" ht="13.8" thickBot="1">
      <c r="A34" s="2807" t="s">
        <v>946</v>
      </c>
      <c r="B34" s="2829">
        <v>333</v>
      </c>
      <c r="C34" s="2829">
        <v>277</v>
      </c>
      <c r="D34" s="2829">
        <f t="shared" si="241"/>
        <v>277</v>
      </c>
      <c r="E34" s="2829">
        <v>459</v>
      </c>
      <c r="F34" s="2830">
        <v>249</v>
      </c>
      <c r="G34" s="3717">
        <v>2015</v>
      </c>
      <c r="H34" s="2831">
        <v>4</v>
      </c>
      <c r="I34" s="2831">
        <v>1.63</v>
      </c>
      <c r="J34" s="2831">
        <v>1.1100000000000001</v>
      </c>
      <c r="K34" s="2831">
        <v>1.77</v>
      </c>
      <c r="L34" s="2832">
        <v>1.89</v>
      </c>
      <c r="N34" s="2826">
        <f t="shared" si="243"/>
        <v>1.6299999999999999E-2</v>
      </c>
      <c r="O34" s="2827">
        <f t="shared" si="239"/>
        <v>1.11E-2</v>
      </c>
      <c r="P34" s="2827">
        <f t="shared" si="239"/>
        <v>1.77E-2</v>
      </c>
      <c r="Q34" s="2827">
        <f t="shared" si="239"/>
        <v>1.89E-2</v>
      </c>
      <c r="R34" s="2811"/>
      <c r="X34" s="2805">
        <f>ROUND(SUMPRODUCT(PRODUCT(1+N34:N$40)),4)</f>
        <v>1.0826</v>
      </c>
      <c r="Y34" s="2805">
        <f>ROUND(SUMPRODUCT(PRODUCT(1+O34:O$40)),4)</f>
        <v>1.0738000000000001</v>
      </c>
      <c r="Z34" s="2805">
        <f t="shared" si="0"/>
        <v>1.0738000000000001</v>
      </c>
      <c r="AA34" s="2805">
        <f>ROUND(SUMPRODUCT(PRODUCT(1+P34:P$40)),4)</f>
        <v>1.0855999999999999</v>
      </c>
      <c r="AB34" s="2805">
        <f>ROUND(SUMPRODUCT(PRODUCT(1+Q34:Q$40)),4)</f>
        <v>1.0837000000000001</v>
      </c>
      <c r="AD34" s="2806">
        <f>ROUND(AVERAGE(I34:I$41)/100,4)</f>
        <v>1.37E-2</v>
      </c>
      <c r="AE34" s="2806">
        <f>ROUND(AVERAGE(J34:J$41)/100,4)</f>
        <v>1.1900000000000001E-2</v>
      </c>
      <c r="AF34" s="2806">
        <f t="shared" si="1"/>
        <v>1.1900000000000001E-2</v>
      </c>
      <c r="AG34" s="2806">
        <f>ROUND(AVERAGE(K34:K$41)/100,4)</f>
        <v>1.4500000000000001E-2</v>
      </c>
      <c r="AH34" s="2806">
        <f>ROUND(AVERAGE(L34:L$41)/100,4)</f>
        <v>1.18E-2</v>
      </c>
    </row>
    <row r="35" spans="1:34">
      <c r="A35" s="2807" t="s">
        <v>945</v>
      </c>
      <c r="B35" s="2808">
        <f t="shared" ref="B35:C37" si="244">B34/(1+N34)</f>
        <v>327.65915576109415</v>
      </c>
      <c r="C35" s="2808">
        <f t="shared" si="244"/>
        <v>273.95905449510434</v>
      </c>
      <c r="D35" s="2808">
        <f t="shared" si="241"/>
        <v>273.95905449510434</v>
      </c>
      <c r="E35" s="2808">
        <f t="shared" ref="E35:F37" si="245">E34/(1+P34)</f>
        <v>451.01699911565294</v>
      </c>
      <c r="F35" s="2808">
        <f t="shared" si="245"/>
        <v>244.38119540681129</v>
      </c>
      <c r="G35" s="3715"/>
      <c r="H35" s="2834">
        <v>3</v>
      </c>
      <c r="I35" s="2834">
        <v>1.65</v>
      </c>
      <c r="J35" s="2834">
        <v>0.92</v>
      </c>
      <c r="K35" s="2834">
        <v>1.88</v>
      </c>
      <c r="L35" s="2835">
        <v>1.26</v>
      </c>
      <c r="N35" s="2810">
        <f t="shared" si="243"/>
        <v>1.6500000000000001E-2</v>
      </c>
      <c r="O35" s="2828">
        <f t="shared" si="239"/>
        <v>9.1999999999999998E-3</v>
      </c>
      <c r="P35" s="2828">
        <f t="shared" si="239"/>
        <v>1.8799999999999997E-2</v>
      </c>
      <c r="Q35" s="2828">
        <f t="shared" si="239"/>
        <v>1.26E-2</v>
      </c>
      <c r="R35" s="2811"/>
      <c r="S35" s="2810"/>
      <c r="T35" s="2806"/>
      <c r="U35" s="2806"/>
      <c r="V35" s="2806"/>
      <c r="X35" s="2805">
        <f>ROUND(SUMPRODUCT(PRODUCT(1+N35:N$40)),4)</f>
        <v>1.0651999999999999</v>
      </c>
      <c r="Y35" s="2805">
        <f>ROUND(SUMPRODUCT(PRODUCT(1+O35:O$40)),4)</f>
        <v>1.0621</v>
      </c>
      <c r="Z35" s="2805">
        <f t="shared" si="0"/>
        <v>1.0621</v>
      </c>
      <c r="AA35" s="2805">
        <f>ROUND(SUMPRODUCT(PRODUCT(1+P35:P$40)),4)</f>
        <v>1.0668</v>
      </c>
      <c r="AB35" s="2805">
        <f>ROUND(SUMPRODUCT(PRODUCT(1+Q35:Q$40)),4)</f>
        <v>1.0636000000000001</v>
      </c>
      <c r="AD35" s="2806">
        <f>ROUND(AVERAGE(I35:I$41)/100,4)</f>
        <v>1.3299999999999999E-2</v>
      </c>
      <c r="AE35" s="2806">
        <f>ROUND(AVERAGE(J35:J$41)/100,4)</f>
        <v>1.2E-2</v>
      </c>
      <c r="AF35" s="2806">
        <f t="shared" si="1"/>
        <v>1.2E-2</v>
      </c>
      <c r="AG35" s="2806">
        <f>ROUND(AVERAGE(K35:K$41)/100,4)</f>
        <v>1.4E-2</v>
      </c>
      <c r="AH35" s="2806">
        <f>ROUND(AVERAGE(L35:L$41)/100,4)</f>
        <v>1.0800000000000001E-2</v>
      </c>
    </row>
    <row r="36" spans="1:34">
      <c r="A36" s="2807" t="s">
        <v>944</v>
      </c>
      <c r="B36" s="2808">
        <f t="shared" si="244"/>
        <v>322.34053690220776</v>
      </c>
      <c r="C36" s="2808">
        <f t="shared" si="244"/>
        <v>271.46160770422546</v>
      </c>
      <c r="D36" s="2808">
        <f t="shared" si="241"/>
        <v>271.46160770422546</v>
      </c>
      <c r="E36" s="2808">
        <f t="shared" si="245"/>
        <v>442.69434542172456</v>
      </c>
      <c r="F36" s="2808">
        <f t="shared" si="245"/>
        <v>241.34030753190925</v>
      </c>
      <c r="G36" s="3715"/>
      <c r="H36" s="2822">
        <v>2</v>
      </c>
      <c r="I36" s="2822">
        <v>0.77</v>
      </c>
      <c r="J36" s="2822">
        <v>0.69</v>
      </c>
      <c r="K36" s="2822">
        <v>0.8</v>
      </c>
      <c r="L36" s="2823">
        <v>0.88</v>
      </c>
      <c r="N36" s="2810">
        <f t="shared" si="243"/>
        <v>7.7000000000000002E-3</v>
      </c>
      <c r="O36" s="2828">
        <f t="shared" si="239"/>
        <v>6.8999999999999999E-3</v>
      </c>
      <c r="P36" s="2828">
        <f t="shared" si="239"/>
        <v>8.0000000000000002E-3</v>
      </c>
      <c r="Q36" s="2828">
        <f t="shared" si="239"/>
        <v>8.8000000000000005E-3</v>
      </c>
      <c r="R36" s="2811"/>
      <c r="S36" s="2810"/>
      <c r="T36" s="2806"/>
      <c r="U36" s="2806"/>
      <c r="V36" s="2806"/>
      <c r="X36" s="2805">
        <f>ROUND(SUMPRODUCT(PRODUCT(1+N36:N$40)),4)</f>
        <v>1.048</v>
      </c>
      <c r="Y36" s="2805">
        <f>ROUND(SUMPRODUCT(PRODUCT(1+O36:O$40)),4)</f>
        <v>1.0524</v>
      </c>
      <c r="Z36" s="2805">
        <f t="shared" si="0"/>
        <v>1.0524</v>
      </c>
      <c r="AA36" s="2805">
        <f>ROUND(SUMPRODUCT(PRODUCT(1+P36:P$40)),4)</f>
        <v>1.0470999999999999</v>
      </c>
      <c r="AB36" s="2805">
        <f>ROUND(SUMPRODUCT(PRODUCT(1+Q36:Q$40)),4)</f>
        <v>1.0504</v>
      </c>
      <c r="AD36" s="2806">
        <f>ROUND(AVERAGE(I36:I$41)/100,4)</f>
        <v>1.2800000000000001E-2</v>
      </c>
      <c r="AE36" s="2806">
        <f>ROUND(AVERAGE(J36:J$41)/100,4)</f>
        <v>1.2500000000000001E-2</v>
      </c>
      <c r="AF36" s="2806">
        <f t="shared" si="1"/>
        <v>1.2500000000000001E-2</v>
      </c>
      <c r="AG36" s="2806">
        <f>ROUND(AVERAGE(K36:K$41)/100,4)</f>
        <v>1.32E-2</v>
      </c>
      <c r="AH36" s="2806">
        <f>ROUND(AVERAGE(L36:L$41)/100,4)</f>
        <v>1.0500000000000001E-2</v>
      </c>
    </row>
    <row r="37" spans="1:34">
      <c r="A37" s="2807" t="s">
        <v>943</v>
      </c>
      <c r="B37" s="2808">
        <f t="shared" si="244"/>
        <v>319.87748030386797</v>
      </c>
      <c r="C37" s="2808">
        <f t="shared" si="244"/>
        <v>269.60135833173649</v>
      </c>
      <c r="D37" s="2808">
        <f t="shared" si="241"/>
        <v>269.60135833173649</v>
      </c>
      <c r="E37" s="2808">
        <f t="shared" si="245"/>
        <v>439.18089823583784</v>
      </c>
      <c r="F37" s="2808">
        <f t="shared" si="245"/>
        <v>239.23503918706311</v>
      </c>
      <c r="G37" s="3718"/>
      <c r="H37" s="2809">
        <v>1</v>
      </c>
      <c r="I37" s="2809">
        <v>0.51</v>
      </c>
      <c r="J37" s="2809">
        <v>0.54</v>
      </c>
      <c r="K37" s="2809">
        <v>0.48</v>
      </c>
      <c r="L37" s="2815">
        <v>0.93</v>
      </c>
      <c r="N37" s="2812">
        <f t="shared" si="243"/>
        <v>5.1000000000000004E-3</v>
      </c>
      <c r="O37" s="2813">
        <f t="shared" si="239"/>
        <v>5.4000000000000003E-3</v>
      </c>
      <c r="P37" s="2813">
        <f t="shared" si="239"/>
        <v>4.7999999999999996E-3</v>
      </c>
      <c r="Q37" s="2813">
        <f t="shared" si="239"/>
        <v>9.300000000000001E-3</v>
      </c>
      <c r="R37" s="2811"/>
      <c r="S37" s="2812">
        <f>B37/B38-1</f>
        <v>5.9040261127922822E-3</v>
      </c>
      <c r="T37" s="2813">
        <f>C37/C38-1</f>
        <v>5.9752176557332781E-3</v>
      </c>
      <c r="U37" s="2813">
        <f>E37/E38-1</f>
        <v>4.9906138119859556E-3</v>
      </c>
      <c r="V37" s="2813">
        <f>F37/F38-1</f>
        <v>9.4305450930933787E-3</v>
      </c>
      <c r="X37" s="2805">
        <f>ROUND(SUMPRODUCT(PRODUCT(1+N37:N$40)),4)</f>
        <v>1.0399</v>
      </c>
      <c r="Y37" s="2805">
        <f>ROUND(SUMPRODUCT(PRODUCT(1+O37:O$40)),4)</f>
        <v>1.0451999999999999</v>
      </c>
      <c r="Z37" s="2805">
        <f t="shared" si="0"/>
        <v>1.0451999999999999</v>
      </c>
      <c r="AA37" s="2805">
        <f>ROUND(SUMPRODUCT(PRODUCT(1+P37:P$40)),4)</f>
        <v>1.0387999999999999</v>
      </c>
      <c r="AB37" s="2805">
        <f>ROUND(SUMPRODUCT(PRODUCT(1+Q37:Q$40)),4)</f>
        <v>1.0411999999999999</v>
      </c>
      <c r="AD37" s="2806">
        <f>ROUND(AVERAGE(I37:I$41)/100,4)</f>
        <v>1.38E-2</v>
      </c>
      <c r="AE37" s="2806">
        <f>ROUND(AVERAGE(J37:J$41)/100,4)</f>
        <v>1.3599999999999999E-2</v>
      </c>
      <c r="AF37" s="2806">
        <f t="shared" si="1"/>
        <v>1.3599999999999999E-2</v>
      </c>
      <c r="AG37" s="2806">
        <f>ROUND(AVERAGE(K37:K$41)/100,4)</f>
        <v>1.4200000000000001E-2</v>
      </c>
      <c r="AH37" s="2806">
        <f>ROUND(AVERAGE(L37:L$41)/100,4)</f>
        <v>1.0800000000000001E-2</v>
      </c>
    </row>
    <row r="38" spans="1:34" ht="13.8" thickBot="1">
      <c r="A38" s="2807" t="s">
        <v>942</v>
      </c>
      <c r="B38" s="2836">
        <v>318</v>
      </c>
      <c r="C38" s="2836">
        <v>268</v>
      </c>
      <c r="D38" s="2836">
        <f t="shared" si="241"/>
        <v>268</v>
      </c>
      <c r="E38" s="2836">
        <v>437</v>
      </c>
      <c r="F38" s="2837">
        <v>237</v>
      </c>
      <c r="G38" s="3717">
        <v>2014</v>
      </c>
      <c r="H38" s="2831">
        <v>4</v>
      </c>
      <c r="I38" s="2831">
        <v>0.21</v>
      </c>
      <c r="J38" s="2831">
        <v>0.41</v>
      </c>
      <c r="K38" s="2831">
        <v>0.12</v>
      </c>
      <c r="L38" s="2832">
        <v>0.89</v>
      </c>
      <c r="N38" s="2810">
        <f t="shared" si="243"/>
        <v>2.0999999999999999E-3</v>
      </c>
      <c r="O38" s="2806">
        <f t="shared" si="239"/>
        <v>4.0999999999999995E-3</v>
      </c>
      <c r="P38" s="2806">
        <f t="shared" si="239"/>
        <v>1.1999999999999999E-3</v>
      </c>
      <c r="Q38" s="2806">
        <f t="shared" si="239"/>
        <v>8.8999999999999999E-3</v>
      </c>
      <c r="R38" s="2811"/>
      <c r="S38" s="2820"/>
      <c r="T38" s="2821"/>
      <c r="U38" s="2821"/>
      <c r="V38" s="2821"/>
      <c r="X38" s="2805">
        <f>ROUND(SUMPRODUCT(PRODUCT(1+N38:N$40)),4)</f>
        <v>1.0347</v>
      </c>
      <c r="Y38" s="2805">
        <f>ROUND(SUMPRODUCT(PRODUCT(1+O38:O$40)),4)</f>
        <v>1.0395000000000001</v>
      </c>
      <c r="Z38" s="2805">
        <f t="shared" si="0"/>
        <v>1.0395000000000001</v>
      </c>
      <c r="AA38" s="2805">
        <f>ROUND(SUMPRODUCT(PRODUCT(1+P38:P$40)),4)</f>
        <v>1.0338000000000001</v>
      </c>
      <c r="AB38" s="2805">
        <f>ROUND(SUMPRODUCT(PRODUCT(1+Q38:Q$40)),4)</f>
        <v>1.0316000000000001</v>
      </c>
      <c r="AD38" s="2806">
        <f>ROUND(AVERAGE(I38:I$41)/100,4)</f>
        <v>1.6E-2</v>
      </c>
      <c r="AE38" s="2806">
        <f>ROUND(AVERAGE(J38:J$41)/100,4)</f>
        <v>1.5599999999999999E-2</v>
      </c>
      <c r="AF38" s="2806">
        <f t="shared" si="1"/>
        <v>1.5599999999999999E-2</v>
      </c>
      <c r="AG38" s="2806">
        <f>ROUND(AVERAGE(K38:K$41)/100,4)</f>
        <v>1.66E-2</v>
      </c>
      <c r="AH38" s="2806">
        <f>ROUND(AVERAGE(L38:L$41)/100,4)</f>
        <v>1.12E-2</v>
      </c>
    </row>
    <row r="39" spans="1:34">
      <c r="A39" s="2807" t="s">
        <v>941</v>
      </c>
      <c r="B39" s="2808">
        <f t="shared" ref="B39:C41" si="246">B38/(1+N38)</f>
        <v>317.33359944117353</v>
      </c>
      <c r="C39" s="2808">
        <f t="shared" si="246"/>
        <v>266.90568668459315</v>
      </c>
      <c r="D39" s="2808">
        <f t="shared" si="241"/>
        <v>266.90568668459315</v>
      </c>
      <c r="E39" s="2808">
        <f t="shared" ref="E39:F41" si="247">E38/(1+P38)</f>
        <v>436.47622852576905</v>
      </c>
      <c r="F39" s="2808">
        <f t="shared" si="247"/>
        <v>234.90930716622066</v>
      </c>
      <c r="G39" s="3715"/>
      <c r="H39" s="2838">
        <v>3</v>
      </c>
      <c r="I39" s="2838">
        <v>0.83</v>
      </c>
      <c r="J39" s="2838">
        <v>1.47</v>
      </c>
      <c r="K39" s="2838">
        <v>0.65</v>
      </c>
      <c r="L39" s="2839">
        <v>0.72</v>
      </c>
      <c r="N39" s="2810">
        <f t="shared" si="243"/>
        <v>8.3000000000000001E-3</v>
      </c>
      <c r="O39" s="2806">
        <f t="shared" si="239"/>
        <v>1.47E-2</v>
      </c>
      <c r="P39" s="2806">
        <f t="shared" si="239"/>
        <v>6.5000000000000006E-3</v>
      </c>
      <c r="Q39" s="2806">
        <f t="shared" si="239"/>
        <v>7.1999999999999998E-3</v>
      </c>
      <c r="R39" s="2811"/>
      <c r="S39" s="2810"/>
      <c r="T39" s="2806"/>
      <c r="U39" s="2806"/>
      <c r="V39" s="2806"/>
      <c r="X39" s="2805">
        <f>ROUND(SUMPRODUCT(PRODUCT(1+N39:N$40)),4)</f>
        <v>1.0325</v>
      </c>
      <c r="Y39" s="2805">
        <f>ROUND(SUMPRODUCT(PRODUCT(1+O39:O$40)),4)</f>
        <v>1.0353000000000001</v>
      </c>
      <c r="Z39" s="2805">
        <f t="shared" ref="Z39:Z40" si="248">Y39</f>
        <v>1.0353000000000001</v>
      </c>
      <c r="AA39" s="2805">
        <f>ROUND(SUMPRODUCT(PRODUCT(1+P39:P$40)),4)</f>
        <v>1.0326</v>
      </c>
      <c r="AB39" s="2805">
        <f>ROUND(SUMPRODUCT(PRODUCT(1+Q39:Q$40)),4)</f>
        <v>1.0225</v>
      </c>
      <c r="AD39" s="2806">
        <f>ROUND(AVERAGE(I39:I$41)/100,4)</f>
        <v>2.07E-2</v>
      </c>
      <c r="AE39" s="2806">
        <f>ROUND(AVERAGE(J39:J$41)/100,4)</f>
        <v>1.95E-2</v>
      </c>
      <c r="AF39" s="2806">
        <f t="shared" si="1"/>
        <v>1.95E-2</v>
      </c>
      <c r="AG39" s="2806">
        <f>ROUND(AVERAGE(K39:K$41)/100,4)</f>
        <v>2.1700000000000001E-2</v>
      </c>
      <c r="AH39" s="2806">
        <f>ROUND(AVERAGE(L39:L$41)/100,4)</f>
        <v>1.2E-2</v>
      </c>
    </row>
    <row r="40" spans="1:34" ht="13.8" thickBot="1">
      <c r="A40" s="2807" t="s">
        <v>940</v>
      </c>
      <c r="B40" s="2808">
        <f t="shared" si="246"/>
        <v>314.72141172386546</v>
      </c>
      <c r="C40" s="2808">
        <f t="shared" si="246"/>
        <v>263.03901319069001</v>
      </c>
      <c r="D40" s="2808">
        <f t="shared" si="241"/>
        <v>263.03901319069001</v>
      </c>
      <c r="E40" s="2808">
        <f t="shared" si="247"/>
        <v>433.65745506782821</v>
      </c>
      <c r="F40" s="2808">
        <f t="shared" si="247"/>
        <v>233.23005080045735</v>
      </c>
      <c r="G40" s="3715"/>
      <c r="H40" s="2831">
        <v>2</v>
      </c>
      <c r="I40" s="2831">
        <v>2.4</v>
      </c>
      <c r="J40" s="2831">
        <v>2.0299999999999998</v>
      </c>
      <c r="K40" s="2831">
        <v>2.59</v>
      </c>
      <c r="L40" s="2832">
        <v>1.52</v>
      </c>
      <c r="N40" s="2810">
        <f t="shared" si="243"/>
        <v>2.4E-2</v>
      </c>
      <c r="O40" s="2806">
        <f t="shared" si="239"/>
        <v>2.0299999999999999E-2</v>
      </c>
      <c r="P40" s="2806">
        <f t="shared" si="239"/>
        <v>2.5899999999999999E-2</v>
      </c>
      <c r="Q40" s="2806">
        <f t="shared" si="239"/>
        <v>1.52E-2</v>
      </c>
      <c r="R40" s="2811"/>
      <c r="S40" s="2810"/>
      <c r="T40" s="2806"/>
      <c r="U40" s="2806"/>
      <c r="V40" s="2806"/>
      <c r="X40" s="2805">
        <f>1+N40</f>
        <v>1.024</v>
      </c>
      <c r="Y40" s="2805">
        <f>1+O40</f>
        <v>1.0203</v>
      </c>
      <c r="Z40" s="2805">
        <f t="shared" si="248"/>
        <v>1.0203</v>
      </c>
      <c r="AA40" s="2805">
        <f>1+P40</f>
        <v>1.0259</v>
      </c>
      <c r="AB40" s="2805">
        <f>1+Q40</f>
        <v>1.0152000000000001</v>
      </c>
      <c r="AD40" s="2806">
        <f>ROUND(AVERAGE(I40:I$41)/100,4)</f>
        <v>2.69E-2</v>
      </c>
      <c r="AE40" s="2806">
        <f>ROUND(AVERAGE(J40:J$41)/100,4)</f>
        <v>2.1899999999999999E-2</v>
      </c>
      <c r="AF40" s="2806">
        <f t="shared" ref="AF40" si="249">AE40</f>
        <v>2.1899999999999999E-2</v>
      </c>
      <c r="AG40" s="2806">
        <f>ROUND(AVERAGE(K40:K$41)/100,4)</f>
        <v>2.9399999999999999E-2</v>
      </c>
      <c r="AH40" s="2806">
        <f>ROUND(AVERAGE(L40:L$41)/100,4)</f>
        <v>1.44E-2</v>
      </c>
    </row>
    <row r="41" spans="1:34" s="2844" customFormat="1" ht="13.8" thickBot="1">
      <c r="A41" s="2840" t="s">
        <v>939</v>
      </c>
      <c r="B41" s="2841">
        <f t="shared" si="246"/>
        <v>307.34512863658733</v>
      </c>
      <c r="C41" s="2841">
        <f t="shared" si="246"/>
        <v>257.80556031626975</v>
      </c>
      <c r="D41" s="2841">
        <f t="shared" si="241"/>
        <v>257.80556031626975</v>
      </c>
      <c r="E41" s="2841">
        <f t="shared" si="247"/>
        <v>422.70928459677179</v>
      </c>
      <c r="F41" s="2841">
        <f t="shared" si="247"/>
        <v>229.73803270336617</v>
      </c>
      <c r="G41" s="3718"/>
      <c r="H41" s="2842">
        <v>1</v>
      </c>
      <c r="I41" s="2842">
        <v>2.97</v>
      </c>
      <c r="J41" s="2842">
        <v>2.34</v>
      </c>
      <c r="K41" s="2842">
        <v>3.28</v>
      </c>
      <c r="L41" s="2843">
        <v>1.36</v>
      </c>
      <c r="N41" s="2845">
        <f t="shared" si="243"/>
        <v>2.9700000000000001E-2</v>
      </c>
      <c r="O41" s="2846">
        <f t="shared" si="239"/>
        <v>2.3399999999999997E-2</v>
      </c>
      <c r="P41" s="2846">
        <f t="shared" si="239"/>
        <v>3.2799999999999996E-2</v>
      </c>
      <c r="Q41" s="2846">
        <f t="shared" si="239"/>
        <v>1.3600000000000001E-2</v>
      </c>
      <c r="R41" s="2847"/>
      <c r="S41" s="2848">
        <f>B41/B42-1</f>
        <v>2.7910129219355539E-2</v>
      </c>
      <c r="T41" s="2849">
        <f>C41/C42-1</f>
        <v>2.3037937762975247E-2</v>
      </c>
      <c r="U41" s="2849">
        <f>E41/E42-1</f>
        <v>3.3519033243940788E-2</v>
      </c>
      <c r="V41" s="2849">
        <f>F41/F42-1</f>
        <v>1.2061818076502862E-2</v>
      </c>
      <c r="W41" s="2850" t="s">
        <v>2357</v>
      </c>
      <c r="X41" s="2851">
        <v>1</v>
      </c>
      <c r="Y41" s="2851">
        <v>1</v>
      </c>
      <c r="Z41" s="2851">
        <v>1</v>
      </c>
      <c r="AA41" s="2851">
        <v>1</v>
      </c>
      <c r="AB41" s="2851">
        <v>1</v>
      </c>
      <c r="AD41" s="2846">
        <f>I41/100</f>
        <v>2.9700000000000001E-2</v>
      </c>
      <c r="AE41" s="2846">
        <f>J41/100</f>
        <v>2.3399999999999997E-2</v>
      </c>
      <c r="AF41" s="2846">
        <f>AE41</f>
        <v>2.3399999999999997E-2</v>
      </c>
      <c r="AG41" s="2846">
        <f>K41/100</f>
        <v>3.2799999999999996E-2</v>
      </c>
      <c r="AH41" s="2846">
        <f>L41/100</f>
        <v>1.3600000000000001E-2</v>
      </c>
    </row>
    <row r="42" spans="1:34" ht="13.8" thickBot="1">
      <c r="A42" s="2807" t="s">
        <v>2300</v>
      </c>
      <c r="B42" s="2829">
        <v>299</v>
      </c>
      <c r="C42" s="2829">
        <v>252</v>
      </c>
      <c r="D42" s="2829">
        <f t="shared" si="241"/>
        <v>252</v>
      </c>
      <c r="E42" s="2829">
        <v>409</v>
      </c>
      <c r="F42" s="2830">
        <v>227</v>
      </c>
      <c r="G42" s="3722">
        <v>2013</v>
      </c>
      <c r="H42" s="2852">
        <v>4</v>
      </c>
      <c r="I42" s="2852">
        <v>1.83</v>
      </c>
      <c r="J42" s="2852">
        <v>1.68</v>
      </c>
      <c r="K42" s="2852">
        <v>1.97</v>
      </c>
      <c r="L42" s="2853">
        <v>0.87</v>
      </c>
      <c r="N42" s="2826">
        <f t="shared" si="243"/>
        <v>1.83E-2</v>
      </c>
      <c r="O42" s="2827">
        <f t="shared" si="239"/>
        <v>1.6799999999999999E-2</v>
      </c>
      <c r="P42" s="2827">
        <f t="shared" si="239"/>
        <v>1.9699999999999999E-2</v>
      </c>
      <c r="Q42" s="2827">
        <f t="shared" si="239"/>
        <v>8.6999999999999994E-3</v>
      </c>
      <c r="R42" s="2811"/>
      <c r="S42" s="2820"/>
      <c r="T42" s="2821"/>
      <c r="U42" s="2821"/>
      <c r="V42" s="2821"/>
      <c r="X42" s="2821"/>
      <c r="Y42" s="2821"/>
      <c r="Z42" s="2821"/>
    </row>
    <row r="43" spans="1:34">
      <c r="A43" s="2807" t="s">
        <v>2301</v>
      </c>
      <c r="B43" s="2808">
        <f t="shared" ref="B43:C45" si="250">B42/(1+N42)</f>
        <v>293.62663262299913</v>
      </c>
      <c r="C43" s="2808">
        <f t="shared" si="250"/>
        <v>247.83634933123525</v>
      </c>
      <c r="D43" s="2808">
        <f t="shared" si="241"/>
        <v>247.83634933123525</v>
      </c>
      <c r="E43" s="2808">
        <f t="shared" ref="E43:F45" si="251">E42/(1+P42)</f>
        <v>401.09836226341076</v>
      </c>
      <c r="F43" s="2808">
        <f t="shared" si="251"/>
        <v>225.04213343908003</v>
      </c>
      <c r="G43" s="3723"/>
      <c r="H43" s="2834">
        <v>3</v>
      </c>
      <c r="I43" s="2834">
        <v>1.86</v>
      </c>
      <c r="J43" s="2834">
        <v>1.72</v>
      </c>
      <c r="K43" s="2834">
        <v>1.98</v>
      </c>
      <c r="L43" s="2835">
        <v>0.88</v>
      </c>
      <c r="N43" s="2810">
        <f t="shared" si="243"/>
        <v>1.8600000000000002E-2</v>
      </c>
      <c r="O43" s="2828">
        <f t="shared" si="239"/>
        <v>1.72E-2</v>
      </c>
      <c r="P43" s="2828">
        <f t="shared" si="239"/>
        <v>1.9799999999999998E-2</v>
      </c>
      <c r="Q43" s="2828">
        <f t="shared" si="239"/>
        <v>8.8000000000000005E-3</v>
      </c>
      <c r="R43" s="2811"/>
      <c r="S43" s="2810"/>
      <c r="T43" s="2806"/>
      <c r="U43" s="2806"/>
      <c r="V43" s="2806"/>
    </row>
    <row r="44" spans="1:34">
      <c r="A44" s="2807" t="s">
        <v>2302</v>
      </c>
      <c r="B44" s="2808">
        <f t="shared" si="250"/>
        <v>288.2649053828776</v>
      </c>
      <c r="C44" s="2808">
        <f t="shared" si="250"/>
        <v>243.64564425013293</v>
      </c>
      <c r="D44" s="2808">
        <f t="shared" si="241"/>
        <v>243.64564425013293</v>
      </c>
      <c r="E44" s="2808">
        <f t="shared" si="251"/>
        <v>393.31080825986544</v>
      </c>
      <c r="F44" s="2808">
        <f t="shared" si="251"/>
        <v>223.07903790551154</v>
      </c>
      <c r="G44" s="3723"/>
      <c r="H44" s="2822">
        <v>2</v>
      </c>
      <c r="I44" s="2822">
        <v>2.04</v>
      </c>
      <c r="J44" s="2822">
        <v>2.33</v>
      </c>
      <c r="K44" s="2822">
        <v>2.0699999999999998</v>
      </c>
      <c r="L44" s="2823">
        <v>0.69</v>
      </c>
      <c r="N44" s="2810">
        <f t="shared" si="243"/>
        <v>2.0400000000000001E-2</v>
      </c>
      <c r="O44" s="2828">
        <f t="shared" si="239"/>
        <v>2.3300000000000001E-2</v>
      </c>
      <c r="P44" s="2828">
        <f t="shared" si="239"/>
        <v>2.07E-2</v>
      </c>
      <c r="Q44" s="2828">
        <f t="shared" si="239"/>
        <v>6.8999999999999999E-3</v>
      </c>
      <c r="R44" s="2811"/>
      <c r="S44" s="2810"/>
      <c r="T44" s="2806"/>
      <c r="U44" s="2806"/>
      <c r="V44" s="2806"/>
      <c r="X44" s="2854"/>
      <c r="Y44" s="2855"/>
    </row>
    <row r="45" spans="1:34">
      <c r="A45" s="2807" t="s">
        <v>2303</v>
      </c>
      <c r="B45" s="2808">
        <f t="shared" si="250"/>
        <v>282.50186729015837</v>
      </c>
      <c r="C45" s="2808">
        <f t="shared" si="250"/>
        <v>238.09796174155468</v>
      </c>
      <c r="D45" s="2808">
        <f t="shared" si="241"/>
        <v>238.09796174155468</v>
      </c>
      <c r="E45" s="2808">
        <f t="shared" si="251"/>
        <v>385.33438646014054</v>
      </c>
      <c r="F45" s="2808">
        <f t="shared" si="251"/>
        <v>221.55034055567739</v>
      </c>
      <c r="G45" s="3724"/>
      <c r="H45" s="2809">
        <v>1</v>
      </c>
      <c r="I45" s="2809">
        <v>1.67</v>
      </c>
      <c r="J45" s="2809">
        <v>1.31</v>
      </c>
      <c r="K45" s="2809">
        <v>1.85</v>
      </c>
      <c r="L45" s="2815">
        <v>0.96</v>
      </c>
      <c r="N45" s="2812">
        <f t="shared" si="243"/>
        <v>1.67E-2</v>
      </c>
      <c r="O45" s="2813">
        <f t="shared" si="239"/>
        <v>1.3100000000000001E-2</v>
      </c>
      <c r="P45" s="2813">
        <f t="shared" si="239"/>
        <v>1.8500000000000003E-2</v>
      </c>
      <c r="Q45" s="2813">
        <f t="shared" si="239"/>
        <v>9.5999999999999992E-3</v>
      </c>
      <c r="R45" s="2811"/>
      <c r="S45" s="2812">
        <f>B45/B46-1</f>
        <v>1.6193767230785472E-2</v>
      </c>
      <c r="T45" s="2813">
        <f>C45/C46-1</f>
        <v>1.7512657015190891E-2</v>
      </c>
      <c r="U45" s="2813">
        <f>E45/E46-1</f>
        <v>1.6713420739157048E-2</v>
      </c>
      <c r="V45" s="2813">
        <f>F45/F46-1</f>
        <v>7.0470025258062563E-3</v>
      </c>
      <c r="X45" s="2856"/>
      <c r="Y45" s="2806"/>
      <c r="Z45" s="2806"/>
    </row>
    <row r="46" spans="1:34" ht="13.8" thickBot="1">
      <c r="A46" s="2807" t="s">
        <v>2304</v>
      </c>
      <c r="B46" s="2857">
        <v>278</v>
      </c>
      <c r="C46" s="2857">
        <v>234</v>
      </c>
      <c r="D46" s="2857">
        <f t="shared" si="241"/>
        <v>234</v>
      </c>
      <c r="E46" s="2857">
        <v>379</v>
      </c>
      <c r="F46" s="2858">
        <v>220</v>
      </c>
      <c r="G46" s="3717">
        <v>2012</v>
      </c>
      <c r="H46" s="2831">
        <v>4</v>
      </c>
      <c r="I46" s="2831">
        <v>0.91</v>
      </c>
      <c r="J46" s="2831">
        <v>0.68</v>
      </c>
      <c r="K46" s="2831">
        <v>0.98</v>
      </c>
      <c r="L46" s="2832">
        <v>0.9</v>
      </c>
      <c r="N46" s="2810">
        <f t="shared" si="243"/>
        <v>9.1000000000000004E-3</v>
      </c>
      <c r="O46" s="2806">
        <f t="shared" si="243"/>
        <v>6.8000000000000005E-3</v>
      </c>
      <c r="P46" s="2806">
        <f t="shared" si="243"/>
        <v>9.7999999999999997E-3</v>
      </c>
      <c r="Q46" s="2806">
        <f t="shared" si="243"/>
        <v>9.0000000000000011E-3</v>
      </c>
      <c r="R46" s="2811"/>
      <c r="S46" s="2820"/>
      <c r="T46" s="2821"/>
      <c r="U46" s="2821"/>
      <c r="V46" s="2821"/>
      <c r="X46" s="2821"/>
      <c r="Y46" s="2821"/>
      <c r="Z46" s="2821"/>
    </row>
    <row r="47" spans="1:34">
      <c r="A47" s="2807" t="s">
        <v>2305</v>
      </c>
      <c r="B47" s="2808">
        <f>B46/(1+N46)</f>
        <v>275.49301357645425</v>
      </c>
      <c r="C47" s="2808">
        <f>C46/(1+O46)</f>
        <v>232.41954707985698</v>
      </c>
      <c r="D47" s="2808">
        <f t="shared" si="241"/>
        <v>232.41954707985698</v>
      </c>
      <c r="E47" s="2808">
        <f t="shared" ref="E47:F49" si="252">E46/(1+P46)</f>
        <v>375.32184591008121</v>
      </c>
      <c r="F47" s="2808">
        <f t="shared" si="252"/>
        <v>218.03766105054513</v>
      </c>
      <c r="G47" s="3715"/>
      <c r="H47" s="2834">
        <v>3</v>
      </c>
      <c r="I47" s="2834">
        <v>0.09</v>
      </c>
      <c r="J47" s="2834">
        <v>0.28999999999999998</v>
      </c>
      <c r="K47" s="2834">
        <v>-0.01</v>
      </c>
      <c r="L47" s="2835">
        <v>0.57999999999999996</v>
      </c>
      <c r="N47" s="2810">
        <f t="shared" si="243"/>
        <v>8.9999999999999998E-4</v>
      </c>
      <c r="O47" s="2806">
        <f t="shared" si="243"/>
        <v>2.8999999999999998E-3</v>
      </c>
      <c r="P47" s="2806">
        <f t="shared" si="243"/>
        <v>-1E-4</v>
      </c>
      <c r="Q47" s="2806">
        <f t="shared" si="243"/>
        <v>5.7999999999999996E-3</v>
      </c>
      <c r="R47" s="2811"/>
      <c r="S47" s="2810"/>
      <c r="T47" s="2806"/>
      <c r="U47" s="2806"/>
      <c r="V47" s="2806"/>
    </row>
    <row r="48" spans="1:34">
      <c r="A48" s="2807" t="s">
        <v>2306</v>
      </c>
      <c r="B48" s="2808">
        <f>B47/(1+N47)</f>
        <v>275.24529281292263</v>
      </c>
      <c r="C48" s="2808">
        <f>C47/(1+O47)</f>
        <v>231.74747938962707</v>
      </c>
      <c r="D48" s="2808">
        <f t="shared" si="241"/>
        <v>231.74747938962707</v>
      </c>
      <c r="E48" s="2808">
        <f t="shared" si="252"/>
        <v>375.35938184826603</v>
      </c>
      <c r="F48" s="2808">
        <f t="shared" si="252"/>
        <v>216.78033510692495</v>
      </c>
      <c r="G48" s="3715"/>
      <c r="H48" s="2822">
        <v>2</v>
      </c>
      <c r="I48" s="2822">
        <v>0.02</v>
      </c>
      <c r="J48" s="2822">
        <v>0.12</v>
      </c>
      <c r="K48" s="2822">
        <v>-0.08</v>
      </c>
      <c r="L48" s="2823">
        <v>1.24</v>
      </c>
      <c r="N48" s="2810">
        <f t="shared" si="243"/>
        <v>2.0000000000000001E-4</v>
      </c>
      <c r="O48" s="2806">
        <f t="shared" si="243"/>
        <v>1.1999999999999999E-3</v>
      </c>
      <c r="P48" s="2806">
        <f t="shared" si="243"/>
        <v>-8.0000000000000004E-4</v>
      </c>
      <c r="Q48" s="2806">
        <f t="shared" si="243"/>
        <v>1.24E-2</v>
      </c>
      <c r="R48" s="2811"/>
      <c r="S48" s="2810"/>
      <c r="T48" s="2806"/>
      <c r="U48" s="2806"/>
      <c r="V48" s="2806"/>
    </row>
    <row r="49" spans="1:26" ht="13.8" thickBot="1">
      <c r="A49" s="2807" t="s">
        <v>2307</v>
      </c>
      <c r="B49" s="2808">
        <f>B48/(1+N48)</f>
        <v>275.19025476197027</v>
      </c>
      <c r="C49" s="2859">
        <v>232</v>
      </c>
      <c r="D49" s="2859">
        <f t="shared" si="241"/>
        <v>232</v>
      </c>
      <c r="E49" s="2808">
        <f t="shared" si="252"/>
        <v>375.65990977608692</v>
      </c>
      <c r="F49" s="2808">
        <f t="shared" si="252"/>
        <v>214.12518283971252</v>
      </c>
      <c r="G49" s="3718"/>
      <c r="H49" s="2809">
        <v>1</v>
      </c>
      <c r="I49" s="2809">
        <v>0.02</v>
      </c>
      <c r="J49" s="2809">
        <v>0.13</v>
      </c>
      <c r="K49" s="2809">
        <v>-0.04</v>
      </c>
      <c r="L49" s="2815">
        <v>0.46</v>
      </c>
      <c r="N49" s="2810">
        <f t="shared" si="243"/>
        <v>2.0000000000000001E-4</v>
      </c>
      <c r="O49" s="2806">
        <f t="shared" si="243"/>
        <v>1.2999999999999999E-3</v>
      </c>
      <c r="P49" s="2806">
        <f t="shared" si="243"/>
        <v>-4.0000000000000002E-4</v>
      </c>
      <c r="Q49" s="2806">
        <f t="shared" si="243"/>
        <v>4.5999999999999999E-3</v>
      </c>
      <c r="R49" s="2811"/>
      <c r="S49" s="2812">
        <f>B49/B50-1</f>
        <v>6.9183549807361189E-4</v>
      </c>
      <c r="T49" s="2813">
        <f>C49/C50-1</f>
        <v>0</v>
      </c>
      <c r="U49" s="2813">
        <f>E49/E50-1</f>
        <v>-9.0449527636460303E-4</v>
      </c>
      <c r="V49" s="2813">
        <f>F49/F50-1</f>
        <v>5.2825485432512753E-3</v>
      </c>
      <c r="X49" s="2806"/>
      <c r="Y49" s="2806"/>
      <c r="Z49" s="2806"/>
    </row>
    <row r="50" spans="1:26" ht="13.8" thickBot="1">
      <c r="A50" s="2807" t="s">
        <v>2308</v>
      </c>
      <c r="B50" s="2829">
        <v>275</v>
      </c>
      <c r="C50" s="2829">
        <v>232</v>
      </c>
      <c r="D50" s="2829">
        <f t="shared" si="241"/>
        <v>232</v>
      </c>
      <c r="E50" s="2829">
        <v>376</v>
      </c>
      <c r="F50" s="2830">
        <v>213</v>
      </c>
      <c r="G50" s="3717">
        <v>2011</v>
      </c>
      <c r="H50" s="2831">
        <v>4</v>
      </c>
      <c r="I50" s="2831">
        <v>-0.2</v>
      </c>
      <c r="J50" s="2831">
        <v>0.04</v>
      </c>
      <c r="K50" s="2831">
        <v>-0.34</v>
      </c>
      <c r="L50" s="2832">
        <v>0.46</v>
      </c>
      <c r="N50" s="2826">
        <f t="shared" si="243"/>
        <v>-2E-3</v>
      </c>
      <c r="O50" s="2827">
        <f t="shared" si="243"/>
        <v>4.0000000000000002E-4</v>
      </c>
      <c r="P50" s="2827">
        <f t="shared" si="243"/>
        <v>-3.4000000000000002E-3</v>
      </c>
      <c r="Q50" s="2827">
        <f t="shared" si="243"/>
        <v>4.5999999999999999E-3</v>
      </c>
      <c r="R50" s="2811"/>
      <c r="S50" s="2820"/>
      <c r="T50" s="2821"/>
      <c r="U50" s="2821"/>
      <c r="V50" s="2821"/>
      <c r="X50" s="2821"/>
      <c r="Y50" s="2821"/>
      <c r="Z50" s="2821"/>
    </row>
    <row r="51" spans="1:26">
      <c r="A51" s="2807" t="s">
        <v>2309</v>
      </c>
      <c r="B51" s="2808">
        <f t="shared" ref="B51:C53" si="253">B50/(1+N50)</f>
        <v>275.55110220440883</v>
      </c>
      <c r="C51" s="2808">
        <f t="shared" si="253"/>
        <v>231.90723710515795</v>
      </c>
      <c r="D51" s="2808">
        <f t="shared" si="241"/>
        <v>231.90723710515795</v>
      </c>
      <c r="E51" s="2808">
        <f t="shared" ref="E51:F53" si="254">E50/(1+P50)</f>
        <v>377.28276138872161</v>
      </c>
      <c r="F51" s="2808">
        <f t="shared" si="254"/>
        <v>212.02468644236512</v>
      </c>
      <c r="G51" s="3715">
        <v>2011</v>
      </c>
      <c r="H51" s="2834">
        <v>3</v>
      </c>
      <c r="I51" s="2834">
        <v>0.13</v>
      </c>
      <c r="J51" s="2834">
        <v>0.75</v>
      </c>
      <c r="K51" s="2834">
        <v>-0.08</v>
      </c>
      <c r="L51" s="2835">
        <v>0.53</v>
      </c>
      <c r="N51" s="2810">
        <f t="shared" si="243"/>
        <v>1.2999999999999999E-3</v>
      </c>
      <c r="O51" s="2828">
        <f t="shared" si="243"/>
        <v>7.4999999999999997E-3</v>
      </c>
      <c r="P51" s="2828">
        <f t="shared" si="243"/>
        <v>-8.0000000000000004E-4</v>
      </c>
      <c r="Q51" s="2828">
        <f t="shared" si="243"/>
        <v>5.3E-3</v>
      </c>
      <c r="R51" s="2811"/>
      <c r="S51" s="2810"/>
      <c r="T51" s="2806"/>
      <c r="U51" s="2806"/>
      <c r="V51" s="2806"/>
    </row>
    <row r="52" spans="1:26">
      <c r="A52" s="2807" t="s">
        <v>2310</v>
      </c>
      <c r="B52" s="2808">
        <f t="shared" si="253"/>
        <v>275.19335084830601</v>
      </c>
      <c r="C52" s="2808">
        <f t="shared" si="253"/>
        <v>230.18088050139744</v>
      </c>
      <c r="D52" s="2808">
        <f t="shared" si="241"/>
        <v>230.18088050139744</v>
      </c>
      <c r="E52" s="2808">
        <f t="shared" si="254"/>
        <v>377.58482925212331</v>
      </c>
      <c r="F52" s="2808">
        <f t="shared" si="254"/>
        <v>210.90687997847917</v>
      </c>
      <c r="G52" s="3715">
        <v>2011</v>
      </c>
      <c r="H52" s="2822">
        <v>2</v>
      </c>
      <c r="I52" s="2822">
        <v>-0.4</v>
      </c>
      <c r="J52" s="2822">
        <v>0.17</v>
      </c>
      <c r="K52" s="2822">
        <v>-0.57999999999999996</v>
      </c>
      <c r="L52" s="2823">
        <v>-0.2</v>
      </c>
      <c r="N52" s="2810">
        <f t="shared" si="243"/>
        <v>-4.0000000000000001E-3</v>
      </c>
      <c r="O52" s="2828">
        <f t="shared" si="243"/>
        <v>1.7000000000000001E-3</v>
      </c>
      <c r="P52" s="2828">
        <f t="shared" si="243"/>
        <v>-5.7999999999999996E-3</v>
      </c>
      <c r="Q52" s="2828">
        <f t="shared" si="243"/>
        <v>-2E-3</v>
      </c>
      <c r="R52" s="2811"/>
      <c r="S52" s="2810"/>
      <c r="T52" s="2806"/>
      <c r="U52" s="2806"/>
      <c r="V52" s="2806"/>
    </row>
    <row r="53" spans="1:26" ht="13.8" thickBot="1">
      <c r="A53" s="2807" t="s">
        <v>2311</v>
      </c>
      <c r="B53" s="2808">
        <f t="shared" si="253"/>
        <v>276.29854502841971</v>
      </c>
      <c r="C53" s="2808">
        <f t="shared" si="253"/>
        <v>229.79023709833027</v>
      </c>
      <c r="D53" s="2808">
        <f t="shared" si="241"/>
        <v>229.79023709833027</v>
      </c>
      <c r="E53" s="2808">
        <f t="shared" si="254"/>
        <v>379.78759731655936</v>
      </c>
      <c r="F53" s="2808">
        <f t="shared" si="254"/>
        <v>211.32953905659235</v>
      </c>
      <c r="G53" s="3718">
        <v>2011</v>
      </c>
      <c r="H53" s="2809">
        <v>1</v>
      </c>
      <c r="I53" s="2809">
        <v>2.65</v>
      </c>
      <c r="J53" s="2809">
        <v>3.76</v>
      </c>
      <c r="K53" s="2809">
        <v>1.89</v>
      </c>
      <c r="L53" s="2815">
        <v>7.95</v>
      </c>
      <c r="N53" s="2812">
        <f t="shared" si="243"/>
        <v>2.6499999999999999E-2</v>
      </c>
      <c r="O53" s="2813">
        <f t="shared" si="243"/>
        <v>3.7599999999999995E-2</v>
      </c>
      <c r="P53" s="2813">
        <f t="shared" si="243"/>
        <v>1.89E-2</v>
      </c>
      <c r="Q53" s="2813">
        <f t="shared" si="243"/>
        <v>7.9500000000000001E-2</v>
      </c>
      <c r="R53" s="2811"/>
      <c r="S53" s="2812">
        <f>B53/B54-1</f>
        <v>2.713213765211786E-2</v>
      </c>
      <c r="T53" s="2813">
        <f>C53/C54-1</f>
        <v>3.9774828499231862E-2</v>
      </c>
      <c r="U53" s="2813">
        <f>E53/E54-1</f>
        <v>1.8197311840641772E-2</v>
      </c>
      <c r="V53" s="2813">
        <f>F53/F54-1</f>
        <v>7.8211933962205826E-2</v>
      </c>
      <c r="X53" s="2806"/>
      <c r="Y53" s="2806"/>
      <c r="Z53" s="2806"/>
    </row>
    <row r="54" spans="1:26" ht="13.8" thickBot="1">
      <c r="A54" s="2807" t="s">
        <v>2312</v>
      </c>
      <c r="B54" s="2829">
        <v>269</v>
      </c>
      <c r="C54" s="2829">
        <v>221</v>
      </c>
      <c r="D54" s="2829">
        <f t="shared" si="241"/>
        <v>221</v>
      </c>
      <c r="E54" s="2829">
        <v>373</v>
      </c>
      <c r="F54" s="2830">
        <v>196</v>
      </c>
      <c r="G54" s="3717">
        <v>2010</v>
      </c>
      <c r="H54" s="2831">
        <v>4</v>
      </c>
      <c r="I54" s="2831">
        <v>5.72</v>
      </c>
      <c r="J54" s="2831">
        <v>6.57</v>
      </c>
      <c r="K54" s="2831">
        <v>5.72</v>
      </c>
      <c r="L54" s="2832">
        <v>2.72</v>
      </c>
      <c r="N54" s="2810">
        <f t="shared" si="243"/>
        <v>5.7200000000000001E-2</v>
      </c>
      <c r="O54" s="2806">
        <f t="shared" si="243"/>
        <v>6.5700000000000008E-2</v>
      </c>
      <c r="P54" s="2806">
        <f t="shared" si="243"/>
        <v>5.7200000000000001E-2</v>
      </c>
      <c r="Q54" s="2806">
        <f t="shared" si="243"/>
        <v>2.7200000000000002E-2</v>
      </c>
      <c r="R54" s="2811"/>
      <c r="S54" s="2820"/>
      <c r="T54" s="2821"/>
      <c r="U54" s="2821"/>
      <c r="V54" s="2821"/>
      <c r="X54" s="2821"/>
      <c r="Y54" s="2821"/>
      <c r="Z54" s="2821"/>
    </row>
    <row r="55" spans="1:26">
      <c r="A55" s="2807" t="s">
        <v>2313</v>
      </c>
      <c r="B55" s="2808">
        <f t="shared" ref="B55:C57" si="255">B54/(1+N54)</f>
        <v>254.44570563753314</v>
      </c>
      <c r="C55" s="2808">
        <f t="shared" si="255"/>
        <v>207.37543398705074</v>
      </c>
      <c r="D55" s="2808">
        <f t="shared" si="241"/>
        <v>207.37543398705074</v>
      </c>
      <c r="E55" s="2808">
        <f t="shared" ref="E55:F57" si="256">E54/(1+P54)</f>
        <v>352.81876655315932</v>
      </c>
      <c r="F55" s="2808">
        <f t="shared" si="256"/>
        <v>190.809968847352</v>
      </c>
      <c r="G55" s="3715">
        <v>2010</v>
      </c>
      <c r="H55" s="2834">
        <v>3</v>
      </c>
      <c r="I55" s="2834">
        <v>4.7300000000000004</v>
      </c>
      <c r="J55" s="2834">
        <v>3.9</v>
      </c>
      <c r="K55" s="2834">
        <v>5.03</v>
      </c>
      <c r="L55" s="2835">
        <v>4.21</v>
      </c>
      <c r="N55" s="2810">
        <f t="shared" si="243"/>
        <v>4.7300000000000002E-2</v>
      </c>
      <c r="O55" s="2806">
        <f t="shared" si="243"/>
        <v>3.9E-2</v>
      </c>
      <c r="P55" s="2806">
        <f t="shared" si="243"/>
        <v>5.0300000000000004E-2</v>
      </c>
      <c r="Q55" s="2806">
        <f t="shared" si="243"/>
        <v>4.2099999999999999E-2</v>
      </c>
      <c r="R55" s="2811"/>
      <c r="S55" s="2810"/>
      <c r="T55" s="2806"/>
      <c r="U55" s="2806"/>
      <c r="V55" s="2806"/>
    </row>
    <row r="56" spans="1:26">
      <c r="A56" s="2807" t="s">
        <v>2314</v>
      </c>
      <c r="B56" s="2808">
        <f t="shared" si="255"/>
        <v>242.95398227588385</v>
      </c>
      <c r="C56" s="2808">
        <f t="shared" si="255"/>
        <v>199.59137053614126</v>
      </c>
      <c r="D56" s="2808">
        <f t="shared" si="241"/>
        <v>199.59137053614126</v>
      </c>
      <c r="E56" s="2808">
        <f t="shared" si="256"/>
        <v>335.92189522342125</v>
      </c>
      <c r="F56" s="2808">
        <f t="shared" si="256"/>
        <v>183.10139991109489</v>
      </c>
      <c r="G56" s="3715">
        <v>2010</v>
      </c>
      <c r="H56" s="2822">
        <v>2</v>
      </c>
      <c r="I56" s="2822">
        <v>4.6900000000000004</v>
      </c>
      <c r="J56" s="2822">
        <v>3.55</v>
      </c>
      <c r="K56" s="2822">
        <v>5.07</v>
      </c>
      <c r="L56" s="2823">
        <v>4.2300000000000004</v>
      </c>
      <c r="N56" s="2810">
        <f t="shared" si="243"/>
        <v>4.6900000000000004E-2</v>
      </c>
      <c r="O56" s="2806">
        <f t="shared" si="243"/>
        <v>3.5499999999999997E-2</v>
      </c>
      <c r="P56" s="2806">
        <f t="shared" si="243"/>
        <v>5.0700000000000002E-2</v>
      </c>
      <c r="Q56" s="2806">
        <f t="shared" si="243"/>
        <v>4.2300000000000004E-2</v>
      </c>
      <c r="R56" s="2811"/>
      <c r="S56" s="2810"/>
      <c r="T56" s="2806"/>
      <c r="U56" s="2806"/>
      <c r="V56" s="2806"/>
    </row>
    <row r="57" spans="1:26" ht="13.8" thickBot="1">
      <c r="A57" s="2807" t="s">
        <v>2315</v>
      </c>
      <c r="B57" s="2808">
        <f t="shared" si="255"/>
        <v>232.06990378821649</v>
      </c>
      <c r="C57" s="2808">
        <f t="shared" si="255"/>
        <v>192.74878854286936</v>
      </c>
      <c r="D57" s="2808">
        <f t="shared" si="241"/>
        <v>192.74878854286936</v>
      </c>
      <c r="E57" s="2808">
        <f t="shared" si="256"/>
        <v>319.71247284992984</v>
      </c>
      <c r="F57" s="2808">
        <f t="shared" si="256"/>
        <v>175.67053622862409</v>
      </c>
      <c r="G57" s="3718">
        <v>2010</v>
      </c>
      <c r="H57" s="2809">
        <v>1</v>
      </c>
      <c r="I57" s="2809">
        <v>5.4</v>
      </c>
      <c r="J57" s="2809">
        <v>3.2</v>
      </c>
      <c r="K57" s="2809">
        <v>6.16</v>
      </c>
      <c r="L57" s="2815">
        <v>4.51</v>
      </c>
      <c r="N57" s="2810">
        <f t="shared" si="243"/>
        <v>5.4000000000000006E-2</v>
      </c>
      <c r="O57" s="2806">
        <f t="shared" si="243"/>
        <v>3.2000000000000001E-2</v>
      </c>
      <c r="P57" s="2806">
        <f t="shared" si="243"/>
        <v>6.1600000000000002E-2</v>
      </c>
      <c r="Q57" s="2806">
        <f t="shared" si="243"/>
        <v>4.5100000000000001E-2</v>
      </c>
      <c r="R57" s="2811"/>
      <c r="S57" s="2812">
        <f>B57/B58-1</f>
        <v>5.4863199037347599E-2</v>
      </c>
      <c r="T57" s="2813">
        <f>C57/C58-1</f>
        <v>3.0742184721226584E-2</v>
      </c>
      <c r="U57" s="2813">
        <f>E57/E58-1</f>
        <v>6.2167683886810154E-2</v>
      </c>
      <c r="V57" s="2813">
        <f>F57/F58-1</f>
        <v>4.5657953741810031E-2</v>
      </c>
      <c r="X57" s="2806"/>
      <c r="Y57" s="2806"/>
      <c r="Z57" s="2806"/>
    </row>
    <row r="58" spans="1:26" ht="13.8" thickBot="1">
      <c r="A58" s="2807" t="s">
        <v>2316</v>
      </c>
      <c r="B58" s="2829">
        <v>220</v>
      </c>
      <c r="C58" s="2829">
        <v>187</v>
      </c>
      <c r="D58" s="2829">
        <f t="shared" si="241"/>
        <v>187</v>
      </c>
      <c r="E58" s="2829">
        <v>301</v>
      </c>
      <c r="F58" s="2830">
        <v>168</v>
      </c>
      <c r="G58" s="3717">
        <v>2009</v>
      </c>
      <c r="H58" s="2831">
        <v>4</v>
      </c>
      <c r="I58" s="2831">
        <v>2.2999999999999998</v>
      </c>
      <c r="J58" s="2831">
        <v>1.04</v>
      </c>
      <c r="K58" s="2831">
        <v>2.84</v>
      </c>
      <c r="L58" s="2832">
        <v>0.67</v>
      </c>
      <c r="N58" s="2826">
        <f t="shared" si="243"/>
        <v>2.3E-2</v>
      </c>
      <c r="O58" s="2827">
        <f t="shared" si="243"/>
        <v>1.04E-2</v>
      </c>
      <c r="P58" s="2827">
        <f t="shared" si="243"/>
        <v>2.8399999999999998E-2</v>
      </c>
      <c r="Q58" s="2827">
        <f t="shared" si="243"/>
        <v>6.7000000000000002E-3</v>
      </c>
      <c r="R58" s="2811"/>
      <c r="S58" s="2820"/>
      <c r="T58" s="2821"/>
      <c r="U58" s="2821"/>
      <c r="V58" s="2821"/>
      <c r="X58" s="2821"/>
      <c r="Y58" s="2821"/>
      <c r="Z58" s="2821"/>
    </row>
    <row r="59" spans="1:26">
      <c r="A59" s="2807" t="s">
        <v>2317</v>
      </c>
      <c r="B59" s="2808">
        <f t="shared" ref="B59:C61" si="257">B58/(1+N58)</f>
        <v>215.05376344086022</v>
      </c>
      <c r="C59" s="2808">
        <f t="shared" si="257"/>
        <v>185.0752177355503</v>
      </c>
      <c r="D59" s="2808">
        <f t="shared" si="241"/>
        <v>185.0752177355503</v>
      </c>
      <c r="E59" s="2808">
        <f t="shared" ref="E59:F61" si="258">E58/(1+P58)</f>
        <v>292.68767016725008</v>
      </c>
      <c r="F59" s="2808">
        <f t="shared" si="258"/>
        <v>166.88189132810174</v>
      </c>
      <c r="G59" s="3715">
        <v>2009</v>
      </c>
      <c r="H59" s="2834">
        <v>3</v>
      </c>
      <c r="I59" s="2834">
        <v>2.1</v>
      </c>
      <c r="J59" s="2834">
        <v>1.86</v>
      </c>
      <c r="K59" s="2834">
        <v>2.29</v>
      </c>
      <c r="L59" s="2835">
        <v>0.85</v>
      </c>
      <c r="N59" s="2810">
        <f t="shared" si="243"/>
        <v>2.1000000000000001E-2</v>
      </c>
      <c r="O59" s="2828">
        <f t="shared" si="243"/>
        <v>1.8600000000000002E-2</v>
      </c>
      <c r="P59" s="2828">
        <f t="shared" si="243"/>
        <v>2.29E-2</v>
      </c>
      <c r="Q59" s="2828">
        <f t="shared" si="243"/>
        <v>8.5000000000000006E-3</v>
      </c>
      <c r="R59" s="2811"/>
      <c r="S59" s="2810"/>
      <c r="T59" s="2806"/>
      <c r="U59" s="2806"/>
      <c r="V59" s="2806"/>
    </row>
    <row r="60" spans="1:26">
      <c r="A60" s="2807" t="s">
        <v>2318</v>
      </c>
      <c r="B60" s="2808">
        <f t="shared" si="257"/>
        <v>210.630522469011</v>
      </c>
      <c r="C60" s="2808">
        <f t="shared" si="257"/>
        <v>181.69567812247232</v>
      </c>
      <c r="D60" s="2808">
        <f t="shared" si="241"/>
        <v>181.69567812247232</v>
      </c>
      <c r="E60" s="2808">
        <f t="shared" si="258"/>
        <v>286.13517466736738</v>
      </c>
      <c r="F60" s="2808">
        <f t="shared" si="258"/>
        <v>165.47535084591149</v>
      </c>
      <c r="G60" s="3715">
        <v>2009</v>
      </c>
      <c r="H60" s="2822">
        <v>2</v>
      </c>
      <c r="I60" s="2822">
        <v>0.86</v>
      </c>
      <c r="J60" s="2822">
        <v>-1.1299999999999999</v>
      </c>
      <c r="K60" s="2822">
        <v>1.79</v>
      </c>
      <c r="L60" s="2823">
        <v>-2.0699999999999998</v>
      </c>
      <c r="N60" s="2810">
        <f t="shared" si="243"/>
        <v>8.6E-3</v>
      </c>
      <c r="O60" s="2828">
        <f t="shared" si="243"/>
        <v>-1.1299999999999999E-2</v>
      </c>
      <c r="P60" s="2828">
        <f t="shared" si="243"/>
        <v>1.7899999999999999E-2</v>
      </c>
      <c r="Q60" s="2828">
        <f t="shared" si="243"/>
        <v>-2.07E-2</v>
      </c>
      <c r="R60" s="2811"/>
      <c r="S60" s="2810"/>
      <c r="T60" s="2806"/>
      <c r="U60" s="2806"/>
      <c r="V60" s="2806"/>
    </row>
    <row r="61" spans="1:26">
      <c r="A61" s="2807" t="s">
        <v>2319</v>
      </c>
      <c r="B61" s="2808">
        <f t="shared" si="257"/>
        <v>208.83454537875372</v>
      </c>
      <c r="C61" s="2808">
        <f t="shared" si="257"/>
        <v>183.77230517090351</v>
      </c>
      <c r="D61" s="2808">
        <f t="shared" si="241"/>
        <v>183.77230517090351</v>
      </c>
      <c r="E61" s="2808">
        <f t="shared" si="258"/>
        <v>281.10342338870947</v>
      </c>
      <c r="F61" s="2808">
        <f t="shared" si="258"/>
        <v>168.97309388942256</v>
      </c>
      <c r="G61" s="3718">
        <v>2009</v>
      </c>
      <c r="H61" s="2809">
        <v>1</v>
      </c>
      <c r="I61" s="2809">
        <v>-2.64</v>
      </c>
      <c r="J61" s="2809">
        <v>-2.5299999999999998</v>
      </c>
      <c r="K61" s="2809">
        <v>-3.02</v>
      </c>
      <c r="L61" s="2815">
        <v>1.52</v>
      </c>
      <c r="N61" s="2812">
        <f t="shared" si="243"/>
        <v>-2.64E-2</v>
      </c>
      <c r="O61" s="2813">
        <f t="shared" si="243"/>
        <v>-2.53E-2</v>
      </c>
      <c r="P61" s="2813">
        <f t="shared" si="243"/>
        <v>-3.0200000000000001E-2</v>
      </c>
      <c r="Q61" s="2813">
        <f t="shared" si="243"/>
        <v>1.52E-2</v>
      </c>
      <c r="R61" s="2811"/>
      <c r="S61" s="2812">
        <f>B61/B62-1</f>
        <v>-2.4137638417038754E-2</v>
      </c>
      <c r="T61" s="2813">
        <f>C61/C62-1</f>
        <v>-2.248773845264096E-2</v>
      </c>
      <c r="U61" s="2813">
        <f>E61/E62-1</f>
        <v>-2.7323794502735366E-2</v>
      </c>
      <c r="V61" s="2813">
        <f>F61/F62-1</f>
        <v>1.7910204153148035E-2</v>
      </c>
      <c r="X61" s="2806"/>
      <c r="Y61" s="2806"/>
      <c r="Z61" s="2806"/>
    </row>
    <row r="62" spans="1:26" ht="13.8" thickBot="1">
      <c r="A62" s="2807" t="s">
        <v>2320</v>
      </c>
      <c r="B62" s="2857">
        <v>214</v>
      </c>
      <c r="C62" s="2857">
        <v>188</v>
      </c>
      <c r="D62" s="2857">
        <f t="shared" si="241"/>
        <v>188</v>
      </c>
      <c r="E62" s="2857">
        <v>289</v>
      </c>
      <c r="F62" s="2858">
        <v>166</v>
      </c>
      <c r="G62" s="3717">
        <v>2008</v>
      </c>
      <c r="H62" s="2831">
        <v>4</v>
      </c>
      <c r="I62" s="2831">
        <v>1.73</v>
      </c>
      <c r="J62" s="2831">
        <v>0.03</v>
      </c>
      <c r="K62" s="2831">
        <v>2.59</v>
      </c>
      <c r="L62" s="2832">
        <v>-1.66</v>
      </c>
      <c r="N62" s="2810">
        <f t="shared" si="243"/>
        <v>1.7299999999999999E-2</v>
      </c>
      <c r="O62" s="2806">
        <f t="shared" si="243"/>
        <v>2.9999999999999997E-4</v>
      </c>
      <c r="P62" s="2806">
        <f t="shared" si="243"/>
        <v>2.5899999999999999E-2</v>
      </c>
      <c r="Q62" s="2806">
        <f t="shared" si="243"/>
        <v>-1.66E-2</v>
      </c>
      <c r="R62" s="2811"/>
      <c r="S62" s="2820"/>
      <c r="T62" s="2821"/>
      <c r="U62" s="2821"/>
      <c r="V62" s="2821"/>
      <c r="X62" s="2821"/>
      <c r="Y62" s="2821"/>
      <c r="Z62" s="2821"/>
    </row>
    <row r="63" spans="1:26">
      <c r="A63" s="2807" t="s">
        <v>2321</v>
      </c>
      <c r="B63" s="2808">
        <f t="shared" ref="B63:C65" si="259">B62/(1+N62)</f>
        <v>210.36075887152265</v>
      </c>
      <c r="C63" s="2808">
        <f t="shared" si="259"/>
        <v>187.94361691492554</v>
      </c>
      <c r="D63" s="2808">
        <f t="shared" si="241"/>
        <v>187.94361691492554</v>
      </c>
      <c r="E63" s="2808">
        <f t="shared" ref="E63:F65" si="260">E62/(1+P62)</f>
        <v>281.70386977288234</v>
      </c>
      <c r="F63" s="2808">
        <f t="shared" si="260"/>
        <v>168.80211511083994</v>
      </c>
      <c r="G63" s="3715">
        <v>2008</v>
      </c>
      <c r="H63" s="2834">
        <v>3</v>
      </c>
      <c r="I63" s="2834">
        <v>1.96</v>
      </c>
      <c r="J63" s="2834">
        <v>2.36</v>
      </c>
      <c r="K63" s="2834">
        <v>1.82</v>
      </c>
      <c r="L63" s="2835">
        <v>2.2200000000000002</v>
      </c>
      <c r="N63" s="2810">
        <f t="shared" si="243"/>
        <v>1.9599999999999999E-2</v>
      </c>
      <c r="O63" s="2806">
        <f t="shared" si="243"/>
        <v>2.3599999999999999E-2</v>
      </c>
      <c r="P63" s="2806">
        <f t="shared" si="243"/>
        <v>1.8200000000000001E-2</v>
      </c>
      <c r="Q63" s="2806">
        <f t="shared" si="243"/>
        <v>2.2200000000000001E-2</v>
      </c>
      <c r="R63" s="2811"/>
      <c r="S63" s="2810"/>
      <c r="T63" s="2806"/>
      <c r="U63" s="2806"/>
      <c r="V63" s="2806"/>
    </row>
    <row r="64" spans="1:26">
      <c r="A64" s="2807" t="s">
        <v>2322</v>
      </c>
      <c r="B64" s="2808">
        <f t="shared" si="259"/>
        <v>206.31694671589116</v>
      </c>
      <c r="C64" s="2808">
        <f t="shared" si="259"/>
        <v>183.61041121036101</v>
      </c>
      <c r="D64" s="2808">
        <f t="shared" si="241"/>
        <v>183.61041121036101</v>
      </c>
      <c r="E64" s="2808">
        <f t="shared" si="260"/>
        <v>276.66850301795557</v>
      </c>
      <c r="F64" s="2808">
        <f t="shared" si="260"/>
        <v>165.1360938278614</v>
      </c>
      <c r="G64" s="3715">
        <v>2008</v>
      </c>
      <c r="H64" s="2822">
        <v>2</v>
      </c>
      <c r="I64" s="2822">
        <v>4.93</v>
      </c>
      <c r="J64" s="2822">
        <v>7.38</v>
      </c>
      <c r="K64" s="2822">
        <v>3.98</v>
      </c>
      <c r="L64" s="2823">
        <v>6.86</v>
      </c>
      <c r="N64" s="2810">
        <f t="shared" si="243"/>
        <v>4.9299999999999997E-2</v>
      </c>
      <c r="O64" s="2806">
        <f t="shared" si="243"/>
        <v>7.3800000000000004E-2</v>
      </c>
      <c r="P64" s="2806">
        <f t="shared" si="243"/>
        <v>3.9800000000000002E-2</v>
      </c>
      <c r="Q64" s="2806">
        <f t="shared" si="243"/>
        <v>6.8600000000000008E-2</v>
      </c>
      <c r="R64" s="2811"/>
      <c r="S64" s="2810"/>
      <c r="T64" s="2806"/>
      <c r="U64" s="2806"/>
      <c r="V64" s="2806"/>
    </row>
    <row r="65" spans="1:26" s="2863" customFormat="1" ht="13.8" thickBot="1">
      <c r="A65" s="2807" t="s">
        <v>2323</v>
      </c>
      <c r="B65" s="2860">
        <f t="shared" si="259"/>
        <v>196.62341248059772</v>
      </c>
      <c r="C65" s="2860">
        <f t="shared" si="259"/>
        <v>170.99125648199012</v>
      </c>
      <c r="D65" s="2860">
        <f t="shared" si="241"/>
        <v>170.99125648199012</v>
      </c>
      <c r="E65" s="2860">
        <f t="shared" si="260"/>
        <v>266.07857570490052</v>
      </c>
      <c r="F65" s="2860">
        <f t="shared" si="260"/>
        <v>154.53499328828505</v>
      </c>
      <c r="G65" s="3718">
        <v>2008</v>
      </c>
      <c r="H65" s="2861">
        <v>1</v>
      </c>
      <c r="I65" s="2861">
        <v>4.1399999999999997</v>
      </c>
      <c r="J65" s="2861">
        <v>3.45</v>
      </c>
      <c r="K65" s="2861">
        <v>4.95</v>
      </c>
      <c r="L65" s="2862">
        <v>4.82</v>
      </c>
      <c r="N65" s="2864">
        <f t="shared" si="243"/>
        <v>4.1399999999999999E-2</v>
      </c>
      <c r="O65" s="2865">
        <f t="shared" si="243"/>
        <v>3.4500000000000003E-2</v>
      </c>
      <c r="P65" s="2865">
        <f t="shared" si="243"/>
        <v>4.9500000000000002E-2</v>
      </c>
      <c r="Q65" s="2865">
        <f t="shared" si="243"/>
        <v>4.82E-2</v>
      </c>
      <c r="R65" s="2866"/>
      <c r="S65" s="2864">
        <f>B65/B66-1</f>
        <v>4.5869215322328349E-2</v>
      </c>
      <c r="T65" s="2865">
        <f>C65/C66-1</f>
        <v>3.6310645345394743E-2</v>
      </c>
      <c r="U65" s="2865">
        <f>E65/E66-1</f>
        <v>4.7553447657088688E-2</v>
      </c>
      <c r="V65" s="2865">
        <f>F65/F66-1</f>
        <v>4.4155360055980086E-2</v>
      </c>
      <c r="X65" s="2865"/>
      <c r="Y65" s="2865"/>
      <c r="Z65" s="2865"/>
    </row>
    <row r="66" spans="1:26" ht="13.8" thickBot="1">
      <c r="A66" s="2807" t="s">
        <v>2324</v>
      </c>
      <c r="B66" s="2829">
        <v>188</v>
      </c>
      <c r="C66" s="2829">
        <v>165</v>
      </c>
      <c r="D66" s="2829">
        <f t="shared" si="241"/>
        <v>165</v>
      </c>
      <c r="E66" s="2829">
        <v>254</v>
      </c>
      <c r="F66" s="2830">
        <v>148</v>
      </c>
      <c r="G66" s="3717">
        <v>2007</v>
      </c>
      <c r="H66" s="2867">
        <v>4</v>
      </c>
      <c r="I66" s="2867">
        <v>5.51</v>
      </c>
      <c r="J66" s="2867">
        <v>4.8899999999999997</v>
      </c>
      <c r="K66" s="2867">
        <v>6.43</v>
      </c>
      <c r="L66" s="2868">
        <v>5.36</v>
      </c>
      <c r="N66" s="2869">
        <f t="shared" ref="N66:O69" si="261">B66/B67-1</f>
        <v>4.1339718365245526E-2</v>
      </c>
      <c r="O66" s="2870">
        <f t="shared" si="261"/>
        <v>4.0324492593776018E-2</v>
      </c>
      <c r="P66" s="2870">
        <f t="shared" ref="P66:Q69" si="262">E66/E67-1</f>
        <v>6.1625555347990968E-2</v>
      </c>
      <c r="Q66" s="2870">
        <f t="shared" si="262"/>
        <v>4.6757569250590603E-2</v>
      </c>
      <c r="R66" s="2811"/>
      <c r="S66" s="2820"/>
      <c r="T66" s="2821"/>
      <c r="U66" s="2821"/>
      <c r="V66" s="2821"/>
      <c r="X66" s="2821"/>
      <c r="Y66" s="2821"/>
      <c r="Z66" s="2821"/>
    </row>
    <row r="67" spans="1:26">
      <c r="A67" s="2807" t="s">
        <v>2325</v>
      </c>
      <c r="B67" s="2808">
        <f t="shared" ref="B67:C69" si="263">B68+(B$66-B$70)*I67/SUM(I$66:I$69)</f>
        <v>180.5366651097618</v>
      </c>
      <c r="C67" s="2808">
        <f t="shared" si="263"/>
        <v>158.60435967302453</v>
      </c>
      <c r="D67" s="2808">
        <f t="shared" si="241"/>
        <v>158.60435967302453</v>
      </c>
      <c r="E67" s="2808">
        <f t="shared" ref="E67:F69" si="264">E68+(E$66-E$70)*K67/SUM(K$66:K$69)</f>
        <v>239.25573260785075</v>
      </c>
      <c r="F67" s="2808">
        <f t="shared" si="264"/>
        <v>141.38899430740037</v>
      </c>
      <c r="G67" s="3715">
        <v>2007</v>
      </c>
      <c r="H67" s="2834">
        <v>3</v>
      </c>
      <c r="I67" s="2834">
        <v>8.65</v>
      </c>
      <c r="J67" s="2834">
        <v>8.06</v>
      </c>
      <c r="K67" s="2834">
        <v>9.94</v>
      </c>
      <c r="L67" s="2835">
        <v>5.8</v>
      </c>
      <c r="N67" s="2869">
        <f t="shared" si="261"/>
        <v>6.940217571740015E-2</v>
      </c>
      <c r="O67" s="2870">
        <f t="shared" si="261"/>
        <v>7.1197482471153428E-2</v>
      </c>
      <c r="P67" s="2870">
        <f t="shared" si="262"/>
        <v>0.10529679922579582</v>
      </c>
      <c r="Q67" s="2870">
        <f t="shared" si="262"/>
        <v>5.3292245059512133E-2</v>
      </c>
      <c r="R67" s="2811"/>
      <c r="S67" s="2810"/>
      <c r="T67" s="2806"/>
      <c r="U67" s="2806"/>
      <c r="V67" s="2806"/>
      <c r="X67" s="2871"/>
      <c r="Y67" s="2871"/>
      <c r="Z67" s="2871"/>
    </row>
    <row r="68" spans="1:26">
      <c r="A68" s="2807" t="s">
        <v>2326</v>
      </c>
      <c r="B68" s="2808">
        <f t="shared" si="263"/>
        <v>168.82017748715555</v>
      </c>
      <c r="C68" s="2808">
        <f t="shared" si="263"/>
        <v>148.06267029972753</v>
      </c>
      <c r="D68" s="2808">
        <f t="shared" si="241"/>
        <v>148.06267029972753</v>
      </c>
      <c r="E68" s="2808">
        <f t="shared" si="264"/>
        <v>216.46288379323747</v>
      </c>
      <c r="F68" s="2808">
        <f t="shared" si="264"/>
        <v>134.23529411764704</v>
      </c>
      <c r="G68" s="3715">
        <v>2007</v>
      </c>
      <c r="H68" s="2822">
        <v>2</v>
      </c>
      <c r="I68" s="2822">
        <v>3.67</v>
      </c>
      <c r="J68" s="2822">
        <v>2.3199999999999998</v>
      </c>
      <c r="K68" s="2822">
        <v>5.0199999999999996</v>
      </c>
      <c r="L68" s="2823">
        <v>6.71</v>
      </c>
      <c r="N68" s="2869">
        <f t="shared" si="261"/>
        <v>3.0339138143848032E-2</v>
      </c>
      <c r="O68" s="2870">
        <f t="shared" si="261"/>
        <v>2.0922341588790472E-2</v>
      </c>
      <c r="P68" s="2870">
        <f t="shared" si="262"/>
        <v>5.6164796592717003E-2</v>
      </c>
      <c r="Q68" s="2870">
        <f t="shared" si="262"/>
        <v>6.5704536723887319E-2</v>
      </c>
      <c r="R68" s="2811"/>
      <c r="S68" s="2810"/>
      <c r="T68" s="2806"/>
      <c r="U68" s="2806"/>
      <c r="V68" s="2806"/>
      <c r="X68" s="2871"/>
      <c r="Y68" s="2871"/>
      <c r="Z68" s="2871"/>
    </row>
    <row r="69" spans="1:26">
      <c r="A69" s="2807" t="s">
        <v>2327</v>
      </c>
      <c r="B69" s="2808">
        <f t="shared" si="263"/>
        <v>163.84913591779542</v>
      </c>
      <c r="C69" s="2808">
        <f t="shared" si="263"/>
        <v>145.0283378746594</v>
      </c>
      <c r="D69" s="2808">
        <f t="shared" si="241"/>
        <v>145.0283378746594</v>
      </c>
      <c r="E69" s="2808">
        <f t="shared" si="264"/>
        <v>204.95180722891567</v>
      </c>
      <c r="F69" s="2808">
        <f t="shared" si="264"/>
        <v>125.95920303605313</v>
      </c>
      <c r="G69" s="3718">
        <v>2007</v>
      </c>
      <c r="H69" s="2809">
        <v>1</v>
      </c>
      <c r="I69" s="2809">
        <v>3.58</v>
      </c>
      <c r="J69" s="2809">
        <v>3.08</v>
      </c>
      <c r="K69" s="2809">
        <v>4.34</v>
      </c>
      <c r="L69" s="2815">
        <v>3.21</v>
      </c>
      <c r="N69" s="2872">
        <f t="shared" si="261"/>
        <v>3.0497710174814063E-2</v>
      </c>
      <c r="O69" s="2873">
        <f t="shared" si="261"/>
        <v>2.8569772160704998E-2</v>
      </c>
      <c r="P69" s="2873">
        <f t="shared" si="262"/>
        <v>5.1034908866234296E-2</v>
      </c>
      <c r="Q69" s="2873">
        <f t="shared" si="262"/>
        <v>3.245248390207478E-2</v>
      </c>
      <c r="R69" s="2811"/>
      <c r="S69" s="2812">
        <f>B69/B70-1</f>
        <v>3.0497710174814063E-2</v>
      </c>
      <c r="T69" s="2813">
        <f>C69/C70-1</f>
        <v>2.8569772160704998E-2</v>
      </c>
      <c r="U69" s="2813">
        <f>E69/E70-1</f>
        <v>5.1034908866234296E-2</v>
      </c>
      <c r="V69" s="2813">
        <f>F69/F70-1</f>
        <v>3.245248390207478E-2</v>
      </c>
      <c r="X69" s="2871"/>
      <c r="Y69" s="2871"/>
      <c r="Z69" s="2871"/>
    </row>
    <row r="70" spans="1:26" ht="13.8" thickBot="1">
      <c r="A70" s="2807" t="s">
        <v>2328</v>
      </c>
      <c r="B70" s="2836">
        <v>159</v>
      </c>
      <c r="C70" s="2836">
        <v>141</v>
      </c>
      <c r="D70" s="2836">
        <f t="shared" si="241"/>
        <v>141</v>
      </c>
      <c r="E70" s="2836">
        <v>195</v>
      </c>
      <c r="F70" s="2837">
        <v>122</v>
      </c>
      <c r="G70" s="3717">
        <v>2006</v>
      </c>
      <c r="H70" s="2831">
        <v>4</v>
      </c>
      <c r="I70" s="2831">
        <v>3.79</v>
      </c>
      <c r="J70" s="2831">
        <v>2.21</v>
      </c>
      <c r="K70" s="2831">
        <v>5.65</v>
      </c>
      <c r="L70" s="2832">
        <v>5.41</v>
      </c>
      <c r="N70" s="2869">
        <f t="shared" ref="N70:O73" si="265">I70/SUM(I$70:I$73)*(B$70/B$74-1)</f>
        <v>7.245466462748526E-2</v>
      </c>
      <c r="O70" s="2870">
        <f t="shared" si="265"/>
        <v>2.3237230038062766E-2</v>
      </c>
      <c r="P70" s="2870">
        <f t="shared" ref="P70:Q73" si="266">K70/SUM(K$70:K$73)*(E$70/E$74-1)</f>
        <v>0.16146893866323722</v>
      </c>
      <c r="Q70" s="2870">
        <f t="shared" si="266"/>
        <v>5.0755230321793784E-2</v>
      </c>
      <c r="R70" s="2811"/>
      <c r="S70" s="2820"/>
      <c r="T70" s="2821"/>
      <c r="U70" s="2821"/>
      <c r="V70" s="2821"/>
      <c r="X70" s="2871"/>
      <c r="Y70" s="2871"/>
      <c r="Z70" s="2871"/>
    </row>
    <row r="71" spans="1:26">
      <c r="A71" s="2807" t="s">
        <v>2329</v>
      </c>
      <c r="B71" s="2808">
        <f t="shared" ref="B71:C73" si="267">B72+(B$70-B$74)*I71/SUM(I$70:I$73)</f>
        <v>149.00125628140702</v>
      </c>
      <c r="C71" s="2808">
        <f t="shared" si="267"/>
        <v>137.95592286501378</v>
      </c>
      <c r="D71" s="2808">
        <f t="shared" si="241"/>
        <v>137.95592286501378</v>
      </c>
      <c r="E71" s="2808">
        <f t="shared" ref="E71:F73" si="268">E72+(E$70-E$74)*K71/SUM(K$70:K$73)</f>
        <v>169.97231450719823</v>
      </c>
      <c r="F71" s="2808">
        <f t="shared" si="268"/>
        <v>116.21390374331551</v>
      </c>
      <c r="G71" s="3715">
        <v>2006</v>
      </c>
      <c r="H71" s="2834">
        <v>3</v>
      </c>
      <c r="I71" s="2834">
        <v>0.92</v>
      </c>
      <c r="J71" s="2834">
        <v>1.08</v>
      </c>
      <c r="K71" s="2834">
        <v>0.73</v>
      </c>
      <c r="L71" s="2835">
        <v>1.08</v>
      </c>
      <c r="N71" s="2869">
        <f t="shared" si="265"/>
        <v>1.7587939698492462E-2</v>
      </c>
      <c r="O71" s="2870">
        <f t="shared" si="265"/>
        <v>1.1355750425840628E-2</v>
      </c>
      <c r="P71" s="2870">
        <f t="shared" si="266"/>
        <v>2.0862358446754544E-2</v>
      </c>
      <c r="Q71" s="2870">
        <f t="shared" si="266"/>
        <v>1.0132282578103011E-2</v>
      </c>
      <c r="R71" s="2811"/>
      <c r="S71" s="2810"/>
      <c r="T71" s="2806"/>
      <c r="U71" s="2806"/>
      <c r="V71" s="2806"/>
      <c r="X71" s="2871"/>
      <c r="Y71" s="2871"/>
      <c r="Z71" s="2871"/>
    </row>
    <row r="72" spans="1:26">
      <c r="A72" s="2807" t="s">
        <v>2330</v>
      </c>
      <c r="B72" s="2808">
        <f t="shared" si="267"/>
        <v>146.57412060301507</v>
      </c>
      <c r="C72" s="2808">
        <f t="shared" si="267"/>
        <v>136.46831955922866</v>
      </c>
      <c r="D72" s="2808">
        <f t="shared" si="241"/>
        <v>136.46831955922866</v>
      </c>
      <c r="E72" s="2808">
        <f t="shared" si="268"/>
        <v>166.73864894795128</v>
      </c>
      <c r="F72" s="2808">
        <f t="shared" si="268"/>
        <v>115.05882352941177</v>
      </c>
      <c r="G72" s="3715">
        <v>2006</v>
      </c>
      <c r="H72" s="2822">
        <v>2</v>
      </c>
      <c r="I72" s="2822">
        <v>0.96</v>
      </c>
      <c r="J72" s="2822">
        <v>0.25</v>
      </c>
      <c r="K72" s="2822">
        <v>1.9</v>
      </c>
      <c r="L72" s="2823">
        <v>0.95</v>
      </c>
      <c r="N72" s="2869">
        <f t="shared" si="265"/>
        <v>1.8352632728861701E-2</v>
      </c>
      <c r="O72" s="2870">
        <f t="shared" si="265"/>
        <v>2.6286459319075526E-3</v>
      </c>
      <c r="P72" s="2870">
        <f t="shared" si="266"/>
        <v>5.4299289107991269E-2</v>
      </c>
      <c r="Q72" s="2870">
        <f t="shared" si="266"/>
        <v>8.9126559714794995E-3</v>
      </c>
      <c r="R72" s="2811"/>
      <c r="S72" s="2810"/>
      <c r="T72" s="2806"/>
      <c r="U72" s="2806"/>
      <c r="V72" s="2806"/>
      <c r="X72" s="2871"/>
      <c r="Y72" s="2871"/>
      <c r="Z72" s="2871"/>
    </row>
    <row r="73" spans="1:26">
      <c r="A73" s="2807" t="s">
        <v>2331</v>
      </c>
      <c r="B73" s="2808">
        <f t="shared" si="267"/>
        <v>144.04145728643215</v>
      </c>
      <c r="C73" s="2808">
        <f t="shared" si="267"/>
        <v>136.12396694214877</v>
      </c>
      <c r="D73" s="2808">
        <f t="shared" si="241"/>
        <v>136.12396694214877</v>
      </c>
      <c r="E73" s="2808">
        <f t="shared" si="268"/>
        <v>158.32225913621264</v>
      </c>
      <c r="F73" s="2808">
        <f t="shared" si="268"/>
        <v>114.04278074866311</v>
      </c>
      <c r="G73" s="3718">
        <v>2006</v>
      </c>
      <c r="H73" s="2809">
        <v>1</v>
      </c>
      <c r="I73" s="2809">
        <v>2.29</v>
      </c>
      <c r="J73" s="2809">
        <v>3.72</v>
      </c>
      <c r="K73" s="2809">
        <v>0.75</v>
      </c>
      <c r="L73" s="2815">
        <v>0.04</v>
      </c>
      <c r="N73" s="2872">
        <f t="shared" si="265"/>
        <v>4.3778675988638847E-2</v>
      </c>
      <c r="O73" s="2873">
        <f t="shared" si="265"/>
        <v>3.9114251466784385E-2</v>
      </c>
      <c r="P73" s="2873">
        <f t="shared" si="266"/>
        <v>2.1433929911049188E-2</v>
      </c>
      <c r="Q73" s="2873">
        <f t="shared" si="266"/>
        <v>3.7526972511492629E-4</v>
      </c>
      <c r="R73" s="2811"/>
      <c r="S73" s="2812">
        <f>B73/B74-1</f>
        <v>4.3778675988638716E-2</v>
      </c>
      <c r="T73" s="2813">
        <f>C73/C74-1</f>
        <v>3.91142514667846E-2</v>
      </c>
      <c r="U73" s="2813">
        <f>E73/E74-1</f>
        <v>2.143392991104931E-2</v>
      </c>
      <c r="V73" s="2813">
        <f>F73/F74-1</f>
        <v>3.7526972511492396E-4</v>
      </c>
      <c r="X73" s="2871"/>
      <c r="Y73" s="2871"/>
      <c r="Z73" s="2871"/>
    </row>
    <row r="74" spans="1:26" ht="13.8" thickBot="1">
      <c r="A74" s="2807" t="s">
        <v>2332</v>
      </c>
      <c r="B74" s="2836">
        <v>138</v>
      </c>
      <c r="C74" s="2836">
        <v>131</v>
      </c>
      <c r="D74" s="2836">
        <f t="shared" si="241"/>
        <v>131</v>
      </c>
      <c r="E74" s="2836">
        <v>155</v>
      </c>
      <c r="F74" s="2837">
        <v>114</v>
      </c>
      <c r="G74" s="3717">
        <v>2005</v>
      </c>
      <c r="H74" s="2831">
        <v>4</v>
      </c>
      <c r="I74" s="2831">
        <v>3.29</v>
      </c>
      <c r="J74" s="2831">
        <v>1.44</v>
      </c>
      <c r="K74" s="2831">
        <v>0.66</v>
      </c>
      <c r="L74" s="2832">
        <v>7.78</v>
      </c>
      <c r="N74" s="2869">
        <f t="shared" ref="N74:O77" si="269">I74/SUM(I$74:I$77)*(B$74/B$78-1)</f>
        <v>9.9404603216919935E-2</v>
      </c>
      <c r="O74" s="2870">
        <f t="shared" si="269"/>
        <v>4.7636550760861554E-2</v>
      </c>
      <c r="P74" s="2870">
        <f t="shared" ref="P74:Q77" si="270">K74/SUM(K$74:K$77)*(E$74/E$78-1)</f>
        <v>8.3756345177664976E-2</v>
      </c>
      <c r="Q74" s="2870">
        <f t="shared" si="270"/>
        <v>5.2148766661559584E-2</v>
      </c>
      <c r="R74" s="2811"/>
      <c r="S74" s="2820"/>
      <c r="T74" s="2821"/>
      <c r="U74" s="2821"/>
      <c r="V74" s="2821"/>
      <c r="X74" s="2871"/>
      <c r="Y74" s="2871"/>
      <c r="Z74" s="2871"/>
    </row>
    <row r="75" spans="1:26">
      <c r="A75" s="2807" t="s">
        <v>2333</v>
      </c>
      <c r="B75" s="2808">
        <f t="shared" ref="B75:C77" si="271">B76+(B$74-B$78)*I75/SUM(I$74:I$77)</f>
        <v>125.9720430107527</v>
      </c>
      <c r="C75" s="2808">
        <f t="shared" si="271"/>
        <v>125.1883408071749</v>
      </c>
      <c r="D75" s="2808">
        <f t="shared" si="241"/>
        <v>125.1883408071749</v>
      </c>
      <c r="E75" s="2808">
        <f t="shared" ref="E75:F77" si="272">E76+(E$74-E$78)*K75/SUM(K$74:K$77)</f>
        <v>144.61421319796952</v>
      </c>
      <c r="F75" s="2808">
        <f t="shared" si="272"/>
        <v>108.42008196721311</v>
      </c>
      <c r="G75" s="3715">
        <v>2005</v>
      </c>
      <c r="H75" s="2834">
        <v>3</v>
      </c>
      <c r="I75" s="2834">
        <v>0.46</v>
      </c>
      <c r="J75" s="2834">
        <v>0.32</v>
      </c>
      <c r="K75" s="2834">
        <v>0.42</v>
      </c>
      <c r="L75" s="2835">
        <v>0.64</v>
      </c>
      <c r="N75" s="2869">
        <f t="shared" si="269"/>
        <v>1.3898515951301874E-2</v>
      </c>
      <c r="O75" s="2870">
        <f t="shared" si="269"/>
        <v>1.0585900169080346E-2</v>
      </c>
      <c r="P75" s="2870">
        <f t="shared" si="270"/>
        <v>5.3299492385786795E-2</v>
      </c>
      <c r="Q75" s="2870">
        <f t="shared" si="270"/>
        <v>4.2898728359123568E-3</v>
      </c>
      <c r="R75" s="2811"/>
      <c r="S75" s="2810"/>
      <c r="T75" s="2806"/>
      <c r="U75" s="2806"/>
      <c r="V75" s="2806"/>
      <c r="X75" s="2871"/>
      <c r="Y75" s="2871"/>
      <c r="Z75" s="2871"/>
    </row>
    <row r="76" spans="1:26">
      <c r="A76" s="2807" t="s">
        <v>2334</v>
      </c>
      <c r="B76" s="2808">
        <f t="shared" si="271"/>
        <v>124.29032258064517</v>
      </c>
      <c r="C76" s="2808">
        <f t="shared" si="271"/>
        <v>123.8968609865471</v>
      </c>
      <c r="D76" s="2808">
        <f t="shared" si="241"/>
        <v>123.8968609865471</v>
      </c>
      <c r="E76" s="2808">
        <f t="shared" si="272"/>
        <v>138.00507614213197</v>
      </c>
      <c r="F76" s="2808">
        <f t="shared" si="272"/>
        <v>107.96106557377048</v>
      </c>
      <c r="G76" s="3715">
        <v>2005</v>
      </c>
      <c r="H76" s="2822">
        <v>2</v>
      </c>
      <c r="I76" s="2822">
        <v>0.47</v>
      </c>
      <c r="J76" s="2822">
        <v>0.1</v>
      </c>
      <c r="K76" s="2822">
        <v>0.52</v>
      </c>
      <c r="L76" s="2823">
        <v>0.79</v>
      </c>
      <c r="N76" s="2869">
        <f t="shared" si="269"/>
        <v>1.420065760241713E-2</v>
      </c>
      <c r="O76" s="2870">
        <f t="shared" si="269"/>
        <v>3.3080938028376083E-3</v>
      </c>
      <c r="P76" s="2870">
        <f t="shared" si="270"/>
        <v>6.598984771573603E-2</v>
      </c>
      <c r="Q76" s="2870">
        <f t="shared" si="270"/>
        <v>5.2953117818293153E-3</v>
      </c>
      <c r="R76" s="2811"/>
      <c r="S76" s="2810"/>
      <c r="T76" s="2806"/>
      <c r="U76" s="2806"/>
      <c r="V76" s="2806"/>
      <c r="X76" s="2871"/>
      <c r="Y76" s="2871"/>
      <c r="Z76" s="2871"/>
    </row>
    <row r="77" spans="1:26">
      <c r="A77" s="2807" t="s">
        <v>2335</v>
      </c>
      <c r="B77" s="2808">
        <f t="shared" si="271"/>
        <v>122.57204301075269</v>
      </c>
      <c r="C77" s="2808">
        <f t="shared" si="271"/>
        <v>123.4932735426009</v>
      </c>
      <c r="D77" s="2808">
        <f t="shared" si="241"/>
        <v>123.4932735426009</v>
      </c>
      <c r="E77" s="2808">
        <f t="shared" si="272"/>
        <v>129.82233502538071</v>
      </c>
      <c r="F77" s="2808">
        <f t="shared" si="272"/>
        <v>107.39446721311475</v>
      </c>
      <c r="G77" s="3718">
        <v>2005</v>
      </c>
      <c r="H77" s="2809">
        <v>1</v>
      </c>
      <c r="I77" s="2809">
        <v>0.43</v>
      </c>
      <c r="J77" s="2809">
        <v>0.37</v>
      </c>
      <c r="K77" s="2809">
        <v>0.37</v>
      </c>
      <c r="L77" s="2815">
        <v>0.55000000000000004</v>
      </c>
      <c r="N77" s="2872">
        <f t="shared" si="269"/>
        <v>1.2992090997956099E-2</v>
      </c>
      <c r="O77" s="2873">
        <f t="shared" si="269"/>
        <v>1.2239947070499151E-2</v>
      </c>
      <c r="P77" s="2873">
        <f t="shared" si="270"/>
        <v>4.6954314720812178E-2</v>
      </c>
      <c r="Q77" s="2873">
        <f t="shared" si="270"/>
        <v>3.6866094683621815E-3</v>
      </c>
      <c r="R77" s="2811"/>
      <c r="S77" s="2812">
        <f>B77/B78-1</f>
        <v>1.2992090997956174E-2</v>
      </c>
      <c r="T77" s="2813">
        <f>C77/C78-1</f>
        <v>1.2239947070499246E-2</v>
      </c>
      <c r="U77" s="2813">
        <f>E77/E78-1</f>
        <v>4.695431472081224E-2</v>
      </c>
      <c r="V77" s="2813">
        <f>F77/F78-1</f>
        <v>3.6866094683620787E-3</v>
      </c>
      <c r="X77" s="2871"/>
      <c r="Y77" s="2871"/>
      <c r="Z77" s="2871"/>
    </row>
    <row r="78" spans="1:26" ht="13.8" thickBot="1">
      <c r="A78" s="2807" t="s">
        <v>2336</v>
      </c>
      <c r="B78" s="2857">
        <v>121</v>
      </c>
      <c r="C78" s="2857">
        <v>122</v>
      </c>
      <c r="D78" s="2857">
        <f t="shared" si="241"/>
        <v>122</v>
      </c>
      <c r="E78" s="2857">
        <v>124</v>
      </c>
      <c r="F78" s="2858">
        <v>107</v>
      </c>
      <c r="G78" s="3717">
        <v>2004</v>
      </c>
      <c r="H78" s="2831">
        <v>4</v>
      </c>
      <c r="I78" s="2831">
        <v>0.33</v>
      </c>
      <c r="J78" s="2831">
        <v>0.5</v>
      </c>
      <c r="K78" s="2831">
        <v>0.5</v>
      </c>
      <c r="L78" s="2832">
        <v>0</v>
      </c>
      <c r="N78" s="2869">
        <f t="shared" ref="N78:O81" si="273">I78/SUM(I$78:I$81)*(B$78/B$82-1)</f>
        <v>1.3391770148526898E-2</v>
      </c>
      <c r="O78" s="2870">
        <f t="shared" si="273"/>
        <v>1.063264221158958E-2</v>
      </c>
      <c r="P78" s="2870">
        <f t="shared" ref="P78:Q81" si="274">K78/SUM(K$78:K$81)*(E$78/E$82-1)</f>
        <v>2.2244466688911134E-2</v>
      </c>
      <c r="Q78" s="2870">
        <f t="shared" si="274"/>
        <v>0</v>
      </c>
      <c r="R78" s="2811"/>
      <c r="S78" s="2820"/>
      <c r="T78" s="2821"/>
      <c r="U78" s="2821"/>
      <c r="V78" s="2821"/>
      <c r="X78" s="2871"/>
      <c r="Y78" s="2871"/>
      <c r="Z78" s="2871"/>
    </row>
    <row r="79" spans="1:26">
      <c r="A79" s="2807" t="s">
        <v>2337</v>
      </c>
      <c r="B79" s="2808">
        <f t="shared" ref="B79:C81" si="275">B80+(B$78-B$82)*I79/SUM(I$78:I$81)</f>
        <v>119.51351351351352</v>
      </c>
      <c r="C79" s="2808">
        <f t="shared" si="275"/>
        <v>120.7878787878788</v>
      </c>
      <c r="D79" s="2808">
        <f t="shared" si="241"/>
        <v>120.7878787878788</v>
      </c>
      <c r="E79" s="2808">
        <f t="shared" ref="E79:F81" si="276">E80+(E$78-E$82)*K79/SUM(K$78:K$81)</f>
        <v>121.5975975975976</v>
      </c>
      <c r="F79" s="2808">
        <f t="shared" si="276"/>
        <v>107</v>
      </c>
      <c r="G79" s="3715">
        <v>2004</v>
      </c>
      <c r="H79" s="2834">
        <v>3</v>
      </c>
      <c r="I79" s="2834">
        <v>0.56000000000000005</v>
      </c>
      <c r="J79" s="2834">
        <v>0.8</v>
      </c>
      <c r="K79" s="2834">
        <v>0.83</v>
      </c>
      <c r="L79" s="2835">
        <v>0.06</v>
      </c>
      <c r="N79" s="2869">
        <f t="shared" si="273"/>
        <v>2.2725428130833527E-2</v>
      </c>
      <c r="O79" s="2870">
        <f t="shared" si="273"/>
        <v>1.7012227538543329E-2</v>
      </c>
      <c r="P79" s="2870">
        <f t="shared" si="274"/>
        <v>3.6925814703592477E-2</v>
      </c>
      <c r="Q79" s="2870">
        <f t="shared" si="274"/>
        <v>2.8846153846153744E-2</v>
      </c>
      <c r="R79" s="2811"/>
      <c r="S79" s="2810"/>
      <c r="T79" s="2806"/>
      <c r="U79" s="2806"/>
      <c r="V79" s="2806"/>
      <c r="X79" s="2871"/>
      <c r="Y79" s="2871"/>
      <c r="Z79" s="2871"/>
    </row>
    <row r="80" spans="1:26">
      <c r="A80" s="2807" t="s">
        <v>2338</v>
      </c>
      <c r="B80" s="2808">
        <f t="shared" si="275"/>
        <v>116.99099099099099</v>
      </c>
      <c r="C80" s="2808">
        <f t="shared" si="275"/>
        <v>118.84848484848486</v>
      </c>
      <c r="D80" s="2808">
        <f t="shared" si="241"/>
        <v>118.84848484848486</v>
      </c>
      <c r="E80" s="2808">
        <f t="shared" si="276"/>
        <v>117.60960960960961</v>
      </c>
      <c r="F80" s="2808">
        <f t="shared" si="276"/>
        <v>104</v>
      </c>
      <c r="G80" s="3715">
        <v>2004</v>
      </c>
      <c r="H80" s="2822">
        <v>2</v>
      </c>
      <c r="I80" s="2822">
        <v>1</v>
      </c>
      <c r="J80" s="2822">
        <v>1.5</v>
      </c>
      <c r="K80" s="2822">
        <v>1.5</v>
      </c>
      <c r="L80" s="2823">
        <v>0</v>
      </c>
      <c r="N80" s="2869">
        <f t="shared" si="273"/>
        <v>4.0581121662202721E-2</v>
      </c>
      <c r="O80" s="2870">
        <f t="shared" si="273"/>
        <v>3.1897926634768738E-2</v>
      </c>
      <c r="P80" s="2870">
        <f t="shared" si="274"/>
        <v>6.6733400066733395E-2</v>
      </c>
      <c r="Q80" s="2870">
        <f t="shared" si="274"/>
        <v>0</v>
      </c>
      <c r="R80" s="2811"/>
      <c r="S80" s="2810"/>
      <c r="T80" s="2806"/>
      <c r="U80" s="2806"/>
      <c r="V80" s="2806"/>
      <c r="X80" s="2871"/>
      <c r="Y80" s="2871"/>
      <c r="Z80" s="2871"/>
    </row>
    <row r="81" spans="1:26" s="2863" customFormat="1" ht="13.8" thickBot="1">
      <c r="A81" s="2807" t="s">
        <v>2339</v>
      </c>
      <c r="B81" s="2860">
        <f t="shared" si="275"/>
        <v>112.48648648648648</v>
      </c>
      <c r="C81" s="2860">
        <f t="shared" si="275"/>
        <v>115.21212121212122</v>
      </c>
      <c r="D81" s="2860">
        <f t="shared" si="241"/>
        <v>115.21212121212122</v>
      </c>
      <c r="E81" s="2860">
        <f t="shared" si="276"/>
        <v>110.4024024024024</v>
      </c>
      <c r="F81" s="2860">
        <f t="shared" si="276"/>
        <v>104</v>
      </c>
      <c r="G81" s="3718">
        <v>2004</v>
      </c>
      <c r="H81" s="2861">
        <v>1</v>
      </c>
      <c r="I81" s="2861">
        <v>0.33</v>
      </c>
      <c r="J81" s="2861">
        <v>0.5</v>
      </c>
      <c r="K81" s="2861">
        <v>0.5</v>
      </c>
      <c r="L81" s="2862">
        <v>0</v>
      </c>
      <c r="N81" s="2874">
        <f t="shared" si="273"/>
        <v>1.3391770148526898E-2</v>
      </c>
      <c r="O81" s="2875">
        <f t="shared" si="273"/>
        <v>1.063264221158958E-2</v>
      </c>
      <c r="P81" s="2875">
        <f t="shared" si="274"/>
        <v>2.2244466688911134E-2</v>
      </c>
      <c r="Q81" s="2875">
        <f t="shared" si="274"/>
        <v>0</v>
      </c>
      <c r="R81" s="2866"/>
      <c r="S81" s="2864">
        <f>B81/B82-1</f>
        <v>1.3391770148526883E-2</v>
      </c>
      <c r="T81" s="2865">
        <f>C81/C82-1</f>
        <v>1.063264221158966E-2</v>
      </c>
      <c r="U81" s="2865">
        <f>E81/E82-1</f>
        <v>2.2244466688911224E-2</v>
      </c>
      <c r="V81" s="2865">
        <f>F81/F82-1</f>
        <v>0</v>
      </c>
      <c r="X81" s="2876"/>
      <c r="Y81" s="2876"/>
      <c r="Z81" s="2876"/>
    </row>
    <row r="82" spans="1:26" ht="13.8" thickBot="1">
      <c r="A82" s="2807" t="s">
        <v>2340</v>
      </c>
      <c r="B82" s="2877">
        <v>111</v>
      </c>
      <c r="C82" s="2877">
        <v>114</v>
      </c>
      <c r="D82" s="2877">
        <f t="shared" si="241"/>
        <v>114</v>
      </c>
      <c r="E82" s="2877">
        <v>108</v>
      </c>
      <c r="F82" s="2878">
        <v>104</v>
      </c>
      <c r="G82" s="3717">
        <v>2003</v>
      </c>
      <c r="H82" s="2867">
        <v>4</v>
      </c>
      <c r="I82" s="2879"/>
      <c r="J82" s="2879"/>
      <c r="K82" s="2879"/>
      <c r="L82" s="2879"/>
      <c r="N82" s="2880"/>
      <c r="O82" s="2879"/>
      <c r="P82" s="2879"/>
      <c r="Q82" s="2879"/>
      <c r="S82" s="2880"/>
      <c r="T82" s="2879"/>
      <c r="U82" s="2879"/>
      <c r="V82" s="2879"/>
      <c r="X82" s="2871"/>
      <c r="Y82" s="2871"/>
      <c r="Z82" s="2871"/>
    </row>
    <row r="83" spans="1:26">
      <c r="A83" s="2807" t="s">
        <v>2341</v>
      </c>
      <c r="B83" s="2881">
        <f t="shared" ref="B83:C85" si="277">B84+(B$82-B$86)/4</f>
        <v>109.75</v>
      </c>
      <c r="C83" s="2881">
        <f t="shared" si="277"/>
        <v>112.25</v>
      </c>
      <c r="D83" s="2881">
        <f t="shared" si="241"/>
        <v>112.25</v>
      </c>
      <c r="E83" s="2881">
        <f t="shared" ref="E83:F85" si="278">E84+(E$82-E$86)/4</f>
        <v>107.25</v>
      </c>
      <c r="F83" s="2881">
        <f t="shared" si="278"/>
        <v>103.5</v>
      </c>
      <c r="G83" s="3715">
        <v>2003</v>
      </c>
      <c r="H83" s="2834">
        <v>3</v>
      </c>
      <c r="I83" s="2879"/>
      <c r="J83" s="2879"/>
      <c r="K83" s="2879"/>
      <c r="L83" s="2879"/>
      <c r="X83" s="2871"/>
      <c r="Y83" s="2871"/>
      <c r="Z83" s="2871"/>
    </row>
    <row r="84" spans="1:26">
      <c r="A84" s="2807" t="s">
        <v>2342</v>
      </c>
      <c r="B84" s="2881">
        <f t="shared" si="277"/>
        <v>108.5</v>
      </c>
      <c r="C84" s="2881">
        <f t="shared" si="277"/>
        <v>110.5</v>
      </c>
      <c r="D84" s="2881">
        <f t="shared" si="241"/>
        <v>110.5</v>
      </c>
      <c r="E84" s="2881">
        <f t="shared" si="278"/>
        <v>106.5</v>
      </c>
      <c r="F84" s="2881">
        <f t="shared" si="278"/>
        <v>103</v>
      </c>
      <c r="G84" s="3715">
        <v>2003</v>
      </c>
      <c r="H84" s="2822">
        <v>2</v>
      </c>
      <c r="I84" s="2879"/>
      <c r="J84" s="2879"/>
      <c r="K84" s="2879"/>
      <c r="L84" s="2879"/>
      <c r="X84" s="2871"/>
      <c r="Y84" s="2871"/>
      <c r="Z84" s="2871"/>
    </row>
    <row r="85" spans="1:26" ht="13.8" thickBot="1">
      <c r="A85" s="2807" t="s">
        <v>2343</v>
      </c>
      <c r="B85" s="2881">
        <f t="shared" si="277"/>
        <v>107.25</v>
      </c>
      <c r="C85" s="2881">
        <f t="shared" si="277"/>
        <v>108.75</v>
      </c>
      <c r="D85" s="2881">
        <f t="shared" si="241"/>
        <v>108.75</v>
      </c>
      <c r="E85" s="2881">
        <f t="shared" si="278"/>
        <v>105.75</v>
      </c>
      <c r="F85" s="2881">
        <f t="shared" si="278"/>
        <v>102.5</v>
      </c>
      <c r="G85" s="3718">
        <v>2003</v>
      </c>
      <c r="H85" s="2882">
        <v>1</v>
      </c>
      <c r="I85" s="2879"/>
      <c r="J85" s="2879"/>
      <c r="K85" s="2879"/>
      <c r="L85" s="2879"/>
      <c r="S85" s="2810"/>
      <c r="T85" s="2806"/>
      <c r="U85" s="2806"/>
      <c r="X85" s="2871"/>
      <c r="Y85" s="2871"/>
      <c r="Z85" s="2871"/>
    </row>
    <row r="86" spans="1:26" ht="13.8" thickBot="1">
      <c r="A86" s="2807" t="s">
        <v>2344</v>
      </c>
      <c r="B86" s="2883">
        <v>106</v>
      </c>
      <c r="C86" s="2883">
        <v>107</v>
      </c>
      <c r="D86" s="2883">
        <f t="shared" si="241"/>
        <v>107</v>
      </c>
      <c r="E86" s="2883">
        <v>105</v>
      </c>
      <c r="F86" s="2884">
        <v>102</v>
      </c>
      <c r="G86" s="3717">
        <v>2002</v>
      </c>
      <c r="H86" s="2831">
        <v>4</v>
      </c>
      <c r="I86" s="2879"/>
      <c r="J86" s="2879"/>
      <c r="K86" s="2879"/>
      <c r="L86" s="2879"/>
      <c r="N86" s="2880"/>
      <c r="O86" s="2879"/>
      <c r="P86" s="2879"/>
      <c r="Q86" s="2879"/>
      <c r="S86" s="2880"/>
      <c r="T86" s="2879"/>
      <c r="U86" s="2879"/>
      <c r="V86" s="2879"/>
      <c r="X86" s="2871"/>
      <c r="Y86" s="2871"/>
      <c r="Z86" s="2871"/>
    </row>
    <row r="87" spans="1:26">
      <c r="A87" s="2807" t="s">
        <v>2345</v>
      </c>
      <c r="B87" s="2881">
        <f t="shared" ref="B87:C89" si="279">B88+(B$86-B$90)/4</f>
        <v>105</v>
      </c>
      <c r="C87" s="2881">
        <f t="shared" si="279"/>
        <v>106</v>
      </c>
      <c r="D87" s="2881">
        <f t="shared" si="241"/>
        <v>106</v>
      </c>
      <c r="E87" s="2881">
        <f t="shared" ref="E87:F89" si="280">E88+(E$86-E$90)/4</f>
        <v>104.5</v>
      </c>
      <c r="F87" s="2881">
        <f t="shared" si="280"/>
        <v>101.5</v>
      </c>
      <c r="G87" s="3715">
        <v>2002</v>
      </c>
      <c r="H87" s="2834">
        <v>3</v>
      </c>
      <c r="I87" s="2879"/>
      <c r="J87" s="2879"/>
      <c r="K87" s="2879"/>
      <c r="L87" s="2879"/>
      <c r="X87" s="2871"/>
      <c r="Y87" s="2871"/>
      <c r="Z87" s="2871"/>
    </row>
    <row r="88" spans="1:26">
      <c r="A88" s="2807" t="s">
        <v>2346</v>
      </c>
      <c r="B88" s="2881">
        <f t="shared" si="279"/>
        <v>104</v>
      </c>
      <c r="C88" s="2881">
        <f t="shared" si="279"/>
        <v>105</v>
      </c>
      <c r="D88" s="2881">
        <f t="shared" si="241"/>
        <v>105</v>
      </c>
      <c r="E88" s="2881">
        <f t="shared" si="280"/>
        <v>104</v>
      </c>
      <c r="F88" s="2881">
        <f t="shared" si="280"/>
        <v>101</v>
      </c>
      <c r="G88" s="3715">
        <v>2002</v>
      </c>
      <c r="H88" s="2822">
        <v>2</v>
      </c>
      <c r="I88" s="2879"/>
      <c r="J88" s="2879"/>
      <c r="K88" s="2879"/>
      <c r="L88" s="2879"/>
      <c r="X88" s="2871"/>
      <c r="Y88" s="2871"/>
      <c r="Z88" s="2871"/>
    </row>
    <row r="89" spans="1:26" s="2844" customFormat="1" ht="13.8" thickBot="1">
      <c r="A89" s="2840" t="s">
        <v>2347</v>
      </c>
      <c r="B89" s="2847">
        <f t="shared" si="279"/>
        <v>103</v>
      </c>
      <c r="C89" s="2847">
        <f t="shared" si="279"/>
        <v>104</v>
      </c>
      <c r="D89" s="2847">
        <f t="shared" si="241"/>
        <v>104</v>
      </c>
      <c r="E89" s="2847">
        <f t="shared" si="280"/>
        <v>103.5</v>
      </c>
      <c r="F89" s="2847">
        <f t="shared" si="280"/>
        <v>100.5</v>
      </c>
      <c r="G89" s="3718">
        <v>2002</v>
      </c>
      <c r="H89" s="2885">
        <v>1</v>
      </c>
      <c r="I89" s="2886"/>
      <c r="J89" s="2886"/>
      <c r="K89" s="2886"/>
      <c r="L89" s="2886"/>
      <c r="N89" s="2887"/>
      <c r="S89" s="2887"/>
      <c r="X89" s="2888"/>
      <c r="Y89" s="2888"/>
      <c r="Z89" s="2888"/>
    </row>
    <row r="90" spans="1:26" ht="13.8" thickBot="1">
      <c r="B90" s="2889">
        <v>102</v>
      </c>
      <c r="C90" s="2890">
        <v>103</v>
      </c>
      <c r="D90" s="2890">
        <f t="shared" si="241"/>
        <v>103</v>
      </c>
      <c r="E90" s="2890">
        <v>103</v>
      </c>
      <c r="F90" s="2891">
        <v>100</v>
      </c>
      <c r="I90" s="2879"/>
      <c r="J90" s="2879"/>
      <c r="K90" s="2879"/>
      <c r="L90" s="2879"/>
      <c r="N90" s="2880"/>
      <c r="O90" s="2879"/>
      <c r="P90" s="2879"/>
      <c r="Q90" s="2879"/>
      <c r="S90" s="2880"/>
      <c r="T90" s="2879"/>
      <c r="U90" s="2879"/>
      <c r="V90" s="2879"/>
      <c r="X90" s="2821"/>
      <c r="Y90" s="2821"/>
      <c r="Z90" s="2821"/>
    </row>
    <row r="92" spans="1:26" s="2893" customFormat="1">
      <c r="A92" s="2892" t="s">
        <v>2348</v>
      </c>
      <c r="G92" s="2894"/>
      <c r="N92" s="2894"/>
      <c r="S92" s="2894"/>
    </row>
    <row r="93" spans="1:26" s="2893" customFormat="1">
      <c r="A93" s="2893" t="s">
        <v>2349</v>
      </c>
      <c r="G93" s="2894"/>
      <c r="N93" s="2894"/>
      <c r="S93" s="2894"/>
    </row>
    <row r="94" spans="1:26" s="2893" customFormat="1">
      <c r="A94" s="2893" t="s">
        <v>2350</v>
      </c>
      <c r="G94" s="2894"/>
      <c r="I94" s="2895"/>
      <c r="J94" s="2895"/>
      <c r="K94" s="2895"/>
      <c r="L94" s="2895"/>
      <c r="N94" s="2896"/>
      <c r="O94" s="2895"/>
      <c r="P94" s="2895"/>
      <c r="Q94" s="2895"/>
      <c r="S94" s="2896"/>
      <c r="T94" s="2895"/>
      <c r="U94" s="2895"/>
      <c r="V94" s="2895"/>
    </row>
    <row r="95" spans="1:26" s="2893" customFormat="1">
      <c r="A95" s="2893" t="s">
        <v>2351</v>
      </c>
      <c r="G95" s="2894"/>
      <c r="N95" s="2894"/>
      <c r="S95" s="2894"/>
    </row>
    <row r="102" spans="7:22" ht="13.8" thickBot="1"/>
    <row r="103" spans="7:22">
      <c r="G103" s="2805"/>
      <c r="S103" s="2897" t="s">
        <v>2352</v>
      </c>
      <c r="T103" s="2898" t="s">
        <v>2353</v>
      </c>
      <c r="U103" s="2898" t="s">
        <v>2354</v>
      </c>
      <c r="V103" s="2898" t="s">
        <v>2355</v>
      </c>
    </row>
    <row r="104" spans="7:22">
      <c r="G104" s="2805"/>
      <c r="N104" s="2820"/>
      <c r="O104" s="2821"/>
      <c r="P104" s="2821"/>
      <c r="Q104" s="2821"/>
      <c r="S104" s="2899">
        <v>2006</v>
      </c>
      <c r="T104" s="2900">
        <v>15.1</v>
      </c>
      <c r="U104" s="2900">
        <v>7.43</v>
      </c>
      <c r="V104" s="2900">
        <v>26.26</v>
      </c>
    </row>
    <row r="105" spans="7:22">
      <c r="G105" s="2805"/>
      <c r="N105" s="2820"/>
      <c r="O105" s="2821"/>
      <c r="P105" s="2821"/>
      <c r="Q105" s="2821"/>
      <c r="S105" s="2901">
        <v>2005</v>
      </c>
      <c r="T105" s="2902">
        <v>13.9</v>
      </c>
      <c r="U105" s="2902">
        <v>7.49</v>
      </c>
      <c r="V105" s="2902">
        <v>24.92</v>
      </c>
    </row>
    <row r="106" spans="7:22">
      <c r="G106" s="2805"/>
      <c r="N106" s="2820"/>
      <c r="O106" s="2821"/>
      <c r="P106" s="2821"/>
      <c r="Q106" s="2821"/>
      <c r="S106" s="2899">
        <v>2004</v>
      </c>
      <c r="T106" s="2900">
        <v>9.48</v>
      </c>
      <c r="U106" s="2900">
        <v>7.2</v>
      </c>
      <c r="V106" s="2900">
        <v>14.68</v>
      </c>
    </row>
    <row r="107" spans="7:22">
      <c r="G107" s="2805"/>
      <c r="N107" s="2820"/>
      <c r="O107" s="2821"/>
      <c r="P107" s="2821"/>
      <c r="Q107" s="2821"/>
      <c r="S107" s="2901">
        <v>2003</v>
      </c>
      <c r="T107" s="2902">
        <v>4.5</v>
      </c>
      <c r="U107" s="2902">
        <v>6.12</v>
      </c>
      <c r="V107" s="2902">
        <v>2.34</v>
      </c>
    </row>
    <row r="108" spans="7:22" ht="13.8" thickBot="1">
      <c r="G108" s="2805"/>
      <c r="N108" s="2820"/>
      <c r="O108" s="2821"/>
      <c r="P108" s="2821"/>
      <c r="Q108" s="2821"/>
      <c r="S108" s="2903">
        <v>2002</v>
      </c>
      <c r="T108" s="2904">
        <v>3.59</v>
      </c>
      <c r="U108" s="2904">
        <v>4.54</v>
      </c>
      <c r="V108" s="2904">
        <v>2.5499999999999998</v>
      </c>
    </row>
    <row r="109" spans="7:22">
      <c r="G109" s="2805"/>
      <c r="N109" s="2820"/>
      <c r="O109" s="2821"/>
      <c r="P109" s="2821"/>
      <c r="Q109" s="2821"/>
    </row>
    <row r="110" spans="7:22">
      <c r="G110" s="2805"/>
      <c r="N110" s="2820"/>
      <c r="O110" s="2821"/>
      <c r="P110" s="2821"/>
      <c r="Q110" s="2821"/>
    </row>
    <row r="111" spans="7:22">
      <c r="G111" s="2805"/>
      <c r="N111" s="2820"/>
      <c r="O111" s="2821"/>
      <c r="P111" s="2821"/>
      <c r="Q111" s="2821"/>
    </row>
    <row r="112" spans="7:22">
      <c r="G112" s="2805"/>
      <c r="N112" s="2820"/>
      <c r="O112" s="2821"/>
      <c r="P112" s="2821"/>
      <c r="Q112" s="2821"/>
    </row>
    <row r="113" spans="7:19">
      <c r="G113" s="2805"/>
      <c r="N113" s="2820"/>
      <c r="O113" s="2821"/>
      <c r="P113" s="2821"/>
      <c r="Q113" s="2821"/>
    </row>
    <row r="114" spans="7:19">
      <c r="G114" s="2805"/>
      <c r="N114" s="2820"/>
      <c r="O114" s="2821"/>
      <c r="P114" s="2821"/>
      <c r="Q114" s="2821"/>
    </row>
    <row r="115" spans="7:19">
      <c r="G115" s="2805"/>
      <c r="N115" s="2820"/>
      <c r="O115" s="2821"/>
      <c r="P115" s="2821"/>
      <c r="Q115" s="2821"/>
    </row>
    <row r="116" spans="7:19">
      <c r="G116" s="2805"/>
      <c r="N116" s="2820"/>
      <c r="O116" s="2821"/>
      <c r="P116" s="2821"/>
      <c r="Q116" s="2821"/>
    </row>
    <row r="117" spans="7:19">
      <c r="G117" s="2805"/>
      <c r="N117" s="2820"/>
      <c r="O117" s="2821"/>
      <c r="P117" s="2821"/>
      <c r="Q117" s="2821"/>
    </row>
    <row r="118" spans="7:19">
      <c r="G118" s="2805"/>
      <c r="N118" s="2820"/>
      <c r="O118" s="2821"/>
      <c r="P118" s="2821"/>
      <c r="Q118" s="2821"/>
    </row>
    <row r="119" spans="7:19">
      <c r="G119" s="2805"/>
      <c r="N119" s="2820"/>
      <c r="O119" s="2821"/>
      <c r="P119" s="2821"/>
      <c r="Q119" s="2821"/>
      <c r="S119" s="2805"/>
    </row>
    <row r="120" spans="7:19">
      <c r="G120" s="2805"/>
      <c r="N120" s="2820"/>
      <c r="O120" s="2821"/>
      <c r="P120" s="2821"/>
      <c r="Q120" s="2821"/>
      <c r="S120" s="2805"/>
    </row>
    <row r="121" spans="7:19">
      <c r="G121" s="2805"/>
      <c r="N121" s="2820"/>
      <c r="O121" s="2821"/>
      <c r="P121" s="2821"/>
      <c r="Q121" s="2821"/>
      <c r="S121" s="2805"/>
    </row>
    <row r="122" spans="7:19">
      <c r="G122" s="2805"/>
      <c r="N122" s="2820"/>
      <c r="O122" s="2821"/>
      <c r="P122" s="2821"/>
      <c r="Q122" s="2821"/>
      <c r="S122" s="2805"/>
    </row>
    <row r="123" spans="7:19">
      <c r="G123" s="2805"/>
      <c r="N123" s="2820"/>
      <c r="O123" s="2821"/>
      <c r="P123" s="2821"/>
      <c r="Q123" s="2821"/>
      <c r="S123" s="2805"/>
    </row>
    <row r="124" spans="7:19">
      <c r="G124" s="2805"/>
      <c r="N124" s="2820"/>
      <c r="O124" s="2821"/>
      <c r="P124" s="2821"/>
      <c r="Q124" s="2821"/>
      <c r="S124" s="2805"/>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3157" customWidth="1"/>
    <col min="2" max="2" width="12.44140625" style="3157" customWidth="1"/>
    <col min="3" max="3" width="12.109375" style="3157" customWidth="1"/>
    <col min="4" max="4" width="16.6640625" style="3157" customWidth="1"/>
    <col min="5" max="5" width="12.44140625" style="3157" customWidth="1"/>
    <col min="6" max="6" width="12.77734375" style="3157" customWidth="1"/>
    <col min="7" max="16384" width="8.88671875" style="3157"/>
  </cols>
  <sheetData>
    <row r="1" spans="1:14" ht="20.399999999999999">
      <c r="A1" s="3160" t="s">
        <v>2650</v>
      </c>
      <c r="B1" s="3155"/>
      <c r="C1" s="3155"/>
      <c r="D1" s="3155"/>
      <c r="E1" s="3155"/>
      <c r="F1" s="3155"/>
      <c r="G1" s="3156"/>
      <c r="H1" s="3156"/>
      <c r="I1" s="3156"/>
      <c r="J1" s="3156"/>
      <c r="K1" s="3156"/>
      <c r="L1" s="3156"/>
      <c r="M1" s="3156"/>
      <c r="N1" s="3156"/>
    </row>
    <row r="2" spans="1:14" ht="15.6">
      <c r="A2" s="3161" t="s">
        <v>2645</v>
      </c>
      <c r="B2" s="3166">
        <f ca="1">SUMIF(B7:B14,"&lt;&gt;#ref!",B7:B14)</f>
        <v>0</v>
      </c>
      <c r="C2" s="3161" t="s">
        <v>2646</v>
      </c>
      <c r="D2" s="3158"/>
      <c r="E2" s="3158"/>
      <c r="F2" s="3158"/>
      <c r="G2" s="3156"/>
      <c r="H2" s="3156"/>
      <c r="I2" s="3156"/>
      <c r="J2" s="3156"/>
      <c r="K2" s="3156"/>
      <c r="L2" s="3156"/>
      <c r="M2" s="3156"/>
      <c r="N2" s="3156"/>
    </row>
    <row r="3" spans="1:14" ht="15.6">
      <c r="A3" s="3161" t="s">
        <v>2674</v>
      </c>
      <c r="B3" s="3166" t="e">
        <f ca="1">ROUND(B2*10000/E3,0)</f>
        <v>#DIV/0!</v>
      </c>
      <c r="C3" s="3161" t="s">
        <v>1870</v>
      </c>
      <c r="D3" s="3161" t="s">
        <v>2647</v>
      </c>
      <c r="E3" s="3159">
        <f ca="1">SUMIF(E7:E14,"&lt;&gt;#ref!",E7:E14)</f>
        <v>0</v>
      </c>
      <c r="F3" s="3158"/>
      <c r="G3" s="3156"/>
      <c r="H3" s="3156"/>
      <c r="I3" s="3156"/>
      <c r="J3" s="3156"/>
      <c r="K3" s="3156"/>
      <c r="L3" s="3156"/>
      <c r="M3" s="3156"/>
      <c r="N3" s="3156"/>
    </row>
    <row r="4" spans="1:14" ht="15.6">
      <c r="A4" s="3161" t="s">
        <v>2653</v>
      </c>
      <c r="B4" s="3166" t="e">
        <f ca="1">ROUND(B2*10000/E4,0)</f>
        <v>#DIV/0!</v>
      </c>
      <c r="C4" s="3161" t="s">
        <v>1870</v>
      </c>
      <c r="D4" s="3161" t="s">
        <v>2654</v>
      </c>
      <c r="E4" s="3159">
        <f ca="1">SUMIF(F7:F14,"&lt;&gt;#ref!",F7:F14)</f>
        <v>0</v>
      </c>
      <c r="F4" s="3158"/>
      <c r="G4" s="3156"/>
      <c r="H4" s="3156"/>
      <c r="I4" s="3156"/>
      <c r="J4" s="3156"/>
      <c r="K4" s="3156"/>
      <c r="L4" s="3156"/>
      <c r="M4" s="3156"/>
      <c r="N4" s="3156"/>
    </row>
    <row r="5" spans="1:14" ht="15.6">
      <c r="A5" s="3162"/>
      <c r="B5" s="3158"/>
      <c r="C5" s="3158"/>
      <c r="D5" s="3158"/>
      <c r="E5" s="3158"/>
      <c r="F5" s="3158"/>
      <c r="G5" s="3156"/>
      <c r="H5" s="3156"/>
      <c r="I5" s="3156"/>
      <c r="J5" s="3156"/>
      <c r="K5" s="3156"/>
      <c r="L5" s="3156"/>
      <c r="M5" s="3156"/>
      <c r="N5" s="3156"/>
    </row>
    <row r="6" spans="1:14" ht="31.2">
      <c r="A6" s="3163" t="s">
        <v>2651</v>
      </c>
      <c r="B6" s="3161" t="s">
        <v>2648</v>
      </c>
      <c r="C6" s="2709"/>
      <c r="D6" s="3158"/>
      <c r="E6" s="3161" t="s">
        <v>2649</v>
      </c>
      <c r="F6" s="3161" t="s">
        <v>2652</v>
      </c>
      <c r="G6" s="3156"/>
      <c r="H6" s="3156"/>
      <c r="I6" s="3156"/>
      <c r="J6" s="3156"/>
      <c r="K6" s="3156"/>
      <c r="L6" s="3156"/>
      <c r="M6" s="3156"/>
      <c r="N6" s="3156"/>
    </row>
    <row r="7" spans="1:14" ht="15.6">
      <c r="A7" s="3164"/>
      <c r="B7" s="3166" t="e">
        <f ca="1">SUMIF(INDIRECT("'"&amp;A7&amp;"'"&amp;"!A:A"),"总价",INDIRECT("'"&amp;A7&amp;"'"&amp;"!B:B"))</f>
        <v>#REF!</v>
      </c>
      <c r="C7" s="3161" t="s">
        <v>2646</v>
      </c>
      <c r="D7" s="3158"/>
      <c r="E7" s="3159" t="e">
        <f ca="1">SUMIF(INDIRECT("'"&amp;A7&amp;"'"&amp;"!C:C"),"建筑面积",INDIRECT("'"&amp;A7&amp;"'"&amp;"!D:D"))</f>
        <v>#REF!</v>
      </c>
      <c r="F7" s="3159" t="e">
        <f ca="1">SUMIF(INDIRECT("'"&amp;A7&amp;"'"&amp;"!E:E"),"土地面积",INDIRECT("'"&amp;A7&amp;"'"&amp;"!F:F"))</f>
        <v>#REF!</v>
      </c>
      <c r="G7" s="3156"/>
      <c r="H7" s="3156"/>
      <c r="I7" s="3156"/>
      <c r="J7" s="3156"/>
      <c r="K7" s="3156"/>
      <c r="L7" s="3156"/>
      <c r="M7" s="3156"/>
      <c r="N7" s="3156"/>
    </row>
    <row r="8" spans="1:14" ht="15.6">
      <c r="A8" s="3164"/>
      <c r="B8" s="3166" t="e">
        <f t="shared" ref="B8:B14" ca="1" si="0">SUMIF(INDIRECT("'"&amp;A8&amp;"'"&amp;"!A:A"),"总价",INDIRECT("'"&amp;A8&amp;"'"&amp;"!B:B"))</f>
        <v>#REF!</v>
      </c>
      <c r="C8" s="3161" t="s">
        <v>2646</v>
      </c>
      <c r="D8" s="3158"/>
      <c r="E8" s="3159" t="e">
        <f t="shared" ref="E8:E14" ca="1" si="1">SUMIF(INDIRECT("'"&amp;A8&amp;"'"&amp;"!C:C"),"建筑面积",INDIRECT("'"&amp;A8&amp;"'"&amp;"!D:D"))</f>
        <v>#REF!</v>
      </c>
      <c r="F8" s="3159" t="e">
        <f t="shared" ref="F8:F14" ca="1" si="2">SUMIF(INDIRECT("'"&amp;A8&amp;"'"&amp;"!E:E"),"土地面积",INDIRECT("'"&amp;A8&amp;"'"&amp;"!F:F"))</f>
        <v>#REF!</v>
      </c>
      <c r="G8" s="3156"/>
      <c r="H8" s="3156"/>
      <c r="I8" s="3156"/>
      <c r="J8" s="3156"/>
      <c r="K8" s="3156"/>
      <c r="L8" s="3156"/>
      <c r="M8" s="3156"/>
      <c r="N8" s="3156"/>
    </row>
    <row r="9" spans="1:14" ht="15.6">
      <c r="A9" s="3164"/>
      <c r="B9" s="3166" t="e">
        <f t="shared" ca="1" si="0"/>
        <v>#REF!</v>
      </c>
      <c r="C9" s="3161" t="s">
        <v>2646</v>
      </c>
      <c r="D9" s="3158"/>
      <c r="E9" s="3159" t="e">
        <f t="shared" ca="1" si="1"/>
        <v>#REF!</v>
      </c>
      <c r="F9" s="3159" t="e">
        <f t="shared" ca="1" si="2"/>
        <v>#REF!</v>
      </c>
      <c r="G9" s="3156"/>
      <c r="H9" s="3156"/>
      <c r="I9" s="3156"/>
      <c r="J9" s="3156"/>
      <c r="K9" s="3156"/>
      <c r="L9" s="3156"/>
      <c r="M9" s="3156"/>
      <c r="N9" s="3156"/>
    </row>
    <row r="10" spans="1:14" ht="15.6">
      <c r="A10" s="3164"/>
      <c r="B10" s="3166" t="e">
        <f t="shared" ca="1" si="0"/>
        <v>#REF!</v>
      </c>
      <c r="C10" s="3161" t="s">
        <v>2646</v>
      </c>
      <c r="D10" s="3158"/>
      <c r="E10" s="3159" t="e">
        <f t="shared" ca="1" si="1"/>
        <v>#REF!</v>
      </c>
      <c r="F10" s="3159" t="e">
        <f t="shared" ca="1" si="2"/>
        <v>#REF!</v>
      </c>
      <c r="G10" s="3156"/>
      <c r="H10" s="3156"/>
      <c r="I10" s="3156"/>
      <c r="J10" s="3156"/>
      <c r="K10" s="3156"/>
      <c r="L10" s="3156"/>
      <c r="M10" s="3156"/>
      <c r="N10" s="3156"/>
    </row>
    <row r="11" spans="1:14" ht="15.6">
      <c r="A11" s="3164"/>
      <c r="B11" s="3166" t="e">
        <f t="shared" ca="1" si="0"/>
        <v>#REF!</v>
      </c>
      <c r="C11" s="3161" t="s">
        <v>2646</v>
      </c>
      <c r="D11" s="3158"/>
      <c r="E11" s="3159" t="e">
        <f t="shared" ca="1" si="1"/>
        <v>#REF!</v>
      </c>
      <c r="F11" s="3159" t="e">
        <f t="shared" ca="1" si="2"/>
        <v>#REF!</v>
      </c>
      <c r="G11" s="3156"/>
      <c r="H11" s="3156"/>
      <c r="I11" s="3156"/>
      <c r="J11" s="3156"/>
      <c r="K11" s="3156"/>
      <c r="L11" s="3156"/>
      <c r="M11" s="3156"/>
      <c r="N11" s="3156"/>
    </row>
    <row r="12" spans="1:14" ht="15.6">
      <c r="A12" s="3164"/>
      <c r="B12" s="3166" t="e">
        <f t="shared" ca="1" si="0"/>
        <v>#REF!</v>
      </c>
      <c r="C12" s="3161" t="s">
        <v>2646</v>
      </c>
      <c r="D12" s="3158"/>
      <c r="E12" s="3159" t="e">
        <f t="shared" ca="1" si="1"/>
        <v>#REF!</v>
      </c>
      <c r="F12" s="3159" t="e">
        <f t="shared" ca="1" si="2"/>
        <v>#REF!</v>
      </c>
      <c r="G12" s="3156"/>
      <c r="H12" s="3156"/>
      <c r="I12" s="3156"/>
      <c r="J12" s="3156"/>
      <c r="K12" s="3156"/>
      <c r="L12" s="3156"/>
      <c r="M12" s="3156"/>
      <c r="N12" s="3156"/>
    </row>
    <row r="13" spans="1:14" ht="15.6">
      <c r="A13" s="3164"/>
      <c r="B13" s="3166" t="e">
        <f t="shared" ca="1" si="0"/>
        <v>#REF!</v>
      </c>
      <c r="C13" s="3161" t="s">
        <v>2646</v>
      </c>
      <c r="D13" s="3158"/>
      <c r="E13" s="3159" t="e">
        <f t="shared" ca="1" si="1"/>
        <v>#REF!</v>
      </c>
      <c r="F13" s="3159" t="e">
        <f t="shared" ca="1" si="2"/>
        <v>#REF!</v>
      </c>
      <c r="G13" s="3156"/>
      <c r="H13" s="3156"/>
      <c r="I13" s="3156"/>
      <c r="J13" s="3156"/>
      <c r="K13" s="3156"/>
      <c r="L13" s="3156"/>
      <c r="M13" s="3156"/>
      <c r="N13" s="3156"/>
    </row>
    <row r="14" spans="1:14" ht="15.6">
      <c r="A14" s="3165"/>
      <c r="B14" s="3166" t="e">
        <f t="shared" ca="1" si="0"/>
        <v>#REF!</v>
      </c>
      <c r="C14" s="3161" t="s">
        <v>2646</v>
      </c>
      <c r="D14" s="3158"/>
      <c r="E14" s="3159" t="e">
        <f t="shared" ca="1" si="1"/>
        <v>#REF!</v>
      </c>
      <c r="F14" s="3159" t="e">
        <f t="shared" ca="1" si="2"/>
        <v>#REF!</v>
      </c>
      <c r="G14" s="3156"/>
      <c r="H14" s="3156"/>
      <c r="I14" s="3156"/>
      <c r="J14" s="3156"/>
      <c r="K14" s="3156"/>
      <c r="L14" s="3156"/>
      <c r="M14" s="3156"/>
      <c r="N14" s="3156"/>
    </row>
    <row r="15" spans="1:14">
      <c r="A15" s="3156"/>
      <c r="B15" s="3156"/>
      <c r="C15" s="3156"/>
      <c r="D15" s="3156"/>
      <c r="E15" s="3156"/>
      <c r="F15" s="3156"/>
      <c r="G15" s="3156"/>
      <c r="H15" s="3156"/>
      <c r="I15" s="3156"/>
      <c r="J15" s="3156"/>
      <c r="K15" s="3156"/>
      <c r="L15" s="3156"/>
      <c r="M15" s="3156"/>
      <c r="N15" s="3156"/>
    </row>
    <row r="16" spans="1:14">
      <c r="A16" s="3156"/>
      <c r="B16" s="3156"/>
      <c r="C16" s="3156"/>
      <c r="D16" s="3156"/>
      <c r="E16" s="3156"/>
      <c r="F16" s="3156"/>
      <c r="G16" s="3156"/>
      <c r="H16" s="3156"/>
      <c r="I16" s="3156"/>
      <c r="J16" s="3156"/>
      <c r="K16" s="3156"/>
      <c r="L16" s="3156"/>
      <c r="M16" s="3156"/>
      <c r="N16" s="3156"/>
    </row>
    <row r="17" spans="1:14">
      <c r="A17" s="3156"/>
      <c r="B17" s="3156"/>
      <c r="C17" s="3156"/>
      <c r="D17" s="3156"/>
      <c r="E17" s="3156"/>
      <c r="F17" s="3156"/>
      <c r="G17" s="3156"/>
      <c r="H17" s="3156"/>
      <c r="I17" s="3156"/>
      <c r="J17" s="3156"/>
      <c r="K17" s="3156"/>
      <c r="L17" s="3156"/>
      <c r="M17" s="3156"/>
      <c r="N17" s="3156"/>
    </row>
    <row r="18" spans="1:14">
      <c r="A18" s="3156"/>
      <c r="B18" s="3156"/>
      <c r="C18" s="3156"/>
      <c r="D18" s="3156"/>
      <c r="E18" s="3156"/>
      <c r="F18" s="3156"/>
      <c r="G18" s="3156"/>
      <c r="H18" s="3156"/>
      <c r="I18" s="3156"/>
      <c r="J18" s="3156"/>
      <c r="K18" s="3156"/>
      <c r="L18" s="3156"/>
      <c r="M18" s="3156"/>
      <c r="N18" s="3156"/>
    </row>
    <row r="19" spans="1:14">
      <c r="A19" s="3156"/>
      <c r="B19" s="3156"/>
      <c r="C19" s="3156"/>
      <c r="D19" s="3156"/>
      <c r="E19" s="3156"/>
      <c r="F19" s="3156"/>
      <c r="G19" s="3156"/>
      <c r="H19" s="3156"/>
      <c r="I19" s="3156"/>
      <c r="J19" s="3156"/>
      <c r="K19" s="3156"/>
      <c r="L19" s="3156"/>
      <c r="M19" s="3156"/>
      <c r="N19" s="3156"/>
    </row>
    <row r="20" spans="1:14">
      <c r="A20" s="3156"/>
      <c r="B20" s="3156"/>
      <c r="C20" s="3156"/>
      <c r="D20" s="3156"/>
      <c r="E20" s="3156"/>
      <c r="F20" s="3156"/>
      <c r="G20" s="3156"/>
      <c r="H20" s="3156"/>
      <c r="I20" s="3156"/>
      <c r="J20" s="3156"/>
      <c r="K20" s="3156"/>
      <c r="L20" s="3156"/>
      <c r="M20" s="3156"/>
      <c r="N20" s="3156"/>
    </row>
    <row r="21" spans="1:14">
      <c r="A21" s="3156"/>
      <c r="B21" s="3156"/>
      <c r="C21" s="3156"/>
      <c r="D21" s="3156"/>
      <c r="E21" s="3156"/>
      <c r="F21" s="3156"/>
      <c r="G21" s="3156"/>
      <c r="H21" s="3156"/>
      <c r="I21" s="3156"/>
      <c r="J21" s="3156"/>
      <c r="K21" s="3156"/>
      <c r="L21" s="3156"/>
      <c r="M21" s="3156"/>
      <c r="N21" s="3156"/>
    </row>
    <row r="22" spans="1:14">
      <c r="A22" s="3156"/>
      <c r="B22" s="3156"/>
      <c r="C22" s="3156"/>
      <c r="D22" s="3156"/>
      <c r="E22" s="3156"/>
      <c r="F22" s="3156"/>
      <c r="G22" s="3156"/>
      <c r="H22" s="3156"/>
      <c r="I22" s="3156"/>
      <c r="J22" s="3156"/>
      <c r="K22" s="3156"/>
      <c r="L22" s="3156"/>
      <c r="M22" s="3156"/>
      <c r="N22" s="3156"/>
    </row>
    <row r="23" spans="1:14">
      <c r="A23" s="3156"/>
      <c r="B23" s="3156"/>
      <c r="C23" s="3156"/>
      <c r="D23" s="3156"/>
      <c r="E23" s="3156"/>
      <c r="F23" s="3156"/>
      <c r="G23" s="3156"/>
      <c r="H23" s="3156"/>
      <c r="I23" s="3156"/>
      <c r="J23" s="3156"/>
      <c r="K23" s="3156"/>
      <c r="L23" s="3156"/>
      <c r="M23" s="3156"/>
      <c r="N23" s="3156"/>
    </row>
    <row r="24" spans="1:14">
      <c r="A24" s="3156"/>
      <c r="B24" s="3156"/>
      <c r="C24" s="3156"/>
      <c r="D24" s="3156"/>
      <c r="E24" s="3156"/>
      <c r="F24" s="3156"/>
      <c r="G24" s="3156"/>
      <c r="H24" s="3156"/>
      <c r="I24" s="3156"/>
      <c r="J24" s="3156"/>
      <c r="K24" s="3156"/>
      <c r="L24" s="3156"/>
      <c r="M24" s="3156"/>
      <c r="N24" s="3156"/>
    </row>
    <row r="25" spans="1:14">
      <c r="A25" s="3156"/>
      <c r="B25" s="3156"/>
      <c r="C25" s="3156"/>
      <c r="D25" s="3156"/>
      <c r="E25" s="3156"/>
      <c r="F25" s="3156"/>
      <c r="G25" s="3156"/>
      <c r="H25" s="3156"/>
      <c r="I25" s="3156"/>
      <c r="J25" s="3156"/>
      <c r="K25" s="3156"/>
      <c r="L25" s="3156"/>
      <c r="M25" s="3156"/>
      <c r="N25" s="3156"/>
    </row>
    <row r="26" spans="1:14">
      <c r="A26" s="3156"/>
      <c r="B26" s="3156"/>
      <c r="C26" s="3156"/>
      <c r="D26" s="3156"/>
      <c r="E26" s="3156"/>
      <c r="F26" s="3156"/>
      <c r="G26" s="3156"/>
      <c r="H26" s="3156"/>
      <c r="I26" s="3156"/>
      <c r="J26" s="3156"/>
      <c r="K26" s="3156"/>
      <c r="L26" s="3156"/>
      <c r="M26" s="3156"/>
      <c r="N26" s="3156"/>
    </row>
    <row r="27" spans="1:14">
      <c r="A27" s="3156"/>
      <c r="B27" s="3156"/>
      <c r="C27" s="3156"/>
      <c r="D27" s="3156"/>
      <c r="E27" s="3156"/>
      <c r="F27" s="3156"/>
      <c r="G27" s="3156"/>
      <c r="H27" s="3156"/>
      <c r="I27" s="3156"/>
      <c r="J27" s="3156"/>
      <c r="K27" s="3156"/>
      <c r="L27" s="3156"/>
      <c r="M27" s="3156"/>
      <c r="N27" s="3156"/>
    </row>
    <row r="28" spans="1:14">
      <c r="A28" s="3156"/>
      <c r="B28" s="3156"/>
      <c r="C28" s="3156"/>
      <c r="D28" s="3156"/>
      <c r="E28" s="3156"/>
      <c r="F28" s="3156"/>
      <c r="G28" s="3156"/>
      <c r="H28" s="3156"/>
      <c r="I28" s="3156"/>
      <c r="J28" s="3156"/>
      <c r="K28" s="3156"/>
      <c r="L28" s="3156"/>
      <c r="M28" s="3156"/>
      <c r="N28" s="3156"/>
    </row>
    <row r="29" spans="1:14">
      <c r="A29" s="3156"/>
      <c r="B29" s="3156"/>
      <c r="C29" s="3156"/>
      <c r="D29" s="3156"/>
      <c r="E29" s="3156"/>
      <c r="F29" s="3156"/>
      <c r="G29" s="3156"/>
      <c r="H29" s="3156"/>
      <c r="I29" s="3156"/>
      <c r="J29" s="3156"/>
      <c r="K29" s="3156"/>
      <c r="L29" s="3156"/>
      <c r="M29" s="3156"/>
      <c r="N29" s="315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5" customWidth="1"/>
    <col min="2" max="2" width="20.6640625" style="1936" customWidth="1"/>
    <col min="3" max="3" width="11.88671875" style="1936" customWidth="1"/>
    <col min="4" max="4" width="40.44140625" style="1898" customWidth="1"/>
    <col min="5" max="5" width="15.77734375" style="1898" customWidth="1"/>
    <col min="6" max="6" width="10.6640625" style="1898" customWidth="1"/>
    <col min="7" max="7" width="4.88671875" style="1898" customWidth="1"/>
    <col min="8" max="8" width="8.44140625" style="1898" customWidth="1"/>
    <col min="9" max="9" width="21.21875" style="1898" customWidth="1"/>
    <col min="10" max="10" width="12.21875" style="1898" customWidth="1"/>
    <col min="11" max="11" width="40.109375" style="1937" customWidth="1"/>
    <col min="12" max="12" width="18.33203125" style="1898" customWidth="1"/>
    <col min="13" max="13" width="13" style="1898" customWidth="1"/>
    <col min="14" max="14" width="9.44140625" style="1897" bestFit="1" customWidth="1"/>
    <col min="15" max="15" width="8.33203125" style="1897" customWidth="1"/>
    <col min="16" max="16" width="30.21875" style="1897" customWidth="1"/>
    <col min="17" max="17" width="13.77734375" style="1897" customWidth="1"/>
    <col min="18" max="18" width="22.21875" style="1897" customWidth="1"/>
    <col min="19" max="19" width="1.44140625" style="1897" customWidth="1"/>
    <col min="20" max="25" width="9" style="1897"/>
    <col min="26" max="16384" width="9" style="1898"/>
  </cols>
  <sheetData>
    <row r="1" spans="1:25" s="1892" customFormat="1" ht="21.6">
      <c r="A1" s="745" t="s">
        <v>610</v>
      </c>
      <c r="B1" s="713"/>
      <c r="C1" s="746"/>
      <c r="D1" s="1888"/>
      <c r="E1" s="2197" t="s">
        <v>2161</v>
      </c>
      <c r="F1" s="2198">
        <f ca="1">J54</f>
        <v>0</v>
      </c>
      <c r="G1" s="747">
        <f>MATCH(C1,'数据-取费表'!A6:A16,0)+5</f>
        <v>6</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1486</v>
      </c>
      <c r="B3" s="1296" t="e">
        <f ca="1">ROUND(B2*10000/'数据-汇总表'!E3,0)</f>
        <v>#DIV/0!</v>
      </c>
      <c r="C3" s="1260"/>
      <c r="D3" s="1893"/>
      <c r="E3" s="1894"/>
      <c r="F3" s="1894"/>
      <c r="G3" s="1481"/>
      <c r="H3" s="749" t="s">
        <v>677</v>
      </c>
      <c r="I3" s="1895"/>
      <c r="J3" s="1895"/>
      <c r="K3" s="1896"/>
      <c r="L3" s="1895"/>
      <c r="M3" s="1895"/>
    </row>
    <row r="4" spans="1:25" ht="18" customHeight="1">
      <c r="A4" s="1530" t="s">
        <v>678</v>
      </c>
      <c r="B4" s="1261" t="e">
        <f ca="1">ROUND(B2*10000/'数据-汇总表'!D3,0)</f>
        <v>#DIV/0!</v>
      </c>
      <c r="C4" s="422"/>
      <c r="D4" s="1893"/>
      <c r="E4" s="1894"/>
      <c r="F4" s="1894"/>
      <c r="G4" s="1481"/>
      <c r="H4" s="749"/>
      <c r="I4" s="1895"/>
      <c r="J4" s="1895"/>
      <c r="K4" s="1896"/>
      <c r="L4" s="1895"/>
      <c r="M4" s="1895"/>
    </row>
    <row r="5" spans="1:25" ht="18" customHeight="1" thickBot="1">
      <c r="A5" s="1531"/>
      <c r="B5" s="424" t="e">
        <f ca="1">ROUND(B2/('数据-汇总表'!D3/666.67),0)</f>
        <v>#DIV/0!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2237</v>
      </c>
      <c r="C7" s="53">
        <f ca="1">C8+C12+C14</f>
        <v>0</v>
      </c>
      <c r="D7" s="2302" t="s">
        <v>2240</v>
      </c>
      <c r="E7" s="2296"/>
      <c r="F7" s="2297"/>
      <c r="G7" s="1483"/>
      <c r="H7" s="754">
        <v>1</v>
      </c>
      <c r="I7" s="755" t="s">
        <v>2237</v>
      </c>
      <c r="J7" s="53">
        <f ca="1">J8+J12+J14</f>
        <v>0</v>
      </c>
      <c r="K7" s="2302" t="s">
        <v>2240</v>
      </c>
      <c r="L7" s="2296"/>
      <c r="M7" s="2297"/>
    </row>
    <row r="8" spans="1:25" ht="18" customHeight="1">
      <c r="A8" s="1701" t="s">
        <v>1624</v>
      </c>
      <c r="B8" s="3726" t="s">
        <v>2242</v>
      </c>
      <c r="C8" s="1696">
        <f ca="1">ROUND(F8*F10*F9*(1-F11)/10000,0)</f>
        <v>0</v>
      </c>
      <c r="D8" s="1693" t="s">
        <v>2252</v>
      </c>
      <c r="E8" s="61" t="s">
        <v>619</v>
      </c>
      <c r="F8" s="758">
        <f ca="1">INDIRECT("'数据-取费表'!u"&amp;$G$1)</f>
        <v>0</v>
      </c>
      <c r="G8" s="1483"/>
      <c r="H8" s="2310" t="s">
        <v>1624</v>
      </c>
      <c r="I8" s="3726" t="s">
        <v>2242</v>
      </c>
      <c r="J8" s="756">
        <f ca="1">ROUND(M8*M10*M9*(1-M11)/10000,0)</f>
        <v>0</v>
      </c>
      <c r="K8" s="339" t="s">
        <v>2252</v>
      </c>
      <c r="L8" s="757" t="s">
        <v>1538</v>
      </c>
      <c r="M8" s="758">
        <f ca="1">INDIRECT("'数据-取费表'!z"&amp;$G$1)</f>
        <v>0</v>
      </c>
    </row>
    <row r="9" spans="1:25" ht="18" customHeight="1">
      <c r="A9" s="2306"/>
      <c r="B9" s="3727"/>
      <c r="C9" s="1697"/>
      <c r="D9" s="1694"/>
      <c r="E9" s="61" t="s">
        <v>620</v>
      </c>
      <c r="F9" s="758">
        <f ca="1">IF(INDIRECT("'数据-取费表'!ah"&amp;$G$1)="",INDIRECT("'数据-取费表'!k"&amp;$G$1),INDIRECT("'数据-取费表'!ah"&amp;$G$1))</f>
        <v>0</v>
      </c>
      <c r="G9" s="1483"/>
      <c r="H9" s="2295"/>
      <c r="I9" s="3727"/>
      <c r="J9" s="761"/>
      <c r="K9" s="762"/>
      <c r="L9" s="757" t="s">
        <v>1539</v>
      </c>
      <c r="M9" s="758">
        <f ca="1">F9</f>
        <v>0</v>
      </c>
    </row>
    <row r="10" spans="1:25" ht="18" customHeight="1">
      <c r="A10" s="2299"/>
      <c r="B10" s="3728"/>
      <c r="C10" s="1697"/>
      <c r="D10" s="1694"/>
      <c r="E10" s="61" t="s">
        <v>621</v>
      </c>
      <c r="F10" s="758">
        <f ca="1">INDIRECT("'数据-取费表'!ai"&amp;$G$1)</f>
        <v>0</v>
      </c>
      <c r="G10" s="1483"/>
      <c r="H10" s="2295"/>
      <c r="I10" s="3728"/>
      <c r="J10" s="761"/>
      <c r="K10" s="762"/>
      <c r="L10" s="757" t="s">
        <v>1540</v>
      </c>
      <c r="M10" s="758">
        <f ca="1">INDIRECT("'数据-取费表'!ai"&amp;$G$1)</f>
        <v>0</v>
      </c>
    </row>
    <row r="11" spans="1:25" ht="18" customHeight="1">
      <c r="A11" s="759"/>
      <c r="B11" s="3729"/>
      <c r="C11" s="1697"/>
      <c r="D11" s="1694"/>
      <c r="E11" s="61" t="s">
        <v>622</v>
      </c>
      <c r="F11" s="767">
        <f ca="1">INDIRECT("'数据-取费表'!w"&amp;$G$1)</f>
        <v>0</v>
      </c>
      <c r="G11" s="1483"/>
      <c r="H11" s="2311"/>
      <c r="I11" s="3728"/>
      <c r="J11" s="761"/>
      <c r="K11" s="762"/>
      <c r="L11" s="768" t="s">
        <v>1541</v>
      </c>
      <c r="M11" s="769">
        <f ca="1">INDIRECT("'数据-取费表'!ab"&amp;$G$1)</f>
        <v>0</v>
      </c>
    </row>
    <row r="12" spans="1:25" ht="18" customHeight="1">
      <c r="A12" s="1701" t="s">
        <v>1625</v>
      </c>
      <c r="B12" s="2300" t="s">
        <v>2238</v>
      </c>
      <c r="C12" s="772">
        <f ca="1">ROUND(IF(F12="押一",C8/12*F13,IF(F12="押二",C8/12*2*F13,IF(F12="押三",C8/12*3*F13,C13*F13))),0)</f>
        <v>0</v>
      </c>
      <c r="D12" s="2307" t="s">
        <v>2671</v>
      </c>
      <c r="E12" s="2304" t="s">
        <v>2243</v>
      </c>
      <c r="F12" s="2388"/>
      <c r="G12" s="1483"/>
      <c r="H12" s="2338" t="s">
        <v>1625</v>
      </c>
      <c r="I12" s="2343" t="s">
        <v>2238</v>
      </c>
      <c r="J12" s="756">
        <f ca="1">ROUND(IF(M12="押一",J8/12*M13,IF(M12="押二",J8/12*2*M13,IF(M12="押三",J8/12*3*M13,J13*M13))),0)</f>
        <v>0</v>
      </c>
      <c r="K12" s="2307" t="s">
        <v>2671</v>
      </c>
      <c r="L12" s="2304" t="s">
        <v>2243</v>
      </c>
      <c r="M12" s="2388"/>
    </row>
    <row r="13" spans="1:25" ht="18" customHeight="1">
      <c r="A13" s="763"/>
      <c r="B13" s="2301" t="s">
        <v>2291</v>
      </c>
      <c r="C13" s="2305"/>
      <c r="D13" s="762"/>
      <c r="E13" s="2304" t="s">
        <v>2236</v>
      </c>
      <c r="F13" s="769">
        <f ca="1">'数据-取费表'!B39</f>
        <v>0</v>
      </c>
      <c r="G13" s="1483"/>
      <c r="H13" s="2339"/>
      <c r="I13" s="2301" t="s">
        <v>2291</v>
      </c>
      <c r="J13" s="2305"/>
      <c r="K13" s="2340"/>
      <c r="L13" s="2304" t="s">
        <v>2236</v>
      </c>
      <c r="M13" s="2298">
        <f ca="1">'数据-取费表'!B39</f>
        <v>0</v>
      </c>
    </row>
    <row r="14" spans="1:25" ht="18" customHeight="1" thickBot="1">
      <c r="A14" s="2314" t="s">
        <v>2246</v>
      </c>
      <c r="B14" s="2315" t="s">
        <v>2239</v>
      </c>
      <c r="C14" s="2316"/>
      <c r="D14" s="2317"/>
      <c r="E14" s="2318"/>
      <c r="F14" s="2319"/>
      <c r="G14" s="1483"/>
      <c r="H14" s="2328" t="s">
        <v>2246</v>
      </c>
      <c r="I14" s="2341" t="s">
        <v>2239</v>
      </c>
      <c r="J14" s="2342"/>
      <c r="K14" s="2317"/>
      <c r="L14" s="2318"/>
      <c r="M14" s="2331"/>
    </row>
    <row r="15" spans="1:25" ht="18" customHeight="1" thickTop="1">
      <c r="A15" s="1700" t="s">
        <v>1670</v>
      </c>
      <c r="B15" s="1698" t="s">
        <v>623</v>
      </c>
      <c r="C15" s="765">
        <f ca="1">ROUND(C31*F15,0)</f>
        <v>0</v>
      </c>
      <c r="D15" s="1705" t="s">
        <v>624</v>
      </c>
      <c r="E15" s="768" t="s">
        <v>625</v>
      </c>
      <c r="F15" s="773">
        <f ca="1">INDIRECT("'数据-取费表'!y"&amp;$G$1)</f>
        <v>0</v>
      </c>
      <c r="G15" s="1483"/>
      <c r="H15" s="1700" t="s">
        <v>1626</v>
      </c>
      <c r="I15" s="1698" t="s">
        <v>626</v>
      </c>
      <c r="J15" s="1690">
        <f ca="1">ROUND(J16*J17,0)</f>
        <v>0</v>
      </c>
      <c r="K15" s="1692" t="s">
        <v>624</v>
      </c>
      <c r="L15" s="774"/>
      <c r="M15" s="775"/>
    </row>
    <row r="16" spans="1:25" ht="18" customHeight="1">
      <c r="A16" s="776" t="s">
        <v>1671</v>
      </c>
      <c r="B16" s="757" t="s">
        <v>627</v>
      </c>
      <c r="C16" s="777">
        <f ca="1">INDIRECT("'数据-取费表'!m"&amp;$G$1)+INDIRECT("'数据-取费表'!t"&amp;$G$1)</f>
        <v>0</v>
      </c>
      <c r="D16" s="1848" t="s">
        <v>628</v>
      </c>
      <c r="E16" s="1849"/>
      <c r="F16" s="778"/>
      <c r="G16" s="1483"/>
      <c r="H16" s="776" t="s">
        <v>1861</v>
      </c>
      <c r="I16" s="2066" t="s">
        <v>2541</v>
      </c>
      <c r="J16" s="53">
        <f ca="1">C31</f>
        <v>0</v>
      </c>
      <c r="K16" s="26"/>
      <c r="L16" s="774"/>
      <c r="M16" s="775"/>
    </row>
    <row r="17" spans="1:25" s="1902" customFormat="1" ht="18" customHeight="1">
      <c r="A17" s="776" t="s">
        <v>1649</v>
      </c>
      <c r="B17" s="757" t="s">
        <v>629</v>
      </c>
      <c r="C17" s="53">
        <f ca="1">ROUND(C16*F17,0)</f>
        <v>0</v>
      </c>
      <c r="D17" s="779" t="s">
        <v>630</v>
      </c>
      <c r="E17" s="779" t="s">
        <v>631</v>
      </c>
      <c r="F17" s="780">
        <f>'数据-取费表'!B33</f>
        <v>0</v>
      </c>
      <c r="G17" s="1484"/>
      <c r="H17" s="776" t="s">
        <v>1862</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1"/>
      <c r="M18" s="56"/>
    </row>
    <row r="19" spans="1:25" s="1902" customFormat="1" ht="18" customHeight="1">
      <c r="A19" s="776" t="s">
        <v>1651</v>
      </c>
      <c r="B19" s="757" t="s">
        <v>635</v>
      </c>
      <c r="C19" s="53">
        <f ca="1">ROUND(F19*(INDIRECT("'数据-取费表'!k"&amp;$G$1)+INDIRECT("'数据-取费表'!S"&amp;$G$1))/10000,0)</f>
        <v>0</v>
      </c>
      <c r="D19" s="757" t="s">
        <v>636</v>
      </c>
      <c r="E19" s="757" t="s">
        <v>637</v>
      </c>
      <c r="F19" s="56">
        <f>'数据-取费表'!B35</f>
        <v>0</v>
      </c>
      <c r="G19" s="1484"/>
      <c r="H19" s="776" t="s">
        <v>1861</v>
      </c>
      <c r="I19" s="757" t="s">
        <v>638</v>
      </c>
      <c r="J19" s="2928">
        <f ca="1">ROUND(IF(AND(项目基本情况!B11="自然人",项目基本情况!B10="北京市"),J8*M19/(1+'数据-取费表'!C42),J20+J21+J22),0)</f>
        <v>0</v>
      </c>
      <c r="K19" s="1848" t="s">
        <v>639</v>
      </c>
      <c r="L19" s="1846" t="s">
        <v>640</v>
      </c>
      <c r="M19" s="2927">
        <f ca="1">IF(项目基本情况!B11="企业","——",IF('数据-取费表'!B10="住宅",IF(M8*M9*M10/12/(1+'数据-取费表'!F30)&gt;100000,4%,2.5%),IF(M8*M9*M10/12/(1+'数据-取费表'!F30)&gt;100000,12%,7%)))</f>
        <v>7.0000000000000007E-2</v>
      </c>
      <c r="N19" s="1901"/>
      <c r="O19" s="1901"/>
      <c r="P19" s="1901"/>
      <c r="Q19" s="1901"/>
      <c r="R19" s="1901"/>
      <c r="S19" s="1901"/>
      <c r="T19" s="1901"/>
      <c r="U19" s="1901"/>
      <c r="V19" s="1901"/>
      <c r="W19" s="1901"/>
      <c r="X19" s="1901"/>
      <c r="Y19" s="1901"/>
    </row>
    <row r="20" spans="1:25" s="1902" customFormat="1" ht="18" customHeight="1">
      <c r="A20" s="776" t="s">
        <v>1652</v>
      </c>
      <c r="B20" s="757" t="s">
        <v>641</v>
      </c>
      <c r="C20" s="53">
        <f ca="1">ROUND(C16*F20,0)</f>
        <v>0</v>
      </c>
      <c r="D20" s="757" t="s">
        <v>630</v>
      </c>
      <c r="E20" s="757" t="s">
        <v>631</v>
      </c>
      <c r="F20" s="782">
        <f>'数据-取费表'!B36</f>
        <v>0</v>
      </c>
      <c r="G20" s="1484"/>
      <c r="H20" s="776" t="s">
        <v>1631</v>
      </c>
      <c r="I20" s="757" t="s">
        <v>642</v>
      </c>
      <c r="J20" s="53">
        <f ca="1">ROUND(J8*M20/(1+'数据-取费表'!C42),1)</f>
        <v>0</v>
      </c>
      <c r="K20" s="1846" t="s">
        <v>643</v>
      </c>
      <c r="L20" s="757" t="s">
        <v>631</v>
      </c>
      <c r="M20" s="782">
        <f>'数据-取费表'!B41</f>
        <v>0</v>
      </c>
      <c r="N20" s="1901"/>
      <c r="O20" s="1901"/>
      <c r="P20" s="1901"/>
      <c r="Q20" s="1901"/>
      <c r="R20" s="1901"/>
      <c r="S20" s="1901"/>
      <c r="T20" s="1901"/>
      <c r="U20" s="1901"/>
      <c r="V20" s="1901"/>
      <c r="W20" s="1901"/>
      <c r="X20" s="1901"/>
      <c r="Y20" s="1901"/>
    </row>
    <row r="21" spans="1:25" ht="18" customHeight="1">
      <c r="A21" s="776" t="s">
        <v>1672</v>
      </c>
      <c r="B21" s="757" t="s">
        <v>644</v>
      </c>
      <c r="C21" s="53">
        <f ca="1">SUM(C16:C20)</f>
        <v>0</v>
      </c>
      <c r="D21" s="259" t="s">
        <v>645</v>
      </c>
      <c r="E21" s="1851"/>
      <c r="F21" s="56"/>
      <c r="G21" s="1483"/>
      <c r="H21" s="1701"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2" customFormat="1" ht="18" customHeight="1">
      <c r="A22" s="776" t="s">
        <v>1673</v>
      </c>
      <c r="B22" s="757" t="s">
        <v>648</v>
      </c>
      <c r="C22" s="53">
        <f ca="1">ROUND(C21*F22,0)</f>
        <v>0</v>
      </c>
      <c r="D22" s="784" t="s">
        <v>649</v>
      </c>
      <c r="E22" s="757" t="s">
        <v>631</v>
      </c>
      <c r="F22" s="782">
        <f>'数据-取费表'!B37</f>
        <v>0</v>
      </c>
      <c r="G22" s="1484"/>
      <c r="H22" s="1703" t="s">
        <v>1650</v>
      </c>
      <c r="I22" s="1693" t="s">
        <v>650</v>
      </c>
      <c r="J22" s="54">
        <f ca="1">ROUND(M22*M23/10000,0)</f>
        <v>0</v>
      </c>
      <c r="K22" s="786" t="s">
        <v>651</v>
      </c>
      <c r="L22" s="757" t="s">
        <v>652</v>
      </c>
      <c r="M22" s="615">
        <f>'数据-取费表'!B52</f>
        <v>0</v>
      </c>
      <c r="N22" s="1901"/>
      <c r="O22" s="1901"/>
      <c r="P22" s="1901"/>
      <c r="Q22" s="1901"/>
      <c r="R22" s="1901"/>
      <c r="S22" s="1901"/>
      <c r="T22" s="1901"/>
      <c r="U22" s="1901"/>
      <c r="V22" s="1901"/>
      <c r="W22" s="1901"/>
      <c r="X22" s="1901"/>
      <c r="Y22" s="1901"/>
    </row>
    <row r="23" spans="1:25" s="1902" customFormat="1" ht="18" customHeight="1">
      <c r="A23" s="776" t="s">
        <v>1674</v>
      </c>
      <c r="B23" s="757" t="s">
        <v>653</v>
      </c>
      <c r="C23" s="53" t="s">
        <v>1</v>
      </c>
      <c r="D23" s="784" t="s">
        <v>654</v>
      </c>
      <c r="E23" s="757" t="s">
        <v>655</v>
      </c>
      <c r="F23" s="782">
        <f>'数据-取费表'!B38</f>
        <v>0</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1675</v>
      </c>
      <c r="B24" s="757" t="s">
        <v>657</v>
      </c>
      <c r="C24" s="53"/>
      <c r="D24" s="2347" t="str">
        <f>IF(F25&lt;=1,"单利计息。","复利计息。")&amp;"建造成本、管理费用、销售费用产生的利息。"</f>
        <v>单利计息。建造成本、管理费用、销售费用产生的利息。</v>
      </c>
      <c r="E24" s="1851"/>
      <c r="F24" s="56"/>
      <c r="G24" s="1483"/>
      <c r="H24" s="1702" t="s">
        <v>1862</v>
      </c>
      <c r="I24" s="757" t="s">
        <v>658</v>
      </c>
      <c r="J24" s="53">
        <f ca="1">ROUND(J16*M24,0)</f>
        <v>0</v>
      </c>
      <c r="K24" s="1846" t="s">
        <v>659</v>
      </c>
      <c r="L24" s="757" t="s">
        <v>631</v>
      </c>
      <c r="M24" s="789">
        <f ca="1">INDIRECT("'数据-取费表'!Ak"&amp;$G$1)</f>
        <v>0</v>
      </c>
    </row>
    <row r="25" spans="1:25" s="1902" customFormat="1" ht="18" customHeight="1">
      <c r="A25" s="776" t="s">
        <v>1671</v>
      </c>
      <c r="B25" s="757" t="s">
        <v>2219</v>
      </c>
      <c r="C25" s="53">
        <f ca="1">ROUND(IF('数据-取费表'!B22&lt;=1,(C21+C22)*F26*F25/2,(C21+C22)*(POWER((1+F26),F25/2)-1)),0)</f>
        <v>0</v>
      </c>
      <c r="D25" s="2346" t="str">
        <f>IF(F25&lt;=1,"(建造成本+管理费用)×利率×(建设周期÷2)","(建造成本+管理费用)×((1+利率)^(建设周期÷2)-1)")</f>
        <v>(建造成本+管理费用)×利率×(建设周期÷2)</v>
      </c>
      <c r="E25" s="757" t="s">
        <v>660</v>
      </c>
      <c r="F25" s="615">
        <f>'数据-取费表'!B20</f>
        <v>0</v>
      </c>
      <c r="G25" s="1484"/>
      <c r="H25" s="776" t="s">
        <v>1674</v>
      </c>
      <c r="I25" s="757" t="s">
        <v>661</v>
      </c>
      <c r="J25" s="53">
        <f ca="1">ROUND(J15*M25,0)</f>
        <v>0</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1649</v>
      </c>
      <c r="B26" s="757" t="s">
        <v>663</v>
      </c>
      <c r="C26" s="53">
        <f ca="1">ROUND(IF('数据-取费表'!B22&lt;=1,F23*F26*F25/2,F23*(POWER((1+F26),F25/2)-1)),4)</f>
        <v>0</v>
      </c>
      <c r="D26" s="2346" t="str">
        <f>IF(F25&lt;=1,"销售费用×利率×(建设周期÷2)","销售费用×((1+利率)^(建设周期÷2)-1)")</f>
        <v>销售费用×利率×(建设周期÷2)</v>
      </c>
      <c r="E26" s="757" t="s">
        <v>664</v>
      </c>
      <c r="F26" s="791">
        <f ca="1">'数据-取费表'!B40</f>
        <v>0</v>
      </c>
      <c r="G26" s="1484"/>
      <c r="H26" s="776" t="s">
        <v>1675</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1677</v>
      </c>
      <c r="B27" s="757" t="s">
        <v>666</v>
      </c>
      <c r="C27" s="53"/>
      <c r="D27" s="259" t="s">
        <v>667</v>
      </c>
      <c r="E27" s="1851"/>
      <c r="F27" s="56"/>
      <c r="G27" s="1483"/>
      <c r="H27" s="770" t="s">
        <v>1628</v>
      </c>
      <c r="I27" s="2646" t="s">
        <v>2538</v>
      </c>
      <c r="J27" s="772">
        <f ca="1">J7-J18</f>
        <v>0</v>
      </c>
      <c r="K27" s="1848" t="s">
        <v>682</v>
      </c>
      <c r="L27" s="1850"/>
      <c r="M27" s="792"/>
    </row>
    <row r="28" spans="1:25" ht="18" customHeight="1">
      <c r="A28" s="776" t="s">
        <v>1671</v>
      </c>
      <c r="B28" s="757" t="s">
        <v>2220</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1678</v>
      </c>
      <c r="B30" s="757" t="s">
        <v>669</v>
      </c>
      <c r="C30" s="53">
        <f>ROUND(F30/(1+'数据-取费表'!C42),4)</f>
        <v>0</v>
      </c>
      <c r="D30" s="784" t="s">
        <v>691</v>
      </c>
      <c r="E30" s="757" t="s">
        <v>631</v>
      </c>
      <c r="F30" s="782">
        <f>'数据-取费表'!B41</f>
        <v>0</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1679</v>
      </c>
      <c r="B31" s="2318" t="s">
        <v>2539</v>
      </c>
      <c r="C31" s="2321">
        <f ca="1">ROUND((C21+C22+C25+C28)/(1-F23-C26-C29-C30),0)</f>
        <v>0</v>
      </c>
      <c r="D31" s="2322"/>
      <c r="E31" s="2323"/>
      <c r="F31" s="2324"/>
      <c r="G31" s="1484"/>
      <c r="H31" s="795" t="s">
        <v>1668</v>
      </c>
      <c r="I31" s="2647" t="s">
        <v>2540</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f ca="1">ROUND(C33+C38+C39+C40,0)</f>
        <v>0</v>
      </c>
      <c r="D32" s="1692" t="s">
        <v>634</v>
      </c>
      <c r="E32" s="2293"/>
      <c r="F32" s="2297"/>
      <c r="G32" s="1900"/>
      <c r="H32" s="1903"/>
      <c r="I32" s="1904"/>
      <c r="J32" s="1905"/>
      <c r="K32" s="1906"/>
      <c r="L32" s="1907"/>
      <c r="M32" s="1908"/>
    </row>
    <row r="33" spans="1:18" ht="18" customHeight="1">
      <c r="A33" s="776" t="s">
        <v>1672</v>
      </c>
      <c r="B33" s="757" t="s">
        <v>638</v>
      </c>
      <c r="C33" s="2928">
        <f ca="1">ROUND(IF(AND(项目基本情况!B11="自然人",项目基本情况!B10="北京市"),C8*F33/(1+'数据-取费表'!C42),C34+C35+C36),0)</f>
        <v>0</v>
      </c>
      <c r="D33" s="1848" t="s">
        <v>639</v>
      </c>
      <c r="E33" s="1846" t="s">
        <v>672</v>
      </c>
      <c r="F33" s="2927">
        <f ca="1">IF(项目基本情况!B11="企业","——",IF('数据-取费表'!B10="住宅",IF(F8*F9*F10/12/(1+'数据-取费表'!F30)&gt;100000,4%,2.5%),IF(F8*F9*F10/12/(1+'数据-取费表'!F30)&gt;100000,12%,7%)))</f>
        <v>7.0000000000000007E-2</v>
      </c>
      <c r="G33" s="1900"/>
      <c r="H33" s="3167" t="s">
        <v>2725</v>
      </c>
      <c r="I33" s="1904"/>
      <c r="J33" s="1905"/>
      <c r="K33" s="1906"/>
      <c r="L33" s="1907"/>
      <c r="M33" s="1908"/>
    </row>
    <row r="34" spans="1:18" ht="18" customHeight="1">
      <c r="A34" s="776" t="s">
        <v>1671</v>
      </c>
      <c r="B34" s="757" t="s">
        <v>642</v>
      </c>
      <c r="C34" s="53">
        <f ca="1">ROUND(C8*F34/(1+'数据-取费表'!C42),1)</f>
        <v>0</v>
      </c>
      <c r="D34" s="1846" t="s">
        <v>643</v>
      </c>
      <c r="E34" s="757" t="s">
        <v>631</v>
      </c>
      <c r="F34" s="782">
        <f>'数据-取费表'!B41</f>
        <v>0</v>
      </c>
      <c r="G34" s="1900"/>
      <c r="H34" s="1909"/>
      <c r="I34" s="1910"/>
      <c r="J34" s="1911"/>
      <c r="K34" s="1912"/>
      <c r="L34" s="1913"/>
      <c r="M34" s="1914"/>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900"/>
      <c r="H35" s="1915"/>
      <c r="I35" s="1915"/>
      <c r="J35" s="1915"/>
      <c r="K35" s="1916"/>
      <c r="L35" s="1915"/>
      <c r="M35" s="1915"/>
    </row>
    <row r="36" spans="1:18" ht="18" customHeight="1">
      <c r="A36" s="785" t="s">
        <v>1676</v>
      </c>
      <c r="B36" s="339" t="s">
        <v>650</v>
      </c>
      <c r="C36" s="54">
        <f ca="1">ROUND(F36*F37/10000,1)</f>
        <v>0</v>
      </c>
      <c r="D36" s="786" t="s">
        <v>651</v>
      </c>
      <c r="E36" s="757" t="s">
        <v>652</v>
      </c>
      <c r="F36" s="615">
        <f>'数据-取费表'!B52</f>
        <v>0</v>
      </c>
      <c r="G36" s="1900"/>
      <c r="H36" s="1903"/>
      <c r="I36" s="3725"/>
      <c r="J36" s="1917"/>
      <c r="K36" s="1918"/>
      <c r="L36" s="1917"/>
      <c r="M36" s="1917"/>
    </row>
    <row r="37" spans="1:18" ht="18" customHeight="1">
      <c r="A37" s="787"/>
      <c r="B37" s="766"/>
      <c r="C37" s="69"/>
      <c r="D37" s="788"/>
      <c r="E37" s="757" t="s">
        <v>656</v>
      </c>
      <c r="F37" s="758">
        <f ca="1">INDIRECT("'数据-取费表'!r"&amp;$G$1)</f>
        <v>0</v>
      </c>
      <c r="G37" s="1900"/>
      <c r="H37" s="1903"/>
      <c r="I37" s="3725"/>
      <c r="J37" s="1915"/>
      <c r="K37" s="1916"/>
      <c r="L37" s="1915"/>
      <c r="M37" s="1915"/>
    </row>
    <row r="38" spans="1:18" ht="18" customHeight="1">
      <c r="A38" s="776" t="s">
        <v>1673</v>
      </c>
      <c r="B38" s="757" t="s">
        <v>658</v>
      </c>
      <c r="C38" s="53">
        <f ca="1">ROUND(C31*F38,1)</f>
        <v>0</v>
      </c>
      <c r="D38" s="1846" t="s">
        <v>673</v>
      </c>
      <c r="E38" s="757" t="s">
        <v>631</v>
      </c>
      <c r="F38" s="789">
        <f ca="1">INDIRECT("'数据-取费表'!Ak"&amp;$G$1)</f>
        <v>0</v>
      </c>
      <c r="G38" s="1900"/>
      <c r="H38" s="1915"/>
      <c r="I38" s="2931"/>
      <c r="J38" s="1855"/>
      <c r="K38" s="1919"/>
      <c r="L38" s="1915"/>
      <c r="M38" s="1915"/>
    </row>
    <row r="39" spans="1:18" ht="18" customHeight="1">
      <c r="A39" s="776" t="s">
        <v>1674</v>
      </c>
      <c r="B39" s="757" t="s">
        <v>661</v>
      </c>
      <c r="C39" s="53">
        <f ca="1">ROUND(C15*F39,1)</f>
        <v>0</v>
      </c>
      <c r="D39" s="1846" t="s">
        <v>662</v>
      </c>
      <c r="E39" s="757" t="s">
        <v>631</v>
      </c>
      <c r="F39" s="790">
        <f ca="1">INDIRECT("'数据-取费表'!Al"&amp;$G$1)</f>
        <v>0</v>
      </c>
      <c r="G39" s="1900"/>
      <c r="H39" s="1915"/>
      <c r="I39" s="2931"/>
      <c r="J39" s="1855"/>
      <c r="K39" s="1919"/>
      <c r="L39" s="1915"/>
      <c r="M39" s="1915"/>
    </row>
    <row r="40" spans="1:18" ht="18" customHeight="1" thickBot="1">
      <c r="A40" s="2337" t="s">
        <v>1675</v>
      </c>
      <c r="B40" s="2323" t="s">
        <v>648</v>
      </c>
      <c r="C40" s="2321">
        <f ca="1">ROUND(C7*F40,1)</f>
        <v>0</v>
      </c>
      <c r="D40" s="2322" t="s">
        <v>665</v>
      </c>
      <c r="E40" s="2323" t="s">
        <v>631</v>
      </c>
      <c r="F40" s="2319">
        <f ca="1">INDIRECT("'数据-取费表'!Am"&amp;$G$1)</f>
        <v>0</v>
      </c>
      <c r="G40" s="1900"/>
      <c r="H40" s="1915"/>
      <c r="I40" s="2931"/>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1672</v>
      </c>
      <c r="B42" s="807" t="s">
        <v>675</v>
      </c>
      <c r="C42" s="801">
        <f ca="1">C7-C32</f>
        <v>0</v>
      </c>
      <c r="D42" s="1848" t="s">
        <v>676</v>
      </c>
      <c r="E42" s="1850"/>
      <c r="F42" s="792"/>
      <c r="G42" s="1900"/>
      <c r="H42" s="1900"/>
      <c r="I42" s="1900"/>
      <c r="J42" s="1900"/>
      <c r="K42" s="1920"/>
      <c r="L42" s="1900"/>
      <c r="M42" s="1900"/>
    </row>
    <row r="43" spans="1:18" ht="18" customHeight="1">
      <c r="A43" s="776" t="s">
        <v>1673</v>
      </c>
      <c r="B43" s="807" t="s">
        <v>693</v>
      </c>
      <c r="C43" s="808">
        <f ca="1">ROUND(C15*F43,0)</f>
        <v>0</v>
      </c>
      <c r="D43" s="1265" t="s">
        <v>694</v>
      </c>
      <c r="E43" s="2714" t="s">
        <v>2661</v>
      </c>
      <c r="F43" s="2715">
        <f ca="1">INDIRECT("'数据-取费表'!j"&amp;$G$1)</f>
        <v>0</v>
      </c>
      <c r="G43" s="1900"/>
      <c r="H43" s="1900"/>
      <c r="I43" s="1900"/>
      <c r="J43" s="1900"/>
      <c r="K43" s="1920"/>
      <c r="L43" s="1900"/>
      <c r="M43" s="1900"/>
    </row>
    <row r="44" spans="1:18" ht="18" customHeight="1">
      <c r="A44" s="776" t="s">
        <v>1674</v>
      </c>
      <c r="B44" s="807" t="s">
        <v>695</v>
      </c>
      <c r="C44" s="1266">
        <f ca="1">C42-C43</f>
        <v>0</v>
      </c>
      <c r="D44" s="456" t="s">
        <v>696</v>
      </c>
      <c r="E44" s="457"/>
      <c r="F44" s="458"/>
      <c r="G44" s="1900"/>
      <c r="H44" s="1900"/>
      <c r="I44" s="1900"/>
      <c r="J44" s="1900"/>
      <c r="K44" s="1920"/>
      <c r="L44" s="1900"/>
      <c r="M44" s="1900"/>
    </row>
    <row r="45" spans="1:18" ht="18" customHeight="1">
      <c r="A45" s="776" t="s">
        <v>1675</v>
      </c>
      <c r="B45" s="1265" t="s">
        <v>697</v>
      </c>
      <c r="C45" s="2671">
        <f ca="1">ROUND(-PV(F45,F46,C44,0),0)</f>
        <v>0</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6" t="s">
        <v>2664</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2130</v>
      </c>
      <c r="J47" s="2189"/>
      <c r="K47" s="2190"/>
      <c r="L47" s="2730" t="str">
        <f ca="1">IF(M48="住宅",0,IF(L49&gt;J52,L61,J61))</f>
        <v>0</v>
      </c>
      <c r="O47" s="2204" t="s">
        <v>2197</v>
      </c>
      <c r="P47" s="1483"/>
      <c r="Q47" s="1491"/>
      <c r="R47" s="1483"/>
    </row>
    <row r="48" spans="1:18" s="1897" customFormat="1" ht="18" customHeight="1" thickBot="1">
      <c r="A48" s="1921"/>
      <c r="C48" s="1924"/>
      <c r="D48" s="1925"/>
      <c r="E48" s="1925"/>
      <c r="F48" s="1926"/>
      <c r="G48" s="1927"/>
      <c r="I48" s="2721" t="s">
        <v>2131</v>
      </c>
      <c r="J48" s="2191"/>
      <c r="K48" s="2727" t="s">
        <v>2136</v>
      </c>
      <c r="L48" s="2731">
        <f ca="1">INDIRECT("'数据-取费表'!d"&amp;$G$1)</f>
        <v>0</v>
      </c>
      <c r="M48" s="2713" t="str">
        <f>IF(ISNUMBER(FIND("住宅",C1)),"住宅","非住宅")</f>
        <v>非住宅</v>
      </c>
      <c r="O48" s="2205" t="s">
        <v>2162</v>
      </c>
      <c r="P48" s="2206" t="s">
        <v>2163</v>
      </c>
      <c r="Q48" s="2207" t="s">
        <v>2164</v>
      </c>
      <c r="R48" s="2206" t="s">
        <v>2165</v>
      </c>
    </row>
    <row r="49" spans="1:18" s="1897" customFormat="1" ht="18" customHeight="1" thickBot="1">
      <c r="A49" s="1921"/>
      <c r="D49" s="1928"/>
      <c r="E49" s="1929"/>
      <c r="F49" s="1926"/>
      <c r="G49" s="1927"/>
      <c r="H49" s="1930"/>
      <c r="I49" s="2718" t="s">
        <v>2132</v>
      </c>
      <c r="J49" s="2192"/>
      <c r="K49" s="2728" t="s">
        <v>2138</v>
      </c>
      <c r="L49" s="1778">
        <f ca="1">INDIRECT("'数据-取费表'!f"&amp;$G$1)</f>
        <v>0</v>
      </c>
      <c r="O49" s="2208" t="s">
        <v>2166</v>
      </c>
      <c r="P49" s="2209" t="s">
        <v>2192</v>
      </c>
      <c r="Q49" s="2210">
        <f ca="1">C41+J31</f>
        <v>0</v>
      </c>
      <c r="R49" s="2209" t="s">
        <v>2167</v>
      </c>
    </row>
    <row r="50" spans="1:18" s="1897" customFormat="1" ht="18" customHeight="1" thickBot="1">
      <c r="A50" s="1921"/>
      <c r="D50" s="1931"/>
      <c r="E50" s="1931"/>
      <c r="F50" s="1925"/>
      <c r="G50" s="1932"/>
      <c r="H50" s="1930"/>
      <c r="I50" s="2718" t="s">
        <v>2133</v>
      </c>
      <c r="J50" s="2193"/>
      <c r="K50" s="2729" t="s">
        <v>2139</v>
      </c>
      <c r="L50" s="2194"/>
      <c r="O50" s="2208" t="s">
        <v>2168</v>
      </c>
      <c r="P50" s="2209" t="s">
        <v>2193</v>
      </c>
      <c r="Q50" s="2210" t="str">
        <f ca="1">J61</f>
        <v>0</v>
      </c>
      <c r="R50" s="2209" t="s">
        <v>2169</v>
      </c>
    </row>
    <row r="51" spans="1:18" s="1897" customFormat="1" ht="18" customHeight="1" thickBot="1">
      <c r="A51" s="1933"/>
      <c r="D51" s="1931"/>
      <c r="E51" s="1931"/>
      <c r="F51" s="1922"/>
      <c r="H51" s="1930"/>
      <c r="I51" s="2718" t="s">
        <v>2134</v>
      </c>
      <c r="J51" s="2725">
        <f>SUMPRODUCT((I64:I66=J48)*(J63:L63=J49)*(J64:L66))</f>
        <v>0</v>
      </c>
      <c r="K51" s="2729" t="s">
        <v>2140</v>
      </c>
      <c r="L51" s="2194"/>
      <c r="O51" s="2211" t="s">
        <v>2170</v>
      </c>
      <c r="P51" s="2209" t="s">
        <v>2194</v>
      </c>
      <c r="Q51" s="2210">
        <f ca="1">C31</f>
        <v>0</v>
      </c>
      <c r="R51" s="2209" t="s">
        <v>2167</v>
      </c>
    </row>
    <row r="52" spans="1:18" s="1897" customFormat="1" ht="18" customHeight="1" thickBot="1">
      <c r="A52" s="1933"/>
      <c r="F52" s="1922"/>
      <c r="I52" s="2722" t="s">
        <v>2135</v>
      </c>
      <c r="J52" s="2726">
        <f>IF(J50="",J51,J50+J51-YEAR('数据-取费表'!B3))</f>
        <v>0</v>
      </c>
      <c r="K52" s="2718" t="s">
        <v>2141</v>
      </c>
      <c r="L52" s="2732">
        <f ca="1">C45</f>
        <v>0</v>
      </c>
      <c r="O52" s="2211" t="s">
        <v>2171</v>
      </c>
      <c r="P52" s="2209" t="s">
        <v>2172</v>
      </c>
      <c r="Q52" s="2212" t="e">
        <f ca="1">J59</f>
        <v>#VALUE!</v>
      </c>
      <c r="R52" s="2213"/>
    </row>
    <row r="53" spans="1:18" s="1897" customFormat="1" ht="18" customHeight="1" thickBot="1">
      <c r="A53" s="1933"/>
      <c r="F53" s="1922"/>
      <c r="I53" s="2723" t="s">
        <v>2208</v>
      </c>
      <c r="J53" s="2195"/>
      <c r="K53" s="2723" t="s">
        <v>2207</v>
      </c>
      <c r="L53" s="2195"/>
      <c r="O53" s="2211" t="s">
        <v>2173</v>
      </c>
      <c r="P53" s="2209" t="s">
        <v>2174</v>
      </c>
      <c r="Q53" s="2212">
        <f>J53</f>
        <v>0</v>
      </c>
      <c r="R53" s="2213"/>
    </row>
    <row r="54" spans="1:18" s="1897" customFormat="1" ht="31.8" thickBot="1">
      <c r="A54" s="1933"/>
      <c r="I54" s="2724" t="s">
        <v>2675</v>
      </c>
      <c r="J54" s="2777">
        <f ca="1">IF(M48="住宅",MAX(J52,L49-'数据-取费表'!B20),MIN(J52,L49-'数据-取费表'!B20))</f>
        <v>0</v>
      </c>
      <c r="K54" s="3730"/>
      <c r="L54" s="3731"/>
      <c r="O54" s="2211" t="s">
        <v>2175</v>
      </c>
      <c r="P54" s="2209" t="s">
        <v>2176</v>
      </c>
      <c r="Q54" s="2210">
        <f ca="1">J54</f>
        <v>0</v>
      </c>
      <c r="R54" s="2209" t="s">
        <v>2177</v>
      </c>
    </row>
    <row r="55" spans="1:18" s="1897" customFormat="1" ht="18" customHeight="1" thickBot="1">
      <c r="A55" s="1933"/>
      <c r="I55" s="27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3"/>
      <c r="K55" s="2734"/>
      <c r="O55" s="2208" t="s">
        <v>2178</v>
      </c>
      <c r="P55" s="2209" t="s">
        <v>2195</v>
      </c>
      <c r="Q55" s="2210">
        <f ca="1">Q49+Q50</f>
        <v>0</v>
      </c>
      <c r="R55" s="2213" t="s">
        <v>2179</v>
      </c>
    </row>
    <row r="56" spans="1:18" s="1897" customFormat="1" ht="16.2" thickBot="1">
      <c r="A56" s="1933"/>
      <c r="B56" s="1934"/>
      <c r="C56" s="1934"/>
      <c r="I56" s="2735" t="s">
        <v>2142</v>
      </c>
      <c r="J56" s="2707" t="e">
        <f ca="1">ROUND(IF(J48="钢混",J58/J51,1-(1-2%)*(J51-J58)/J51),3)</f>
        <v>#VALUE!</v>
      </c>
      <c r="K56" s="2736" t="s">
        <v>2143</v>
      </c>
      <c r="L56" s="2196"/>
      <c r="O56" s="2214" t="s">
        <v>2198</v>
      </c>
      <c r="P56" s="1483"/>
      <c r="Q56" s="1491"/>
      <c r="R56" s="1483"/>
    </row>
    <row r="57" spans="1:18" s="1897" customFormat="1" ht="47.4" thickBot="1">
      <c r="A57" s="1933"/>
      <c r="B57" s="1934"/>
      <c r="C57" s="1934"/>
      <c r="I57" s="2737" t="s">
        <v>2144</v>
      </c>
      <c r="J57" s="2747" t="s">
        <v>1478</v>
      </c>
      <c r="K57" s="2718" t="s">
        <v>2149</v>
      </c>
      <c r="L57" s="1778">
        <f ca="1">IF(L49&lt;J52,"——",L49-J52)</f>
        <v>0</v>
      </c>
      <c r="O57" s="2205" t="s">
        <v>2162</v>
      </c>
      <c r="P57" s="2206" t="s">
        <v>2163</v>
      </c>
      <c r="Q57" s="2207" t="s">
        <v>2164</v>
      </c>
      <c r="R57" s="2206" t="s">
        <v>2165</v>
      </c>
    </row>
    <row r="58" spans="1:18" s="1897" customFormat="1" ht="31.8" thickBot="1">
      <c r="A58" s="1933"/>
      <c r="B58" s="1934"/>
      <c r="C58" s="1934"/>
      <c r="I58" s="2738" t="s">
        <v>2145</v>
      </c>
      <c r="J58" s="2739" t="str">
        <f ca="1">IF(OR(M48="住宅",J52&lt;L49,J57="是"),"——",J52-L49)</f>
        <v>——</v>
      </c>
      <c r="K58" s="2718" t="s">
        <v>2150</v>
      </c>
      <c r="L58" s="1778">
        <f ca="1">IF(L49&lt;J52,"——",IF(L56="比较法",L50,IF(L56="基准地价",L51,L52)))</f>
        <v>0</v>
      </c>
      <c r="O58" s="2208" t="s">
        <v>2166</v>
      </c>
      <c r="P58" s="2209" t="s">
        <v>2192</v>
      </c>
      <c r="Q58" s="2210">
        <f ca="1">C41+J31</f>
        <v>0</v>
      </c>
      <c r="R58" s="2209" t="s">
        <v>2167</v>
      </c>
    </row>
    <row r="59" spans="1:18" s="1897" customFormat="1" ht="31.8" thickBot="1">
      <c r="A59" s="1933"/>
      <c r="B59" s="1934"/>
      <c r="C59" s="1934"/>
      <c r="I59" s="2738" t="s">
        <v>2146</v>
      </c>
      <c r="J59" s="2708" t="e">
        <f ca="1">IF(J56&lt;0.4,0.4,J56)</f>
        <v>#VALUE!</v>
      </c>
      <c r="K59" s="2718" t="s">
        <v>2151</v>
      </c>
      <c r="L59" s="1778">
        <f ca="1">IF(ISERROR(POWER(1+L53,L48-L49)*(POWER(1+L53,L49)-1)/(POWER(1+L53,L48)-1)),0,POWER(1+L53,L48-L49)*(POWER(1+L53,L49)-1)/(POWER(1+L53,L48)-1))</f>
        <v>0</v>
      </c>
      <c r="O59" s="2208" t="s">
        <v>2168</v>
      </c>
      <c r="P59" s="2209" t="s">
        <v>2199</v>
      </c>
      <c r="Q59" s="2210" t="e">
        <f ca="1">L61</f>
        <v>#DIV/0!</v>
      </c>
      <c r="R59" s="2213" t="s">
        <v>2201</v>
      </c>
    </row>
    <row r="60" spans="1:18" s="1897" customFormat="1" ht="31.8" thickBot="1">
      <c r="A60" s="1933"/>
      <c r="B60" s="1934"/>
      <c r="C60" s="1934"/>
      <c r="I60" s="2738" t="s">
        <v>2147</v>
      </c>
      <c r="J60" s="2739" t="str">
        <f ca="1">IF(OR(M48="住宅",J52&lt;L49,J57="是"),"——",ROUND(C30*J59,0))</f>
        <v>——</v>
      </c>
      <c r="K60" s="2718" t="s">
        <v>2152</v>
      </c>
      <c r="L60" s="1778">
        <f ca="1">IF(ISERROR(POWER(1+L53,L48-J52)*(POWER(1+L53,J52)-1)/(POWER(1+L53,L48)-1)),0,POWER(1+L53,L48-J52)*(POWER(1+L53,J52)-1)/(POWER(1+L53,L48)-1))</f>
        <v>0</v>
      </c>
      <c r="O60" s="2211" t="s">
        <v>2170</v>
      </c>
      <c r="P60" s="2209" t="s">
        <v>2200</v>
      </c>
      <c r="Q60" s="2210">
        <f>IF(L56="比较法",L50,IF(L56="基准地价",L51,0))</f>
        <v>0</v>
      </c>
      <c r="R60" s="2209" t="s">
        <v>2167</v>
      </c>
    </row>
    <row r="61" spans="1:18" s="1897" customFormat="1" ht="16.2" thickBot="1">
      <c r="A61" s="1933"/>
      <c r="B61" s="1934"/>
      <c r="C61" s="1934"/>
      <c r="I61" s="2740" t="s">
        <v>2148</v>
      </c>
      <c r="J61" s="2741" t="str">
        <f ca="1">IF(OR(M48="住宅",J52&lt;L49,J57="是"),"0",ROUND(J60/(1+J53)^J54,0))</f>
        <v>0</v>
      </c>
      <c r="K61" s="2742" t="s">
        <v>2153</v>
      </c>
      <c r="L61" s="2741" t="e">
        <f ca="1">IF(OR(M48="住宅",L49&lt;J52),0,ROUND(L58*(L59/L60-1),0))</f>
        <v>#DIV/0!</v>
      </c>
      <c r="O61" s="2211" t="s">
        <v>2171</v>
      </c>
      <c r="P61" s="2209" t="s">
        <v>2180</v>
      </c>
      <c r="Q61" s="2212">
        <f>L53</f>
        <v>0</v>
      </c>
      <c r="R61" s="2213"/>
    </row>
    <row r="62" spans="1:18" s="1897" customFormat="1" ht="19.2" thickBot="1">
      <c r="A62" s="1933"/>
      <c r="B62" s="1934"/>
      <c r="C62" s="1934"/>
      <c r="K62" s="1923"/>
      <c r="O62" s="2211" t="s">
        <v>2173</v>
      </c>
      <c r="P62" s="2209" t="s">
        <v>2181</v>
      </c>
      <c r="Q62" s="2210">
        <f ca="1">L59</f>
        <v>0</v>
      </c>
      <c r="R62" s="2213" t="s">
        <v>2182</v>
      </c>
    </row>
    <row r="63" spans="1:18" s="1897" customFormat="1" ht="19.2" thickBot="1">
      <c r="A63" s="1933"/>
      <c r="B63" s="1934"/>
      <c r="C63" s="1934"/>
      <c r="I63" s="2743" t="s">
        <v>2154</v>
      </c>
      <c r="J63" s="2744" t="s">
        <v>2155</v>
      </c>
      <c r="K63" s="2744" t="s">
        <v>2156</v>
      </c>
      <c r="L63" s="2744" t="s">
        <v>2137</v>
      </c>
      <c r="M63" s="2745" t="s">
        <v>2644</v>
      </c>
      <c r="O63" s="2211" t="s">
        <v>2175</v>
      </c>
      <c r="P63" s="2209" t="s">
        <v>2183</v>
      </c>
      <c r="Q63" s="2210">
        <f ca="1">L60</f>
        <v>0</v>
      </c>
      <c r="R63" s="2213" t="s">
        <v>2184</v>
      </c>
    </row>
    <row r="64" spans="1:18" s="1897" customFormat="1" ht="16.2" thickBot="1">
      <c r="A64" s="1933"/>
      <c r="B64" s="1934"/>
      <c r="C64" s="1934"/>
      <c r="I64" s="2743" t="s">
        <v>2157</v>
      </c>
      <c r="J64" s="2744">
        <v>70</v>
      </c>
      <c r="K64" s="2744">
        <v>50</v>
      </c>
      <c r="L64" s="2744">
        <v>80</v>
      </c>
      <c r="M64" s="2746">
        <v>0.02</v>
      </c>
      <c r="O64" s="2208" t="s">
        <v>2178</v>
      </c>
      <c r="P64" s="2209" t="s">
        <v>2195</v>
      </c>
      <c r="Q64" s="2210" t="e">
        <f ca="1">Q58+Q59</f>
        <v>#DIV/0!</v>
      </c>
      <c r="R64" s="2213" t="s">
        <v>2179</v>
      </c>
    </row>
    <row r="65" spans="1:18" s="1897" customFormat="1" ht="16.2" thickBot="1">
      <c r="A65" s="1933"/>
      <c r="B65" s="1934"/>
      <c r="C65" s="1934"/>
      <c r="I65" s="2743" t="s">
        <v>2158</v>
      </c>
      <c r="J65" s="2744">
        <v>50</v>
      </c>
      <c r="K65" s="2744">
        <v>35</v>
      </c>
      <c r="L65" s="2744">
        <v>60</v>
      </c>
      <c r="M65" s="818">
        <v>0</v>
      </c>
      <c r="O65" s="2214" t="s">
        <v>2202</v>
      </c>
      <c r="P65" s="1483"/>
      <c r="Q65" s="1491"/>
      <c r="R65" s="1483"/>
    </row>
    <row r="66" spans="1:18" s="1897" customFormat="1" ht="16.2" thickBot="1">
      <c r="A66" s="1933"/>
      <c r="B66" s="1934"/>
      <c r="C66" s="1934"/>
      <c r="I66" s="2743" t="s">
        <v>2159</v>
      </c>
      <c r="J66" s="2744">
        <v>40</v>
      </c>
      <c r="K66" s="2744">
        <v>30</v>
      </c>
      <c r="L66" s="2744">
        <v>50</v>
      </c>
      <c r="M66" s="2746">
        <v>0.02</v>
      </c>
      <c r="O66" s="2205" t="s">
        <v>2162</v>
      </c>
      <c r="P66" s="2206" t="s">
        <v>2163</v>
      </c>
      <c r="Q66" s="2207" t="s">
        <v>2164</v>
      </c>
      <c r="R66" s="2206" t="s">
        <v>2165</v>
      </c>
    </row>
    <row r="67" spans="1:18" s="1897" customFormat="1" ht="16.2" thickBot="1">
      <c r="A67" s="1933"/>
      <c r="B67" s="1934"/>
      <c r="C67" s="1934"/>
      <c r="K67" s="1923"/>
      <c r="O67" s="2208" t="s">
        <v>2166</v>
      </c>
      <c r="P67" s="2209" t="s">
        <v>2192</v>
      </c>
      <c r="Q67" s="2210">
        <f ca="1">C41+J31</f>
        <v>0</v>
      </c>
      <c r="R67" s="2209" t="s">
        <v>2167</v>
      </c>
    </row>
    <row r="68" spans="1:18" s="1897" customFormat="1" ht="19.2" thickBot="1">
      <c r="A68" s="1933"/>
      <c r="B68" s="1934"/>
      <c r="C68" s="1934"/>
      <c r="K68" s="1923"/>
      <c r="O68" s="2208" t="s">
        <v>2168</v>
      </c>
      <c r="P68" s="2209" t="s">
        <v>2199</v>
      </c>
      <c r="Q68" s="2210" t="e">
        <f ca="1">L61</f>
        <v>#DIV/0!</v>
      </c>
      <c r="R68" s="2213" t="s">
        <v>2201</v>
      </c>
    </row>
    <row r="69" spans="1:18" s="1897" customFormat="1" ht="20.399999999999999" thickBot="1">
      <c r="A69" s="1933"/>
      <c r="B69" s="1934"/>
      <c r="C69" s="1934"/>
      <c r="K69" s="1923"/>
      <c r="O69" s="2211" t="s">
        <v>2170</v>
      </c>
      <c r="P69" s="2209" t="s">
        <v>2200</v>
      </c>
      <c r="Q69" s="2215">
        <f ca="1">L52</f>
        <v>0</v>
      </c>
      <c r="R69" s="2216" t="s">
        <v>2203</v>
      </c>
    </row>
    <row r="70" spans="1:18" s="1897" customFormat="1" ht="19.2" thickBot="1">
      <c r="A70" s="1933"/>
      <c r="B70" s="1934"/>
      <c r="C70" s="1934"/>
      <c r="K70" s="1923"/>
      <c r="O70" s="2211" t="s">
        <v>2171</v>
      </c>
      <c r="P70" s="2217" t="s">
        <v>2185</v>
      </c>
      <c r="Q70" s="2210">
        <f ca="1">ROUND(Q71-Q72*Q73,0)</f>
        <v>0</v>
      </c>
      <c r="R70" s="2213"/>
    </row>
    <row r="71" spans="1:18" s="1897" customFormat="1" ht="16.2" thickBot="1">
      <c r="A71" s="1933"/>
      <c r="B71" s="1934"/>
      <c r="C71" s="1934"/>
      <c r="K71" s="1923"/>
      <c r="O71" s="2211" t="s">
        <v>2186</v>
      </c>
      <c r="P71" s="2217" t="s">
        <v>2187</v>
      </c>
      <c r="Q71" s="2210">
        <f ca="1">C42</f>
        <v>0</v>
      </c>
      <c r="R71" s="2209" t="s">
        <v>2167</v>
      </c>
    </row>
    <row r="72" spans="1:18" s="1897" customFormat="1" ht="16.2" thickBot="1">
      <c r="A72" s="1933"/>
      <c r="B72" s="1934"/>
      <c r="C72" s="1934"/>
      <c r="K72" s="1923"/>
      <c r="O72" s="2211" t="s">
        <v>2188</v>
      </c>
      <c r="P72" s="2217" t="s">
        <v>2189</v>
      </c>
      <c r="Q72" s="2210">
        <f ca="1">C15</f>
        <v>0</v>
      </c>
      <c r="R72" s="2209" t="s">
        <v>2167</v>
      </c>
    </row>
    <row r="73" spans="1:18" s="1897" customFormat="1" ht="16.2" thickBot="1">
      <c r="A73" s="1933"/>
      <c r="B73" s="1934"/>
      <c r="C73" s="1934"/>
      <c r="K73" s="1923"/>
      <c r="O73" s="2211" t="s">
        <v>2190</v>
      </c>
      <c r="P73" s="2217" t="s">
        <v>2191</v>
      </c>
      <c r="Q73" s="2212">
        <f ca="1">F43</f>
        <v>0</v>
      </c>
      <c r="R73" s="2213"/>
    </row>
    <row r="74" spans="1:18" s="1897" customFormat="1" ht="16.2" thickBot="1">
      <c r="A74" s="1933"/>
      <c r="B74" s="1934"/>
      <c r="C74" s="1934"/>
      <c r="K74" s="1923"/>
      <c r="O74" s="2211" t="s">
        <v>2173</v>
      </c>
      <c r="P74" s="2209" t="s">
        <v>2180</v>
      </c>
      <c r="Q74" s="2212">
        <f>L53</f>
        <v>0</v>
      </c>
      <c r="R74" s="2213"/>
    </row>
    <row r="75" spans="1:18" s="1897" customFormat="1" ht="19.2" thickBot="1">
      <c r="A75" s="1933"/>
      <c r="B75" s="1934"/>
      <c r="C75" s="1934"/>
      <c r="K75" s="1923"/>
      <c r="O75" s="2211" t="s">
        <v>2175</v>
      </c>
      <c r="P75" s="2209" t="s">
        <v>2181</v>
      </c>
      <c r="Q75" s="2210">
        <f ca="1">L59</f>
        <v>0</v>
      </c>
      <c r="R75" s="2213" t="s">
        <v>2182</v>
      </c>
    </row>
    <row r="76" spans="1:18" s="1897" customFormat="1" ht="19.2" thickBot="1">
      <c r="A76" s="1933"/>
      <c r="B76" s="1934"/>
      <c r="C76" s="1934"/>
      <c r="K76" s="1923"/>
      <c r="O76" s="2211" t="s">
        <v>2204</v>
      </c>
      <c r="P76" s="2209" t="s">
        <v>2183</v>
      </c>
      <c r="Q76" s="2210">
        <f ca="1">L60</f>
        <v>0</v>
      </c>
      <c r="R76" s="2213" t="s">
        <v>2184</v>
      </c>
    </row>
    <row r="77" spans="1:18" s="1897" customFormat="1" ht="16.2" thickBot="1">
      <c r="A77" s="1933"/>
      <c r="B77" s="1934"/>
      <c r="C77" s="1934"/>
      <c r="K77" s="1923"/>
      <c r="O77" s="2208" t="s">
        <v>2178</v>
      </c>
      <c r="P77" s="2209" t="s">
        <v>2195</v>
      </c>
      <c r="Q77" s="2210" t="e">
        <f ca="1">Q67+Q68</f>
        <v>#DIV/0!</v>
      </c>
      <c r="R77" s="2213" t="s">
        <v>2179</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49" customWidth="1"/>
    <col min="2" max="2" width="9" style="1649"/>
    <col min="3" max="4" width="9.6640625" style="1649" customWidth="1"/>
    <col min="5" max="16384" width="9" style="1649"/>
  </cols>
  <sheetData>
    <row r="1" spans="1:4" ht="22.2">
      <c r="A1" s="1648" t="s">
        <v>1700</v>
      </c>
    </row>
    <row r="2" spans="1:4">
      <c r="A2" s="1650"/>
    </row>
    <row r="3" spans="1:4" ht="17.399999999999999">
      <c r="A3" s="1668" t="str">
        <f>项目基本情况!B5&amp;"："</f>
        <v>：</v>
      </c>
    </row>
    <row r="4" spans="1:4" ht="17.399999999999999">
      <c r="A4" s="1662" t="str">
        <f>"受贵公司委托，我公司对"&amp;项目基本情况!K2&amp;项目基本情况!B9&amp;"进行了预评估。"</f>
        <v>受贵公司委托，我公司对国有建设用地使用权进行了预评估。</v>
      </c>
    </row>
    <row r="5" spans="1:4" ht="17.399999999999999">
      <c r="A5" s="1665" t="s">
        <v>1701</v>
      </c>
    </row>
    <row r="6" spans="1:4" ht="17.399999999999999">
      <c r="A6" s="1662"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2.2">
      <c r="A7" s="1666" t="s">
        <v>2464</v>
      </c>
    </row>
    <row r="8" spans="1:4" ht="17.399999999999999">
      <c r="A8" s="1665" t="s">
        <v>1702</v>
      </c>
    </row>
    <row r="9" spans="1:4" ht="69.599999999999994">
      <c r="A9" s="1667" t="str">
        <f>IF(项目基本情况!B8="抵押",IF(项目基本情况!B5=项目基本情况!B6,定义!C51,定义!B51),定义!D51)</f>
        <v>拟使用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7.399999999999999">
      <c r="A10" s="1668" t="s">
        <v>1818</v>
      </c>
    </row>
    <row r="11" spans="1:4" ht="17.399999999999999">
      <c r="A11" s="1651" t="str">
        <f>TEXT(项目基本情况!D3,"yyyy年m月d日;;")&amp;IF(项目基本情况!B3=项目基本情况!D3,"（评估专业人员勘察现场之日）","")</f>
        <v>（评估专业人员勘察现场之日）</v>
      </c>
    </row>
    <row r="12" spans="1:4" ht="17.399999999999999">
      <c r="A12" s="1668" t="s">
        <v>1817</v>
      </c>
    </row>
    <row r="13" spans="1:4" ht="17.399999999999999">
      <c r="A13" s="1662" t="s">
        <v>2643</v>
      </c>
    </row>
    <row r="14" spans="1:4" ht="17.399999999999999">
      <c r="A14" s="1662" t="str">
        <f>"根据"&amp;项目基本情况!F12&amp;"，本次评估估价对象证载（地类）用途为"&amp;项目基本情况!B12&amp;"。"</f>
        <v>根据《国有土地使用证》[]，本次评估估价对象证载（地类）用途为。</v>
      </c>
      <c r="C14" s="1652"/>
      <c r="D14" s="1653"/>
    </row>
    <row r="15" spans="1:4" ht="17.399999999999999">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7.399999999999999">
      <c r="A16" s="1662" t="s">
        <v>1864</v>
      </c>
    </row>
    <row r="17" spans="1:1" ht="52.2">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62" t="s">
        <v>1865</v>
      </c>
    </row>
    <row r="20" spans="1:1" ht="17.399999999999999">
      <c r="A20" s="23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7.399999999999999">
      <c r="A21" s="1662" t="s">
        <v>1866</v>
      </c>
    </row>
    <row r="22" spans="1:1" ht="17.399999999999999">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662" t="str">
        <f>IF(项目基本情况!B16="出让","本次评估设定估价对象剩余土地使用年限为"&amp;项目基本情况!D20&amp;"。","")</f>
        <v/>
      </c>
    </row>
    <row r="24" spans="1:1" ht="17.399999999999999">
      <c r="A24" s="1662" t="s">
        <v>1867</v>
      </c>
    </row>
    <row r="25" spans="1:1" ht="139.19999999999999">
      <c r="A25" s="166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87">
      <c r="A26" s="1662"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68" t="s">
        <v>1819</v>
      </c>
    </row>
    <row r="30" spans="1:1" ht="87">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669"/>
    </row>
    <row r="32" spans="1:1" ht="17.399999999999999">
      <c r="A32" s="1670"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8" customWidth="1"/>
    <col min="2" max="2" width="20.6640625" style="1936" customWidth="1"/>
    <col min="3" max="3" width="11.88671875" style="1936" customWidth="1"/>
    <col min="4" max="4" width="40.44140625" style="1898" customWidth="1"/>
    <col min="5" max="5" width="15.77734375" style="1898" customWidth="1"/>
    <col min="6" max="6" width="10.6640625" style="1898" customWidth="1"/>
    <col min="7" max="7" width="4.88671875" style="1898" customWidth="1"/>
    <col min="8" max="8" width="8.44140625" style="1898" customWidth="1"/>
    <col min="9" max="9" width="21.21875" style="1898" customWidth="1"/>
    <col min="10" max="10" width="12.21875" style="1898" customWidth="1"/>
    <col min="11" max="11" width="40.109375" style="1937" customWidth="1"/>
    <col min="12" max="12" width="18.33203125" style="1898" customWidth="1"/>
    <col min="13" max="13" width="13" style="1898" customWidth="1"/>
    <col min="14" max="14" width="9.44140625" style="1897" bestFit="1" customWidth="1"/>
    <col min="15" max="15" width="5.88671875" style="1897" customWidth="1"/>
    <col min="16" max="16" width="27.6640625" style="1897" customWidth="1"/>
    <col min="17" max="17" width="13.77734375" style="1934" customWidth="1"/>
    <col min="18" max="18" width="23.44140625" style="1897" customWidth="1"/>
    <col min="19" max="19" width="1.44140625" style="1897" customWidth="1"/>
    <col min="20" max="33" width="9" style="1897"/>
    <col min="34" max="16384" width="9" style="1898"/>
  </cols>
  <sheetData>
    <row r="1" spans="1:33" s="1892" customFormat="1" ht="21.6">
      <c r="A1" s="804" t="s">
        <v>1525</v>
      </c>
      <c r="B1" s="713"/>
      <c r="C1" s="746"/>
      <c r="D1" s="2717" t="s">
        <v>931</v>
      </c>
      <c r="E1" s="2197" t="s">
        <v>2161</v>
      </c>
      <c r="F1" s="2198">
        <f ca="1">J53</f>
        <v>0</v>
      </c>
      <c r="G1" s="3168">
        <f>MATCH(C1,'数据-取费表'!A6:A16,0)+5</f>
        <v>6</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1526</v>
      </c>
      <c r="B2" s="748" t="e">
        <f ca="1">C40+J29+L46</f>
        <v>#DIV/0!</v>
      </c>
      <c r="C2" s="3173"/>
      <c r="D2" s="3174"/>
      <c r="E2" s="3175"/>
      <c r="F2" s="3175"/>
      <c r="G2" s="3169"/>
      <c r="H2" s="1895"/>
      <c r="I2" s="1895"/>
      <c r="J2" s="1895"/>
      <c r="K2" s="1896"/>
      <c r="L2" s="1895"/>
      <c r="M2" s="1895"/>
    </row>
    <row r="3" spans="1:33" ht="18" customHeight="1" thickBot="1">
      <c r="A3" s="805" t="s">
        <v>1527</v>
      </c>
      <c r="B3" s="806">
        <f ca="1">IF(ISERROR(B2*10000/F43),0,ROUND(B2*10000/F43,0))</f>
        <v>0</v>
      </c>
      <c r="C3" s="3173"/>
      <c r="D3" s="3174"/>
      <c r="E3" s="3175"/>
      <c r="F3" s="3175"/>
      <c r="G3" s="3169"/>
      <c r="H3" s="749" t="s">
        <v>677</v>
      </c>
      <c r="I3" s="1272"/>
      <c r="J3" s="1272"/>
      <c r="K3" s="1482"/>
      <c r="L3" s="1272"/>
      <c r="M3" s="1272"/>
    </row>
    <row r="4" spans="1:33" ht="18" customHeight="1">
      <c r="A4" s="750" t="s">
        <v>1528</v>
      </c>
      <c r="B4" s="751" t="s">
        <v>1529</v>
      </c>
      <c r="C4" s="751" t="s">
        <v>1530</v>
      </c>
      <c r="D4" s="751" t="s">
        <v>615</v>
      </c>
      <c r="E4" s="752" t="s">
        <v>1531</v>
      </c>
      <c r="F4" s="753"/>
      <c r="G4" s="1900"/>
      <c r="H4" s="750" t="s">
        <v>1532</v>
      </c>
      <c r="I4" s="751" t="s">
        <v>1533</v>
      </c>
      <c r="J4" s="751" t="s">
        <v>1534</v>
      </c>
      <c r="K4" s="751" t="s">
        <v>1535</v>
      </c>
      <c r="L4" s="752" t="s">
        <v>1536</v>
      </c>
      <c r="M4" s="753"/>
    </row>
    <row r="5" spans="1:33" ht="18" customHeight="1">
      <c r="A5" s="754">
        <v>1</v>
      </c>
      <c r="B5" s="755" t="s">
        <v>2237</v>
      </c>
      <c r="C5" s="55">
        <f ca="1">C6+C10+C12</f>
        <v>0</v>
      </c>
      <c r="D5" s="2302" t="s">
        <v>2240</v>
      </c>
      <c r="E5" s="2296"/>
      <c r="F5" s="2297"/>
      <c r="G5" s="1900"/>
      <c r="H5" s="754">
        <v>1</v>
      </c>
      <c r="I5" s="755" t="s">
        <v>2237</v>
      </c>
      <c r="J5" s="55">
        <f ca="1">J6+J10+J12</f>
        <v>0</v>
      </c>
      <c r="K5" s="2302" t="s">
        <v>2240</v>
      </c>
      <c r="L5" s="2296"/>
      <c r="M5" s="2297"/>
    </row>
    <row r="6" spans="1:33" ht="18" customHeight="1">
      <c r="A6" s="1701" t="s">
        <v>1624</v>
      </c>
      <c r="B6" s="3726" t="s">
        <v>2242</v>
      </c>
      <c r="C6" s="756">
        <f ca="1">ROUND(F6*F8*F7*(1-F9)/10000,0)</f>
        <v>0</v>
      </c>
      <c r="D6" s="2303" t="s">
        <v>2241</v>
      </c>
      <c r="E6" s="757" t="s">
        <v>1538</v>
      </c>
      <c r="F6" s="758">
        <f ca="1">INDIRECT("'数据-取费表'!u"&amp;$G$1)</f>
        <v>0</v>
      </c>
      <c r="G6" s="1900"/>
      <c r="H6" s="2310" t="s">
        <v>2247</v>
      </c>
      <c r="I6" s="3726" t="s">
        <v>2242</v>
      </c>
      <c r="J6" s="756">
        <f ca="1">ROUND(M6*M8*M7*(1-M9)/10000,0)</f>
        <v>0</v>
      </c>
      <c r="K6" s="339" t="s">
        <v>1537</v>
      </c>
      <c r="L6" s="757" t="s">
        <v>1538</v>
      </c>
      <c r="M6" s="758">
        <f ca="1">INDIRECT("'数据-取费表'!z"&amp;$G$1)</f>
        <v>0</v>
      </c>
    </row>
    <row r="7" spans="1:33" ht="18" customHeight="1">
      <c r="A7" s="2306"/>
      <c r="B7" s="3727"/>
      <c r="C7" s="761"/>
      <c r="D7" s="762"/>
      <c r="E7" s="757" t="s">
        <v>1539</v>
      </c>
      <c r="F7" s="758">
        <f ca="1">IF(INDIRECT("'数据-取费表'!ah"&amp;$G$1)="",INDIRECT("'数据-取费表'!k"&amp;$G$1),INDIRECT("'数据-取费表'!ah"&amp;$G$1))</f>
        <v>0</v>
      </c>
      <c r="G7" s="1900"/>
      <c r="H7" s="2295"/>
      <c r="I7" s="3727"/>
      <c r="J7" s="761"/>
      <c r="K7" s="762"/>
      <c r="L7" s="757" t="s">
        <v>1539</v>
      </c>
      <c r="M7" s="758">
        <f ca="1">F7</f>
        <v>0</v>
      </c>
    </row>
    <row r="8" spans="1:33" ht="18" customHeight="1">
      <c r="A8" s="2299"/>
      <c r="B8" s="3728"/>
      <c r="C8" s="761"/>
      <c r="D8" s="762"/>
      <c r="E8" s="757" t="s">
        <v>1540</v>
      </c>
      <c r="F8" s="758">
        <f ca="1">INDIRECT("'数据-取费表'!ai"&amp;$G$1)</f>
        <v>0</v>
      </c>
      <c r="G8" s="1900"/>
      <c r="H8" s="2295"/>
      <c r="I8" s="3728"/>
      <c r="J8" s="761"/>
      <c r="K8" s="762"/>
      <c r="L8" s="757" t="s">
        <v>1540</v>
      </c>
      <c r="M8" s="758">
        <f ca="1">INDIRECT("'数据-取费表'!ai"&amp;$G$1)</f>
        <v>0</v>
      </c>
    </row>
    <row r="9" spans="1:33" ht="18" customHeight="1">
      <c r="A9" s="759"/>
      <c r="B9" s="3729"/>
      <c r="C9" s="761"/>
      <c r="D9" s="762"/>
      <c r="E9" s="757" t="s">
        <v>1541</v>
      </c>
      <c r="F9" s="767">
        <f ca="1">INDIRECT("'数据-取费表'!w"&amp;$G$1)</f>
        <v>0</v>
      </c>
      <c r="G9" s="1900"/>
      <c r="H9" s="2311"/>
      <c r="I9" s="3728"/>
      <c r="J9" s="761"/>
      <c r="K9" s="762"/>
      <c r="L9" s="768" t="s">
        <v>1541</v>
      </c>
      <c r="M9" s="769">
        <f ca="1">INDIRECT("'数据-取费表'!ab"&amp;$G$1)</f>
        <v>0</v>
      </c>
    </row>
    <row r="10" spans="1:33" ht="18" customHeight="1">
      <c r="A10" s="1701" t="s">
        <v>2245</v>
      </c>
      <c r="B10" s="2300" t="s">
        <v>2238</v>
      </c>
      <c r="C10" s="772">
        <f ca="1">ROUND(IF(F10="押一",C6/12*F11,IF(F10="押二",C6/12*2*F11,IF(F10="押三",C6/12*3*F11,C11*F11))),0)</f>
        <v>0</v>
      </c>
      <c r="D10" s="2307" t="s">
        <v>2671</v>
      </c>
      <c r="E10" s="2304" t="s">
        <v>2243</v>
      </c>
      <c r="F10" s="2388"/>
      <c r="G10" s="1900"/>
      <c r="H10" s="2338" t="s">
        <v>2248</v>
      </c>
      <c r="I10" s="2343" t="s">
        <v>2238</v>
      </c>
      <c r="J10" s="756">
        <f ca="1">ROUND(IF(M10="押一",J6/12*M11,IF(M10="押二",J6/12*2*M11,IF(M10="押三",J6/12*3*M11,J11*M11))),0)</f>
        <v>0</v>
      </c>
      <c r="K10" s="2307" t="s">
        <v>2671</v>
      </c>
      <c r="L10" s="2304" t="s">
        <v>2243</v>
      </c>
      <c r="M10" s="2388"/>
    </row>
    <row r="11" spans="1:33" ht="18" customHeight="1">
      <c r="A11" s="763"/>
      <c r="B11" s="2301" t="s">
        <v>2291</v>
      </c>
      <c r="C11" s="2305"/>
      <c r="D11" s="762"/>
      <c r="E11" s="2304" t="s">
        <v>2244</v>
      </c>
      <c r="F11" s="769">
        <f ca="1">'数据-取费表'!B39</f>
        <v>0</v>
      </c>
      <c r="G11" s="1900"/>
      <c r="H11" s="2339"/>
      <c r="I11" s="2301" t="s">
        <v>2291</v>
      </c>
      <c r="J11" s="2305"/>
      <c r="K11" s="2340"/>
      <c r="L11" s="2304" t="s">
        <v>2244</v>
      </c>
      <c r="M11" s="2298">
        <f ca="1">'数据-取费表'!B39</f>
        <v>0</v>
      </c>
    </row>
    <row r="12" spans="1:33" ht="18" customHeight="1" thickBot="1">
      <c r="A12" s="2314" t="s">
        <v>2246</v>
      </c>
      <c r="B12" s="2315" t="s">
        <v>2239</v>
      </c>
      <c r="C12" s="2316"/>
      <c r="D12" s="2317"/>
      <c r="E12" s="2318"/>
      <c r="F12" s="2319"/>
      <c r="G12" s="1900"/>
      <c r="H12" s="2328" t="s">
        <v>2249</v>
      </c>
      <c r="I12" s="2341" t="s">
        <v>2239</v>
      </c>
      <c r="J12" s="2342"/>
      <c r="K12" s="2317"/>
      <c r="L12" s="2318"/>
      <c r="M12" s="2331"/>
    </row>
    <row r="13" spans="1:33" ht="18" customHeight="1" thickTop="1">
      <c r="A13" s="1700">
        <v>2</v>
      </c>
      <c r="B13" s="1698" t="s">
        <v>1542</v>
      </c>
      <c r="C13" s="765">
        <f ca="1">ROUND(C29*F13,0)</f>
        <v>0</v>
      </c>
      <c r="D13" s="1705" t="s">
        <v>2087</v>
      </c>
      <c r="E13" s="1705" t="s">
        <v>1544</v>
      </c>
      <c r="F13" s="2313">
        <f ca="1">INDIRECT("'数据-取费表'!y"&amp;$G$1)</f>
        <v>0</v>
      </c>
      <c r="G13" s="1900"/>
      <c r="H13" s="1700">
        <v>2</v>
      </c>
      <c r="I13" s="1698" t="s">
        <v>1542</v>
      </c>
      <c r="J13" s="1690">
        <f ca="1">ROUND(J14*J15,0)</f>
        <v>0</v>
      </c>
      <c r="K13" s="1692" t="s">
        <v>1543</v>
      </c>
      <c r="L13" s="2329"/>
      <c r="M13" s="2330"/>
    </row>
    <row r="14" spans="1:33" ht="18" customHeight="1">
      <c r="A14" s="1532" t="s">
        <v>1680</v>
      </c>
      <c r="B14" s="757" t="s">
        <v>627</v>
      </c>
      <c r="C14" s="777">
        <f ca="1">INDIRECT("'数据-取费表'!m"&amp;$G$1)+INDIRECT("'数据-取费表'!t"&amp;$G$1)</f>
        <v>0</v>
      </c>
      <c r="D14" s="1848" t="s">
        <v>1545</v>
      </c>
      <c r="E14" s="1849"/>
      <c r="F14" s="778"/>
      <c r="G14" s="1900"/>
      <c r="H14" s="1533" t="s">
        <v>1630</v>
      </c>
      <c r="I14" s="2066" t="s">
        <v>2542</v>
      </c>
      <c r="J14" s="53">
        <f ca="1">C29</f>
        <v>0</v>
      </c>
      <c r="K14" s="26"/>
      <c r="L14" s="774"/>
      <c r="M14" s="775"/>
    </row>
    <row r="15" spans="1:33" s="1902" customFormat="1" ht="18" customHeight="1" thickBot="1">
      <c r="A15" s="1532" t="s">
        <v>1681</v>
      </c>
      <c r="B15" s="757" t="s">
        <v>629</v>
      </c>
      <c r="C15" s="53">
        <f ca="1">ROUND(C14*F15,0)</f>
        <v>0</v>
      </c>
      <c r="D15" s="779" t="s">
        <v>1546</v>
      </c>
      <c r="E15" s="779" t="s">
        <v>1547</v>
      </c>
      <c r="F15" s="780">
        <f>'数据-取费表'!B33</f>
        <v>0</v>
      </c>
      <c r="G15" s="3170"/>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900"/>
      <c r="H16" s="1700" t="s">
        <v>1548</v>
      </c>
      <c r="I16" s="1698" t="s">
        <v>1549</v>
      </c>
      <c r="J16" s="765">
        <f ca="1">ROUND(J17+J22+J23+J24,0)</f>
        <v>0</v>
      </c>
      <c r="K16" s="1692" t="s">
        <v>1550</v>
      </c>
      <c r="L16" s="2292"/>
      <c r="M16" s="2297"/>
    </row>
    <row r="17" spans="1:33" s="1902" customFormat="1" ht="18" customHeight="1">
      <c r="A17" s="1532" t="s">
        <v>1683</v>
      </c>
      <c r="B17" s="757" t="s">
        <v>635</v>
      </c>
      <c r="C17" s="53">
        <f ca="1">ROUND(F17*(F43+INDIRECT("'数据-取费表'!S"&amp;$G$1))/10000,0)</f>
        <v>0</v>
      </c>
      <c r="D17" s="757" t="s">
        <v>1551</v>
      </c>
      <c r="E17" s="757" t="s">
        <v>1552</v>
      </c>
      <c r="F17" s="56">
        <f>'数据-取费表'!B35</f>
        <v>0</v>
      </c>
      <c r="G17" s="3170"/>
      <c r="H17" s="1533" t="s">
        <v>1630</v>
      </c>
      <c r="I17" s="757" t="s">
        <v>638</v>
      </c>
      <c r="J17" s="2928">
        <f ca="1">ROUND(IF(AND(项目基本情况!B11="自然人",项目基本情况!B10="北京市"),J6*M17/(1+'数据-取费表'!C42),J18+J19+J20),0)</f>
        <v>0</v>
      </c>
      <c r="K17" s="2291" t="s">
        <v>1553</v>
      </c>
      <c r="L17" s="2290" t="s">
        <v>1554</v>
      </c>
      <c r="M17" s="2927">
        <f ca="1">IF(项目基本情况!B11="企业","——",IF('数据-取费表'!B10="住宅",IF(M6*M7*M8/12/(1+'数据-取费表'!F30)&gt;100000,4%,2.5%),IF(M6*M7*M8/12/(1+'数据-取费表'!F30)&gt;100000,12%,7%)))</f>
        <v>7.0000000000000007E-2</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0</v>
      </c>
      <c r="D18" s="757" t="s">
        <v>1546</v>
      </c>
      <c r="E18" s="757" t="s">
        <v>1547</v>
      </c>
      <c r="F18" s="782">
        <f>'数据-取费表'!B36</f>
        <v>0</v>
      </c>
      <c r="G18" s="3170"/>
      <c r="H18" s="1532" t="s">
        <v>1680</v>
      </c>
      <c r="I18" s="757" t="s">
        <v>1555</v>
      </c>
      <c r="J18" s="53">
        <f ca="1">ROUND(J6*M18/(1+'数据-取费表'!C42),1)</f>
        <v>0</v>
      </c>
      <c r="K18" s="2290" t="s">
        <v>1556</v>
      </c>
      <c r="L18" s="757" t="s">
        <v>1547</v>
      </c>
      <c r="M18" s="782">
        <f>'数据-取费表'!B41</f>
        <v>0</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1630</v>
      </c>
      <c r="B19" s="757" t="s">
        <v>644</v>
      </c>
      <c r="C19" s="53">
        <f ca="1">SUM(C14:C18)</f>
        <v>0</v>
      </c>
      <c r="D19" s="259" t="s">
        <v>1557</v>
      </c>
      <c r="E19" s="1851"/>
      <c r="F19" s="56"/>
      <c r="G19" s="1900"/>
      <c r="H19" s="1532" t="s">
        <v>1681</v>
      </c>
      <c r="I19" s="757" t="s">
        <v>1558</v>
      </c>
      <c r="J19" s="53">
        <f ca="1">IF(K19="按租金收入计税",ROUND(J6*M19/(1+'数据-取费表'!C42),1),ROUND(C29*F33*0.7,1))</f>
        <v>0</v>
      </c>
      <c r="K19" s="783" t="s">
        <v>647</v>
      </c>
      <c r="L19" s="757" t="s">
        <v>1547</v>
      </c>
      <c r="M19" s="782">
        <f>IF(K19="按租金收入计税",'数据-取费表'!B51,'数据-取费表'!B50)</f>
        <v>1.2E-2</v>
      </c>
    </row>
    <row r="20" spans="1:33" s="1902" customFormat="1" ht="18" customHeight="1">
      <c r="A20" s="1533" t="s">
        <v>1685</v>
      </c>
      <c r="B20" s="757" t="s">
        <v>648</v>
      </c>
      <c r="C20" s="53">
        <f ca="1">ROUND(C19*F20,0)</f>
        <v>0</v>
      </c>
      <c r="D20" s="784" t="s">
        <v>1559</v>
      </c>
      <c r="E20" s="757" t="s">
        <v>1547</v>
      </c>
      <c r="F20" s="782">
        <f>'数据-取费表'!B37</f>
        <v>0</v>
      </c>
      <c r="G20" s="3170"/>
      <c r="H20" s="1535" t="s">
        <v>1676</v>
      </c>
      <c r="I20" s="339" t="s">
        <v>1560</v>
      </c>
      <c r="J20" s="54">
        <f ca="1">ROUND(M20*M21/10000,0)</f>
        <v>0</v>
      </c>
      <c r="K20" s="786" t="s">
        <v>1561</v>
      </c>
      <c r="L20" s="757" t="s">
        <v>1562</v>
      </c>
      <c r="M20" s="615">
        <f>'数据-取费表'!B52</f>
        <v>0</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1565</v>
      </c>
      <c r="F21" s="782">
        <f>'数据-取费表'!B38</f>
        <v>0</v>
      </c>
      <c r="G21" s="3170"/>
      <c r="H21" s="2312"/>
      <c r="I21" s="766"/>
      <c r="J21" s="69"/>
      <c r="K21" s="788"/>
      <c r="L21" s="757" t="s">
        <v>1566</v>
      </c>
      <c r="M21" s="758">
        <f ca="1">INDIRECT("'数据-取费表'!r"&amp;$G$1)</f>
        <v>0</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单利计息。建造成本、管理费用、销售费用产生的利息。</v>
      </c>
      <c r="E22" s="1851"/>
      <c r="F22" s="56"/>
      <c r="G22" s="1900"/>
      <c r="H22" s="1533" t="s">
        <v>1685</v>
      </c>
      <c r="I22" s="757" t="s">
        <v>1568</v>
      </c>
      <c r="J22" s="53">
        <f ca="1">ROUND(J14*M22,0)</f>
        <v>0</v>
      </c>
      <c r="K22" s="2290" t="s">
        <v>1569</v>
      </c>
      <c r="L22" s="757" t="s">
        <v>1547</v>
      </c>
      <c r="M22" s="789">
        <f ca="1">INDIRECT("'数据-取费表'!Ak"&amp;$G$1)</f>
        <v>0</v>
      </c>
    </row>
    <row r="23" spans="1:33" s="1902" customFormat="1" ht="18" customHeight="1">
      <c r="A23" s="1532" t="s">
        <v>1631</v>
      </c>
      <c r="B23" s="757" t="s">
        <v>2253</v>
      </c>
      <c r="C23" s="53">
        <f ca="1">ROUND(IF('数据-取费表'!B22&lt;=1,(C19+C20)*F24*F23/2,(C19+C20)*(POWER((1+F24),F23/2)-1)),0)</f>
        <v>0</v>
      </c>
      <c r="D23" s="2346" t="str">
        <f>IF(F23&lt;=1,"(建造成本+管理费用)×利率×(建设周期÷2)","(建造成本+管理费用)×((1+利率)^(建设周期÷2)-1)")</f>
        <v>(建造成本+管理费用)×利率×(建设周期÷2)</v>
      </c>
      <c r="E23" s="757" t="s">
        <v>1570</v>
      </c>
      <c r="F23" s="615">
        <f>'数据-取费表'!B20</f>
        <v>0</v>
      </c>
      <c r="G23" s="3170"/>
      <c r="H23" s="1533" t="s">
        <v>1686</v>
      </c>
      <c r="I23" s="757" t="s">
        <v>661</v>
      </c>
      <c r="J23" s="53">
        <f ca="1">ROUND(J13*M23,0)</f>
        <v>0</v>
      </c>
      <c r="K23" s="2290" t="s">
        <v>1571</v>
      </c>
      <c r="L23" s="757" t="s">
        <v>1547</v>
      </c>
      <c r="M23" s="790">
        <f ca="1">INDIRECT("'数据-取费表'!Al"&amp;$G$1)</f>
        <v>0</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1572</v>
      </c>
      <c r="C24" s="53">
        <f ca="1">ROUND(IF('数据-取费表'!B22&lt;=1,F21*F24*F23/2,F21*(POWER((1+F24),F23/2)-1)),4)</f>
        <v>0</v>
      </c>
      <c r="D24" s="2346" t="str">
        <f>IF(F23&lt;=1,"销售费用×利率×(建设周期÷2)","销售费用×((1+利率)^(建设周期÷2)-1)")</f>
        <v>销售费用×利率×(建设周期÷2)</v>
      </c>
      <c r="E24" s="757" t="s">
        <v>1573</v>
      </c>
      <c r="F24" s="791">
        <f ca="1">'数据-取费表'!B40</f>
        <v>0</v>
      </c>
      <c r="G24" s="3170"/>
      <c r="H24" s="2328" t="s">
        <v>1687</v>
      </c>
      <c r="I24" s="2323" t="s">
        <v>648</v>
      </c>
      <c r="J24" s="2321">
        <f ca="1">ROUND(J5*M24,0)</f>
        <v>0</v>
      </c>
      <c r="K24" s="2322" t="s">
        <v>1574</v>
      </c>
      <c r="L24" s="2323" t="s">
        <v>1547</v>
      </c>
      <c r="M24" s="2319">
        <f ca="1">INDIRECT("'数据-取费表'!Am"&amp;$G$1)</f>
        <v>0</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1575</v>
      </c>
      <c r="E25" s="1851"/>
      <c r="F25" s="56"/>
      <c r="G25" s="1900"/>
      <c r="H25" s="1700" t="s">
        <v>1576</v>
      </c>
      <c r="I25" s="2645" t="s">
        <v>2538</v>
      </c>
      <c r="J25" s="765">
        <f ca="1">J5-J16</f>
        <v>0</v>
      </c>
      <c r="K25" s="2325" t="s">
        <v>1577</v>
      </c>
      <c r="L25" s="2326"/>
      <c r="M25" s="2327"/>
    </row>
    <row r="26" spans="1:33" ht="18" customHeight="1">
      <c r="A26" s="1532" t="s">
        <v>1631</v>
      </c>
      <c r="B26" s="757" t="s">
        <v>2220</v>
      </c>
      <c r="C26" s="53">
        <f ca="1">ROUND((C19+C20)*F26,0)</f>
        <v>0</v>
      </c>
      <c r="D26" s="784" t="s">
        <v>1578</v>
      </c>
      <c r="E26" s="768" t="s">
        <v>1579</v>
      </c>
      <c r="F26" s="767">
        <f ca="1">INDIRECT("'数据-取费表'!q"&amp;$G$1)</f>
        <v>0</v>
      </c>
      <c r="G26" s="1900"/>
      <c r="H26" s="2308" t="s">
        <v>1580</v>
      </c>
      <c r="I26" s="2067" t="s">
        <v>2543</v>
      </c>
      <c r="J26" s="756">
        <f ca="1">IF(J5&lt;&gt;0,ROUND(J25*(1-((1+M28)/(1+M26))^M27)/(M26-M28),0),0)</f>
        <v>0</v>
      </c>
      <c r="K26" s="786" t="s">
        <v>1581</v>
      </c>
      <c r="L26" s="757" t="s">
        <v>2206</v>
      </c>
      <c r="M26" s="767">
        <f ca="1">INDIRECT("'数据-取费表'!I"&amp;$G$1)</f>
        <v>0</v>
      </c>
    </row>
    <row r="27" spans="1:33" ht="18" customHeight="1">
      <c r="A27" s="1532" t="s">
        <v>1632</v>
      </c>
      <c r="B27" s="757" t="s">
        <v>668</v>
      </c>
      <c r="C27" s="53">
        <f ca="1">ROUND(F21*F26,4)</f>
        <v>0</v>
      </c>
      <c r="D27" s="784" t="s">
        <v>1582</v>
      </c>
      <c r="E27" s="779"/>
      <c r="F27" s="780"/>
      <c r="G27" s="1900"/>
      <c r="H27" s="2309"/>
      <c r="I27" s="760"/>
      <c r="J27" s="761"/>
      <c r="K27" s="793" t="s">
        <v>1583</v>
      </c>
      <c r="L27" s="757" t="s">
        <v>1584</v>
      </c>
      <c r="M27" s="794">
        <f ca="1">INDIRECT("'数据-取费表'!ag"&amp;$G$1)</f>
        <v>0</v>
      </c>
    </row>
    <row r="28" spans="1:33" s="1902" customFormat="1" ht="18" customHeight="1">
      <c r="A28" s="1534" t="s">
        <v>1641</v>
      </c>
      <c r="B28" s="757" t="s">
        <v>669</v>
      </c>
      <c r="C28" s="53">
        <f>ROUND(F28/(1+'数据-取费表'!C42),4)</f>
        <v>0</v>
      </c>
      <c r="D28" s="784" t="s">
        <v>2089</v>
      </c>
      <c r="E28" s="757" t="s">
        <v>1585</v>
      </c>
      <c r="F28" s="782">
        <f>'数据-取费表'!B41</f>
        <v>0</v>
      </c>
      <c r="G28" s="3170"/>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f ca="1">ROUND((C19+C20+C23+C26)/(1-F21-C24-C27-C28),0)</f>
        <v>0</v>
      </c>
      <c r="D29" s="2322"/>
      <c r="E29" s="2323"/>
      <c r="F29" s="2324"/>
      <c r="G29" s="3170"/>
      <c r="H29" s="795" t="s">
        <v>1587</v>
      </c>
      <c r="I29" s="796" t="s">
        <v>1588</v>
      </c>
      <c r="J29" s="797">
        <f ca="1">ROUND(J26/(1+F40)^F41,0)</f>
        <v>0</v>
      </c>
      <c r="K29" s="798" t="s">
        <v>1589</v>
      </c>
      <c r="L29" s="799"/>
      <c r="M29" s="800">
        <f ca="1">INDIRECT("'数据-取费表'!k"&amp;$G$1)</f>
        <v>0</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1689</v>
      </c>
      <c r="B30" s="1698" t="s">
        <v>1590</v>
      </c>
      <c r="C30" s="765">
        <f ca="1">ROUND(C31+C36+C37+C38,0)</f>
        <v>0</v>
      </c>
      <c r="D30" s="1692" t="s">
        <v>1591</v>
      </c>
      <c r="E30" s="2292"/>
      <c r="F30" s="2297"/>
      <c r="G30" s="1900"/>
      <c r="H30" s="1903"/>
      <c r="I30" s="1904"/>
      <c r="J30" s="1905"/>
      <c r="K30" s="1906"/>
      <c r="L30" s="1907"/>
      <c r="M30" s="1908"/>
    </row>
    <row r="31" spans="1:33" ht="18" customHeight="1">
      <c r="A31" s="1533" t="s">
        <v>1630</v>
      </c>
      <c r="B31" s="757" t="s">
        <v>638</v>
      </c>
      <c r="C31" s="2928">
        <f ca="1">ROUND(IF(AND(项目基本情况!B11="自然人",项目基本情况!B10="北京市"),C6*F31/(1+'数据-取费表'!C42),C32+C33+C34),0)</f>
        <v>0</v>
      </c>
      <c r="D31" s="1848" t="s">
        <v>1592</v>
      </c>
      <c r="E31" s="1846" t="s">
        <v>1593</v>
      </c>
      <c r="F31" s="2927">
        <f ca="1">IF(项目基本情况!B11="企业","——",IF('数据-取费表'!B10="住宅",IF(F6*F7*F8/12/(1+'数据-取费表'!F30)&gt;100000,4%,2.5%),IF(F6*F7*F8/12/(1+'数据-取费表'!F30)&gt;100000,12%,7%)))</f>
        <v>7.0000000000000007E-2</v>
      </c>
      <c r="G31" s="1900"/>
      <c r="H31" s="3167" t="s">
        <v>2726</v>
      </c>
      <c r="I31" s="1904"/>
      <c r="J31" s="1905"/>
      <c r="K31" s="1906"/>
      <c r="L31" s="1907"/>
      <c r="M31" s="1908"/>
    </row>
    <row r="32" spans="1:33" ht="18" customHeight="1">
      <c r="A32" s="1532" t="s">
        <v>1631</v>
      </c>
      <c r="B32" s="757" t="s">
        <v>1594</v>
      </c>
      <c r="C32" s="53">
        <f ca="1">ROUND(C6*F32/(1+'数据-取费表'!C42),1)</f>
        <v>0</v>
      </c>
      <c r="D32" s="1846" t="s">
        <v>1595</v>
      </c>
      <c r="E32" s="757" t="s">
        <v>1596</v>
      </c>
      <c r="F32" s="782">
        <f>'数据-取费表'!B41</f>
        <v>0</v>
      </c>
      <c r="G32" s="1900"/>
      <c r="H32" s="1909"/>
      <c r="I32" s="1910"/>
      <c r="J32" s="1911"/>
      <c r="K32" s="1912"/>
      <c r="L32" s="1913"/>
      <c r="M32" s="1914"/>
    </row>
    <row r="33" spans="1:18" ht="18" customHeight="1">
      <c r="A33" s="1532" t="s">
        <v>1632</v>
      </c>
      <c r="B33" s="757" t="s">
        <v>1597</v>
      </c>
      <c r="C33" s="53">
        <f ca="1">IF(D33="按租金收入计税",ROUND(C6*F33/(1+'数据-取费表'!C42),1),IF(D33="按房产原值计税",ROUND(C29*F33*0.7,1),INDIRECT("'数据-取费表'!Aj"&amp;$G$1)))</f>
        <v>0</v>
      </c>
      <c r="D33" s="783" t="s">
        <v>1480</v>
      </c>
      <c r="E33" s="757" t="s">
        <v>1596</v>
      </c>
      <c r="F33" s="782">
        <f>IF(D33="按租金收入计税",'数据-取费表'!B51,'数据-取费表'!B50)</f>
        <v>1.2E-2</v>
      </c>
      <c r="G33" s="1900"/>
      <c r="H33" s="1915"/>
      <c r="I33" s="1915"/>
      <c r="J33" s="1915"/>
      <c r="K33" s="1916"/>
      <c r="L33" s="1915"/>
      <c r="M33" s="1915"/>
    </row>
    <row r="34" spans="1:18" ht="18" customHeight="1">
      <c r="A34" s="1535" t="s">
        <v>1633</v>
      </c>
      <c r="B34" s="339" t="s">
        <v>1598</v>
      </c>
      <c r="C34" s="54">
        <f ca="1">ROUND(F34*F35/10000,1)</f>
        <v>0</v>
      </c>
      <c r="D34" s="786" t="s">
        <v>1599</v>
      </c>
      <c r="E34" s="757" t="s">
        <v>1600</v>
      </c>
      <c r="F34" s="615">
        <f>'数据-取费表'!B52</f>
        <v>0</v>
      </c>
      <c r="G34" s="1900"/>
      <c r="H34" s="1903"/>
      <c r="I34" s="807" t="s">
        <v>1613</v>
      </c>
      <c r="J34" s="808"/>
      <c r="K34" s="1918"/>
      <c r="L34" s="1917"/>
      <c r="M34" s="1917"/>
    </row>
    <row r="35" spans="1:18" ht="18" customHeight="1">
      <c r="A35" s="787"/>
      <c r="B35" s="766"/>
      <c r="C35" s="69"/>
      <c r="D35" s="788"/>
      <c r="E35" s="757" t="s">
        <v>1601</v>
      </c>
      <c r="F35" s="758">
        <f ca="1">INDIRECT("'数据-取费表'!r"&amp;$G$1)</f>
        <v>0</v>
      </c>
      <c r="G35" s="1900"/>
      <c r="H35" s="1903"/>
      <c r="I35" s="809" t="s">
        <v>1614</v>
      </c>
      <c r="J35" s="810">
        <f ca="1">ROUND(C13*J36,0)</f>
        <v>0</v>
      </c>
      <c r="K35" s="1916"/>
      <c r="L35" s="1915"/>
      <c r="M35" s="1915"/>
    </row>
    <row r="36" spans="1:18" ht="18" customHeight="1">
      <c r="A36" s="1533" t="s">
        <v>1685</v>
      </c>
      <c r="B36" s="757" t="s">
        <v>1602</v>
      </c>
      <c r="C36" s="53">
        <f ca="1">ROUND(C29*F36,1)</f>
        <v>0</v>
      </c>
      <c r="D36" s="1846" t="s">
        <v>1603</v>
      </c>
      <c r="E36" s="757" t="s">
        <v>1596</v>
      </c>
      <c r="F36" s="789">
        <f ca="1">INDIRECT("'数据-取费表'!Ak"&amp;$G$1)</f>
        <v>0</v>
      </c>
      <c r="G36" s="1900"/>
      <c r="H36" s="1915"/>
      <c r="I36" s="811" t="s">
        <v>1615</v>
      </c>
      <c r="J36" s="812">
        <f ca="1">INDIRECT("'数据-取费表'!j"&amp;$G$1)</f>
        <v>0</v>
      </c>
      <c r="K36" s="1919"/>
      <c r="L36" s="1915"/>
      <c r="M36" s="1915"/>
    </row>
    <row r="37" spans="1:18" ht="18" customHeight="1">
      <c r="A37" s="1533" t="s">
        <v>1686</v>
      </c>
      <c r="B37" s="757" t="s">
        <v>661</v>
      </c>
      <c r="C37" s="53">
        <f ca="1">ROUND(C13*F37,1)</f>
        <v>0</v>
      </c>
      <c r="D37" s="1846" t="s">
        <v>1604</v>
      </c>
      <c r="E37" s="757" t="s">
        <v>1596</v>
      </c>
      <c r="F37" s="790">
        <f ca="1">INDIRECT("'数据-取费表'!Al"&amp;$G$1)</f>
        <v>0</v>
      </c>
      <c r="G37" s="1900"/>
      <c r="H37" s="1915"/>
      <c r="I37" s="813" t="s">
        <v>1616</v>
      </c>
      <c r="J37" s="814"/>
      <c r="K37" s="1919"/>
      <c r="L37" s="1915"/>
      <c r="M37" s="1915"/>
    </row>
    <row r="38" spans="1:18" ht="18" customHeight="1" thickBot="1">
      <c r="A38" s="2328" t="s">
        <v>1687</v>
      </c>
      <c r="B38" s="2323" t="s">
        <v>648</v>
      </c>
      <c r="C38" s="2321">
        <f ca="1">ROUND(C5*F38,1)</f>
        <v>0</v>
      </c>
      <c r="D38" s="2322" t="s">
        <v>1605</v>
      </c>
      <c r="E38" s="2323" t="s">
        <v>1596</v>
      </c>
      <c r="F38" s="2319">
        <f ca="1">INDIRECT("'数据-取费表'!Am"&amp;$G$1)</f>
        <v>0</v>
      </c>
      <c r="G38" s="1900"/>
      <c r="H38" s="1915"/>
      <c r="I38" s="815" t="s">
        <v>1617</v>
      </c>
      <c r="J38" s="816"/>
      <c r="K38" s="1920"/>
      <c r="L38" s="1915"/>
      <c r="M38" s="1915"/>
    </row>
    <row r="39" spans="1:18" ht="24.6" customHeight="1" thickTop="1">
      <c r="A39" s="1700" t="s">
        <v>1690</v>
      </c>
      <c r="B39" s="2645" t="s">
        <v>2538</v>
      </c>
      <c r="C39" s="765">
        <f ca="1">C5-C30</f>
        <v>0</v>
      </c>
      <c r="D39" s="2325" t="s">
        <v>1606</v>
      </c>
      <c r="E39" s="2326"/>
      <c r="F39" s="2327"/>
      <c r="G39" s="1900"/>
      <c r="H39" s="1915"/>
      <c r="I39" s="809" t="s">
        <v>1618</v>
      </c>
      <c r="J39" s="817" t="e">
        <f ca="1">ROUND(J35/C39,3)</f>
        <v>#DIV/0!</v>
      </c>
      <c r="K39" s="1920"/>
      <c r="L39" s="1915"/>
      <c r="M39" s="1915"/>
    </row>
    <row r="40" spans="1:18" ht="18" customHeight="1">
      <c r="A40" s="754" t="s">
        <v>1691</v>
      </c>
      <c r="B40" s="2067" t="s">
        <v>2091</v>
      </c>
      <c r="C40" s="756" t="e">
        <f ca="1">ROUND(C39*(1-((1+F42)/(1+F40))^F41)/(F40-F42),0)</f>
        <v>#DIV/0!</v>
      </c>
      <c r="D40" s="786" t="s">
        <v>1607</v>
      </c>
      <c r="E40" s="757" t="s">
        <v>2206</v>
      </c>
      <c r="F40" s="767">
        <f ca="1">INDIRECT("'数据-取费表'!I"&amp;$G$1)</f>
        <v>0</v>
      </c>
      <c r="G40" s="1900"/>
      <c r="H40" s="1900"/>
      <c r="I40" s="809" t="s">
        <v>1619</v>
      </c>
      <c r="J40" s="817" t="e">
        <f ca="1">1-J39</f>
        <v>#DIV/0!</v>
      </c>
      <c r="K40" s="1920"/>
      <c r="L40" s="1900"/>
      <c r="M40" s="1900"/>
    </row>
    <row r="41" spans="1:18" ht="18" customHeight="1">
      <c r="A41" s="759"/>
      <c r="B41" s="760"/>
      <c r="C41" s="761"/>
      <c r="D41" s="793" t="s">
        <v>1608</v>
      </c>
      <c r="E41" s="757" t="s">
        <v>2663</v>
      </c>
      <c r="F41" s="794">
        <f ca="1">IF(INDIRECT("'数据-取费表'!af"&amp;$G$1)=0,INDIRECT("'数据-取费表'!ae"&amp;$G$1),INDIRECT("'数据-取费表'!af"&amp;$G$1))</f>
        <v>0</v>
      </c>
      <c r="G41" s="1900"/>
      <c r="H41" s="1855"/>
      <c r="I41" s="815" t="s">
        <v>1620</v>
      </c>
      <c r="J41" s="818"/>
      <c r="K41" s="1919"/>
      <c r="L41" s="1855"/>
      <c r="M41" s="1855"/>
    </row>
    <row r="42" spans="1:18" ht="18" customHeight="1">
      <c r="A42" s="763"/>
      <c r="B42" s="764"/>
      <c r="C42" s="765"/>
      <c r="D42" s="788"/>
      <c r="E42" s="757" t="s">
        <v>1609</v>
      </c>
      <c r="F42" s="767">
        <f ca="1">INDIRECT("'数据-取费表'!v"&amp;$G$1)</f>
        <v>0</v>
      </c>
      <c r="G42" s="1900"/>
      <c r="H42" s="1855"/>
      <c r="I42" s="819" t="s">
        <v>1621</v>
      </c>
      <c r="J42" s="817" t="e">
        <f ca="1">ROUND(C13/C40,3)</f>
        <v>#DIV/0!</v>
      </c>
      <c r="K42" s="1919"/>
      <c r="L42" s="1855"/>
      <c r="M42" s="1855"/>
    </row>
    <row r="43" spans="1:18" ht="18" customHeight="1" thickBot="1">
      <c r="A43" s="795" t="s">
        <v>1587</v>
      </c>
      <c r="B43" s="796" t="s">
        <v>1610</v>
      </c>
      <c r="C43" s="797" t="e">
        <f ca="1">ROUND(C40*10000/F43,0)</f>
        <v>#DIV/0!</v>
      </c>
      <c r="D43" s="798" t="s">
        <v>1611</v>
      </c>
      <c r="E43" s="799" t="s">
        <v>1612</v>
      </c>
      <c r="F43" s="800">
        <f ca="1">INDIRECT("'数据-取费表'!k"&amp;$G$1)</f>
        <v>0</v>
      </c>
      <c r="G43" s="1900"/>
      <c r="H43" s="1855"/>
      <c r="I43" s="819" t="s">
        <v>1622</v>
      </c>
      <c r="J43" s="820" t="e">
        <f ca="1">1-J42</f>
        <v>#DIV/0!</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t="e">
        <f ca="1">C67-C40</f>
        <v>#DIV/0!</v>
      </c>
      <c r="D46" s="3171"/>
      <c r="E46" s="3171"/>
      <c r="F46" s="3171"/>
      <c r="I46" s="2188" t="s">
        <v>2130</v>
      </c>
      <c r="J46" s="2189"/>
      <c r="K46" s="2190"/>
      <c r="L46" s="2730" t="e">
        <f ca="1">IF(OR(M47="住宅",D1="土地（套用方法）"),0,IF(L48&gt;J51,L60,J60))</f>
        <v>#DIV/0!</v>
      </c>
      <c r="M46" s="3172"/>
      <c r="O46" s="2204" t="s">
        <v>2197</v>
      </c>
      <c r="P46" s="1483"/>
      <c r="Q46" s="1491"/>
      <c r="R46" s="1483"/>
    </row>
    <row r="47" spans="1:18" s="1897" customFormat="1" ht="18" customHeight="1" thickBot="1">
      <c r="A47" s="2182">
        <v>1</v>
      </c>
      <c r="B47" s="2183" t="s">
        <v>617</v>
      </c>
      <c r="C47" s="2349">
        <f ca="1">C48+C52+C54</f>
        <v>0</v>
      </c>
      <c r="D47" s="3171"/>
      <c r="E47" s="3171"/>
      <c r="F47" s="3171"/>
      <c r="I47" s="2721" t="s">
        <v>2131</v>
      </c>
      <c r="J47" s="2191"/>
      <c r="K47" s="2727" t="s">
        <v>2136</v>
      </c>
      <c r="L47" s="2731">
        <f ca="1">INDIRECT("'数据-取费表'!d"&amp;$G$1)</f>
        <v>0</v>
      </c>
      <c r="M47" s="1491" t="str">
        <f>IF(ISNUMBER(FIND("住宅",C1)),"住宅","非住宅")</f>
        <v>非住宅</v>
      </c>
      <c r="O47" s="2205" t="s">
        <v>2162</v>
      </c>
      <c r="P47" s="2206" t="s">
        <v>2163</v>
      </c>
      <c r="Q47" s="2207" t="s">
        <v>2164</v>
      </c>
      <c r="R47" s="2206" t="s">
        <v>2165</v>
      </c>
    </row>
    <row r="48" spans="1:18" s="1897" customFormat="1" ht="18" customHeight="1" thickBot="1">
      <c r="A48" s="2407" t="s">
        <v>2255</v>
      </c>
      <c r="B48" s="2408" t="s">
        <v>2256</v>
      </c>
      <c r="C48" s="2184">
        <f ca="1">ROUND(F48*F50*F49*(1-F51)/10000,0)</f>
        <v>0</v>
      </c>
      <c r="D48" s="2185" t="s">
        <v>618</v>
      </c>
      <c r="E48" s="2186" t="s">
        <v>2086</v>
      </c>
      <c r="F48" s="2187"/>
      <c r="G48" s="1927"/>
      <c r="I48" s="2718" t="s">
        <v>2132</v>
      </c>
      <c r="J48" s="2192"/>
      <c r="K48" s="2728" t="s">
        <v>2138</v>
      </c>
      <c r="L48" s="1778">
        <f ca="1">INDIRECT("'数据-取费表'!f"&amp;$G$1)</f>
        <v>0</v>
      </c>
      <c r="M48" s="3172"/>
      <c r="O48" s="2208" t="s">
        <v>2166</v>
      </c>
      <c r="P48" s="2209" t="s">
        <v>2192</v>
      </c>
      <c r="Q48" s="2210" t="e">
        <f ca="1">C40+J29</f>
        <v>#DIV/0!</v>
      </c>
      <c r="R48" s="2209" t="s">
        <v>2167</v>
      </c>
    </row>
    <row r="49" spans="1:18" s="1897" customFormat="1" ht="18" customHeight="1" thickBot="1">
      <c r="A49" s="759"/>
      <c r="B49" s="760"/>
      <c r="C49" s="761"/>
      <c r="D49" s="762"/>
      <c r="E49" s="757" t="s">
        <v>1539</v>
      </c>
      <c r="F49" s="758">
        <f ca="1">F7</f>
        <v>0</v>
      </c>
      <c r="G49" s="1927"/>
      <c r="H49" s="1930"/>
      <c r="I49" s="2718" t="s">
        <v>2133</v>
      </c>
      <c r="J49" s="2193"/>
      <c r="K49" s="2729" t="s">
        <v>2139</v>
      </c>
      <c r="L49" s="2194"/>
      <c r="M49" s="3172"/>
      <c r="O49" s="2208" t="s">
        <v>2168</v>
      </c>
      <c r="P49" s="2209" t="s">
        <v>2193</v>
      </c>
      <c r="Q49" s="2210" t="e">
        <f ca="1">J60</f>
        <v>#DIV/0!</v>
      </c>
      <c r="R49" s="2209" t="s">
        <v>2169</v>
      </c>
    </row>
    <row r="50" spans="1:18" s="1897" customFormat="1" ht="18" customHeight="1" thickBot="1">
      <c r="A50" s="759"/>
      <c r="B50" s="760"/>
      <c r="C50" s="761"/>
      <c r="D50" s="762"/>
      <c r="E50" s="757" t="s">
        <v>1540</v>
      </c>
      <c r="F50" s="758">
        <f ca="1">F8</f>
        <v>0</v>
      </c>
      <c r="G50" s="1932"/>
      <c r="H50" s="1930"/>
      <c r="I50" s="2718" t="s">
        <v>2134</v>
      </c>
      <c r="J50" s="2725">
        <f>SUMPRODUCT((I63:I65=J47)*(J62:L62=J48)*(J63:L65))</f>
        <v>0</v>
      </c>
      <c r="K50" s="2729" t="s">
        <v>2140</v>
      </c>
      <c r="L50" s="2194"/>
      <c r="M50" s="3172"/>
      <c r="O50" s="2211" t="s">
        <v>2170</v>
      </c>
      <c r="P50" s="2209" t="s">
        <v>2194</v>
      </c>
      <c r="Q50" s="2210">
        <f ca="1">C29</f>
        <v>0</v>
      </c>
      <c r="R50" s="2209" t="s">
        <v>2167</v>
      </c>
    </row>
    <row r="51" spans="1:18" s="1897" customFormat="1" ht="18" customHeight="1" thickBot="1">
      <c r="A51" s="759"/>
      <c r="B51" s="760"/>
      <c r="C51" s="761"/>
      <c r="D51" s="762"/>
      <c r="E51" s="757" t="s">
        <v>622</v>
      </c>
      <c r="F51" s="2181"/>
      <c r="H51" s="1930"/>
      <c r="I51" s="2722" t="s">
        <v>2135</v>
      </c>
      <c r="J51" s="2726">
        <f>IF(J49="",J50,J49+J50-YEAR('数据-取费表'!B2))</f>
        <v>0</v>
      </c>
      <c r="K51" s="2718" t="s">
        <v>2141</v>
      </c>
      <c r="L51" s="2732">
        <f ca="1">ROUND(-PV(INDIRECT("'数据-取费表'!h"&amp;$G$1),J51,(C39-C13*J36),0),0)</f>
        <v>0</v>
      </c>
      <c r="M51" s="3172"/>
      <c r="O51" s="2211" t="s">
        <v>2171</v>
      </c>
      <c r="P51" s="2209" t="s">
        <v>2172</v>
      </c>
      <c r="Q51" s="2212" t="e">
        <f ca="1">J58</f>
        <v>#DIV/0!</v>
      </c>
      <c r="R51" s="2213"/>
    </row>
    <row r="52" spans="1:18" s="1897" customFormat="1" ht="18" customHeight="1" thickBot="1">
      <c r="A52" s="754" t="s">
        <v>2254</v>
      </c>
      <c r="B52" s="2300" t="s">
        <v>2238</v>
      </c>
      <c r="C52" s="772">
        <f ca="1">ROUND(IF(F52="押一",C48/12*F11,IF(F52="押二",C48/12*2*F11,IF(F52="押三",C48/12*3*F11,C53*F11))),0)</f>
        <v>0</v>
      </c>
      <c r="D52" s="2307" t="s">
        <v>2672</v>
      </c>
      <c r="E52" s="2304" t="s">
        <v>2243</v>
      </c>
      <c r="F52" s="2388"/>
      <c r="I52" s="2723" t="s">
        <v>2208</v>
      </c>
      <c r="J52" s="2195"/>
      <c r="K52" s="2723" t="s">
        <v>2207</v>
      </c>
      <c r="L52" s="2195"/>
      <c r="M52" s="3172"/>
      <c r="O52" s="2211" t="s">
        <v>2173</v>
      </c>
      <c r="P52" s="2209" t="s">
        <v>2174</v>
      </c>
      <c r="Q52" s="2212">
        <f>J52</f>
        <v>0</v>
      </c>
      <c r="R52" s="2213"/>
    </row>
    <row r="53" spans="1:18" s="1897" customFormat="1" ht="39.75" customHeight="1" thickBot="1">
      <c r="A53" s="759"/>
      <c r="B53" s="2301" t="s">
        <v>2291</v>
      </c>
      <c r="C53" s="2305"/>
      <c r="D53" s="2307"/>
      <c r="E53" s="2304"/>
      <c r="F53" s="773"/>
      <c r="I53" s="2724" t="s">
        <v>2675</v>
      </c>
      <c r="J53" s="2777">
        <f ca="1">IF(M47="住宅",IF(D1="——",MAX(J51,L48),MAX(J51,L48-'数据-取费表'!B20)),IF(D1="——",MIN(J51,L48),MIN(J51,L48-'数据-取费表'!B20)))</f>
        <v>0</v>
      </c>
      <c r="K53" s="3732" t="s">
        <v>2665</v>
      </c>
      <c r="L53" s="3733"/>
      <c r="M53" s="3172"/>
      <c r="O53" s="2211" t="s">
        <v>2175</v>
      </c>
      <c r="P53" s="2209" t="s">
        <v>2176</v>
      </c>
      <c r="Q53" s="2210">
        <f ca="1">J53</f>
        <v>0</v>
      </c>
      <c r="R53" s="2209" t="s">
        <v>2177</v>
      </c>
    </row>
    <row r="54" spans="1:18" s="1897" customFormat="1" ht="18" customHeight="1" thickBot="1">
      <c r="A54" s="2314" t="s">
        <v>2246</v>
      </c>
      <c r="B54" s="2315" t="s">
        <v>2239</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3"/>
      <c r="M54" s="3172"/>
      <c r="O54" s="2208" t="s">
        <v>2178</v>
      </c>
      <c r="P54" s="2209" t="s">
        <v>2195</v>
      </c>
      <c r="Q54" s="2210" t="e">
        <f ca="1">Q48+Q49</f>
        <v>#DIV/0!</v>
      </c>
      <c r="R54" s="2213" t="s">
        <v>2179</v>
      </c>
    </row>
    <row r="55" spans="1:18" s="1897" customFormat="1" ht="18" customHeight="1" thickTop="1" thickBot="1">
      <c r="A55" s="770">
        <v>2</v>
      </c>
      <c r="B55" s="771" t="s">
        <v>626</v>
      </c>
      <c r="C55" s="772">
        <f ca="1">C13</f>
        <v>0</v>
      </c>
      <c r="D55" s="768"/>
      <c r="E55" s="768"/>
      <c r="F55" s="773"/>
      <c r="I55" s="2735" t="s">
        <v>2142</v>
      </c>
      <c r="J55" s="2707" t="e">
        <f ca="1">ROUND(IF(J47="钢混",J57/J50,1-(1-2%)*(J50-J57)/J50),3)</f>
        <v>#DIV/0!</v>
      </c>
      <c r="K55" s="2736" t="s">
        <v>2143</v>
      </c>
      <c r="L55" s="2196"/>
      <c r="M55" s="3172"/>
      <c r="O55" s="2214" t="s">
        <v>2198</v>
      </c>
      <c r="P55" s="1483"/>
      <c r="Q55" s="1491"/>
      <c r="R55" s="1483"/>
    </row>
    <row r="56" spans="1:18" s="1897" customFormat="1" ht="42.75" customHeight="1" thickBot="1">
      <c r="A56" s="1534"/>
      <c r="B56" s="2066" t="s">
        <v>2092</v>
      </c>
      <c r="C56" s="53">
        <f ca="1">C29</f>
        <v>0</v>
      </c>
      <c r="D56" s="2404"/>
      <c r="E56" s="757"/>
      <c r="F56" s="782"/>
      <c r="I56" s="2737" t="s">
        <v>2144</v>
      </c>
      <c r="J56" s="2747"/>
      <c r="K56" s="2718" t="s">
        <v>2149</v>
      </c>
      <c r="L56" s="1778">
        <f ca="1">IF(L48&lt;J51,"——",L48-J51)</f>
        <v>0</v>
      </c>
      <c r="M56" s="3172"/>
      <c r="O56" s="2205" t="s">
        <v>2162</v>
      </c>
      <c r="P56" s="2206" t="s">
        <v>2163</v>
      </c>
      <c r="Q56" s="2207" t="s">
        <v>2164</v>
      </c>
      <c r="R56" s="2206" t="s">
        <v>2165</v>
      </c>
    </row>
    <row r="57" spans="1:18" s="1897" customFormat="1" ht="28.5" customHeight="1" thickBot="1">
      <c r="A57" s="770" t="s">
        <v>1548</v>
      </c>
      <c r="B57" s="771" t="s">
        <v>633</v>
      </c>
      <c r="C57" s="772">
        <f ca="1">ROUND(C58+C63+C64+C65,0)</f>
        <v>0</v>
      </c>
      <c r="D57" s="26" t="s">
        <v>1550</v>
      </c>
      <c r="E57" s="2405"/>
      <c r="F57" s="56"/>
      <c r="I57" s="2738" t="s">
        <v>2145</v>
      </c>
      <c r="J57" s="2739">
        <f ca="1">IF(OR(M47="住宅",J51&lt;L48,J56="是"),"——",J51-L48)</f>
        <v>0</v>
      </c>
      <c r="K57" s="2718" t="s">
        <v>2150</v>
      </c>
      <c r="L57" s="1778">
        <f ca="1">IF(L48&lt;J51,"——",IF(L55="比较法",L49,IF(L55="基准地价",L50,L51)))</f>
        <v>0</v>
      </c>
      <c r="M57" s="3172"/>
      <c r="O57" s="2208" t="s">
        <v>2166</v>
      </c>
      <c r="P57" s="2209" t="s">
        <v>2196</v>
      </c>
      <c r="Q57" s="2210" t="e">
        <f ca="1">C40+J29</f>
        <v>#DIV/0!</v>
      </c>
      <c r="R57" s="2209" t="s">
        <v>2167</v>
      </c>
    </row>
    <row r="58" spans="1:18" s="1897" customFormat="1" ht="28.5" customHeight="1" thickBot="1">
      <c r="A58" s="1533" t="s">
        <v>1624</v>
      </c>
      <c r="B58" s="757" t="s">
        <v>638</v>
      </c>
      <c r="C58" s="2928">
        <f ca="1">ROUND(IF(AND(项目基本情况!B11="自然人",项目基本情况!B10="北京市"),C48*F58/(1+'数据-取费表'!C42),C59+C60+C61),0)</f>
        <v>0</v>
      </c>
      <c r="D58" s="2403" t="s">
        <v>639</v>
      </c>
      <c r="E58" s="2404" t="s">
        <v>672</v>
      </c>
      <c r="F58" s="2927">
        <f ca="1">IF(项目基本情况!B11="企业","——",IF('数据-取费表'!B10="住宅",IF(F48*F49*F50/12/(1+'数据-取费表'!F30)&gt;100000,4%,2.5%),IF(F48*F49*F50/12/(1+'数据-取费表'!F30)&gt;100000,12%,7%)))</f>
        <v>7.0000000000000007E-2</v>
      </c>
      <c r="I58" s="2738" t="s">
        <v>2146</v>
      </c>
      <c r="J58" s="2708" t="e">
        <f ca="1">IF(J55&lt;0.4,0.4,J55)</f>
        <v>#DIV/0!</v>
      </c>
      <c r="K58" s="2718" t="s">
        <v>2151</v>
      </c>
      <c r="L58" s="1778" t="e">
        <f ca="1">ROUND(POWER(1+L52,L47-L48)*(POWER(1+L52,L48)-1)/(POWER(1+L52,L47)-1),4)</f>
        <v>#DIV/0!</v>
      </c>
      <c r="M58" s="3172"/>
      <c r="O58" s="2208" t="s">
        <v>2168</v>
      </c>
      <c r="P58" s="2209" t="s">
        <v>2199</v>
      </c>
      <c r="Q58" s="2210" t="e">
        <f ca="1">L60</f>
        <v>#DIV/0!</v>
      </c>
      <c r="R58" s="2213" t="s">
        <v>2201</v>
      </c>
    </row>
    <row r="59" spans="1:18" s="1897" customFormat="1" ht="28.5" customHeight="1" thickBot="1">
      <c r="A59" s="1532" t="s">
        <v>1631</v>
      </c>
      <c r="B59" s="757" t="s">
        <v>642</v>
      </c>
      <c r="C59" s="53">
        <f ca="1">ROUND(C47*F59/1.05,1)</f>
        <v>0</v>
      </c>
      <c r="D59" s="2404" t="s">
        <v>1556</v>
      </c>
      <c r="E59" s="757" t="s">
        <v>1547</v>
      </c>
      <c r="F59" s="782">
        <f t="shared" ref="F59:F65" si="0">F32</f>
        <v>0</v>
      </c>
      <c r="I59" s="2738" t="s">
        <v>2147</v>
      </c>
      <c r="J59" s="2739" t="e">
        <f ca="1">IF(OR(M47="住宅",J51&lt;L48,J56="是"),"——",ROUND(C29*J58,0))</f>
        <v>#DIV/0!</v>
      </c>
      <c r="K59" s="2718" t="str">
        <f>IF(D1="——","建筑物剩余耐用年限下的土地年期修正系数Kn","建设期及建筑物耐用年限下的土地年期修正系数Kn")</f>
        <v>建筑物剩余耐用年限下的土地年期修正系数Kn</v>
      </c>
      <c r="L59" s="1778" t="e">
        <f ca="1">ROUND(IF(D1="土地（套用方法）",POWER(1+L52,L47-(J51+'数据-取费表'!B20))*(POWER(1+L52,(J51+'数据-取费表'!B20))-1)/(POWER(1+L52,L47)-1),POWER(1+L52,L47-J51)*(POWER(1+L52,J51)-1)/(POWER(1+L52,L47)-1)),4)</f>
        <v>#DIV/0!</v>
      </c>
      <c r="M59" s="3172"/>
      <c r="O59" s="2211" t="s">
        <v>2170</v>
      </c>
      <c r="P59" s="2209" t="s">
        <v>2200</v>
      </c>
      <c r="Q59" s="2210">
        <f>IF(L55="比较法",L49,IF(L55="基准地价",L50,0))</f>
        <v>0</v>
      </c>
      <c r="R59" s="2209" t="s">
        <v>2167</v>
      </c>
    </row>
    <row r="60" spans="1:18" s="1897" customFormat="1" ht="18" customHeight="1" thickBot="1">
      <c r="A60" s="1532" t="s">
        <v>1632</v>
      </c>
      <c r="B60" s="757" t="s">
        <v>1558</v>
      </c>
      <c r="C60" s="53">
        <f ca="1">IF(D60="按租金收入计税",ROUND(C48*F60/(1+'数据-取费表'!C42),1),IF(D60="按房产原值计税",ROUND(C56*F60*0.7,1),INDIRECT("'数据-取费表'!Aj"&amp;$G$1)))</f>
        <v>0</v>
      </c>
      <c r="D60" s="2404" t="str">
        <f>D33</f>
        <v>按房产原值计税</v>
      </c>
      <c r="E60" s="757" t="s">
        <v>1547</v>
      </c>
      <c r="F60" s="782">
        <f t="shared" si="0"/>
        <v>1.2E-2</v>
      </c>
      <c r="I60" s="2740" t="s">
        <v>2148</v>
      </c>
      <c r="J60" s="2741" t="e">
        <f ca="1">IF(OR(M47="住宅",J51&lt;L48,J56="是"),"0",ROUND(J59/(1+J52)^J53,0))</f>
        <v>#DIV/0!</v>
      </c>
      <c r="K60" s="2742" t="s">
        <v>2153</v>
      </c>
      <c r="L60" s="2741" t="e">
        <f ca="1">IF(OR(M47="住宅",L48&lt;J51),0,ROUND(L57*(L58/L59-1),0))</f>
        <v>#DIV/0!</v>
      </c>
      <c r="M60" s="3172"/>
      <c r="O60" s="2211" t="s">
        <v>2171</v>
      </c>
      <c r="P60" s="2209" t="s">
        <v>2180</v>
      </c>
      <c r="Q60" s="2212">
        <f>L52</f>
        <v>0</v>
      </c>
      <c r="R60" s="2213"/>
    </row>
    <row r="61" spans="1:18" s="1897" customFormat="1" ht="18" customHeight="1" thickBot="1">
      <c r="A61" s="1535" t="s">
        <v>1633</v>
      </c>
      <c r="B61" s="339" t="s">
        <v>650</v>
      </c>
      <c r="C61" s="54">
        <f ca="1">ROUND(F61*F62/10000,1)</f>
        <v>0</v>
      </c>
      <c r="D61" s="786" t="s">
        <v>651</v>
      </c>
      <c r="E61" s="757" t="s">
        <v>652</v>
      </c>
      <c r="F61" s="615">
        <f t="shared" si="0"/>
        <v>0</v>
      </c>
      <c r="K61" s="1923"/>
      <c r="O61" s="2211" t="s">
        <v>2173</v>
      </c>
      <c r="P61" s="2209" t="s">
        <v>2181</v>
      </c>
      <c r="Q61" s="2210" t="e">
        <f ca="1">L58</f>
        <v>#DIV/0!</v>
      </c>
      <c r="R61" s="2213" t="s">
        <v>2182</v>
      </c>
    </row>
    <row r="62" spans="1:18" s="1897" customFormat="1" ht="16.2" thickBot="1">
      <c r="A62" s="787"/>
      <c r="B62" s="766"/>
      <c r="C62" s="69"/>
      <c r="D62" s="788"/>
      <c r="E62" s="757" t="s">
        <v>656</v>
      </c>
      <c r="F62" s="758">
        <f t="shared" ca="1" si="0"/>
        <v>0</v>
      </c>
      <c r="I62" s="2743" t="s">
        <v>2154</v>
      </c>
      <c r="J62" s="2744" t="s">
        <v>2155</v>
      </c>
      <c r="K62" s="2744" t="s">
        <v>2156</v>
      </c>
      <c r="L62" s="2744" t="s">
        <v>2137</v>
      </c>
      <c r="M62" s="2745" t="s">
        <v>2644</v>
      </c>
      <c r="O62" s="2211" t="s">
        <v>2175</v>
      </c>
      <c r="P62" s="2209" t="str">
        <f>K59</f>
        <v>建筑物剩余耐用年限下的土地年期修正系数Kn</v>
      </c>
      <c r="Q62" s="2210" t="e">
        <f ca="1">L59</f>
        <v>#DIV/0!</v>
      </c>
      <c r="R62" s="2213" t="s">
        <v>2184</v>
      </c>
    </row>
    <row r="63" spans="1:18" s="1897" customFormat="1" ht="16.2" thickBot="1">
      <c r="A63" s="1533" t="s">
        <v>1685</v>
      </c>
      <c r="B63" s="757" t="s">
        <v>658</v>
      </c>
      <c r="C63" s="53">
        <f ca="1">ROUND(C56*F63,1)</f>
        <v>0</v>
      </c>
      <c r="D63" s="2404" t="s">
        <v>1603</v>
      </c>
      <c r="E63" s="757" t="s">
        <v>1547</v>
      </c>
      <c r="F63" s="789">
        <f t="shared" ca="1" si="0"/>
        <v>0</v>
      </c>
      <c r="I63" s="2743" t="s">
        <v>2157</v>
      </c>
      <c r="J63" s="2744">
        <v>70</v>
      </c>
      <c r="K63" s="2744">
        <v>50</v>
      </c>
      <c r="L63" s="2744">
        <v>80</v>
      </c>
      <c r="M63" s="2746">
        <v>0.02</v>
      </c>
      <c r="O63" s="2208" t="s">
        <v>2178</v>
      </c>
      <c r="P63" s="2209" t="s">
        <v>2195</v>
      </c>
      <c r="Q63" s="2210" t="e">
        <f ca="1">Q57+Q58</f>
        <v>#DIV/0!</v>
      </c>
      <c r="R63" s="2213" t="s">
        <v>2179</v>
      </c>
    </row>
    <row r="64" spans="1:18" s="1897" customFormat="1" ht="16.2" thickBot="1">
      <c r="A64" s="1533" t="s">
        <v>1686</v>
      </c>
      <c r="B64" s="757" t="s">
        <v>661</v>
      </c>
      <c r="C64" s="53">
        <f ca="1">ROUND(C55*F64,1)</f>
        <v>0</v>
      </c>
      <c r="D64" s="2404" t="s">
        <v>662</v>
      </c>
      <c r="E64" s="757" t="s">
        <v>1547</v>
      </c>
      <c r="F64" s="790">
        <f t="shared" ca="1" si="0"/>
        <v>0</v>
      </c>
      <c r="I64" s="2743" t="s">
        <v>2158</v>
      </c>
      <c r="J64" s="2744">
        <v>50</v>
      </c>
      <c r="K64" s="2744">
        <v>35</v>
      </c>
      <c r="L64" s="2744">
        <v>60</v>
      </c>
      <c r="M64" s="818">
        <v>0</v>
      </c>
      <c r="O64" s="2214" t="s">
        <v>2202</v>
      </c>
      <c r="P64" s="1483"/>
      <c r="Q64" s="1491"/>
      <c r="R64" s="1483"/>
    </row>
    <row r="65" spans="1:18" s="1897" customFormat="1" ht="16.2" thickBot="1">
      <c r="A65" s="1533" t="s">
        <v>1687</v>
      </c>
      <c r="B65" s="757" t="s">
        <v>648</v>
      </c>
      <c r="C65" s="53">
        <f ca="1">ROUND(C47*F65,1)</f>
        <v>0</v>
      </c>
      <c r="D65" s="2404" t="s">
        <v>665</v>
      </c>
      <c r="E65" s="757" t="s">
        <v>1547</v>
      </c>
      <c r="F65" s="767">
        <f t="shared" ca="1" si="0"/>
        <v>0</v>
      </c>
      <c r="I65" s="2743" t="s">
        <v>2159</v>
      </c>
      <c r="J65" s="2744">
        <v>40</v>
      </c>
      <c r="K65" s="2744">
        <v>30</v>
      </c>
      <c r="L65" s="2744">
        <v>50</v>
      </c>
      <c r="M65" s="2746">
        <v>0.02</v>
      </c>
      <c r="O65" s="2205" t="s">
        <v>2162</v>
      </c>
      <c r="P65" s="2206" t="s">
        <v>2163</v>
      </c>
      <c r="Q65" s="2207" t="s">
        <v>2164</v>
      </c>
      <c r="R65" s="2206" t="s">
        <v>2165</v>
      </c>
    </row>
    <row r="66" spans="1:18" s="1897" customFormat="1" ht="24.6" thickBot="1">
      <c r="A66" s="770" t="s">
        <v>1576</v>
      </c>
      <c r="B66" s="2646" t="s">
        <v>2538</v>
      </c>
      <c r="C66" s="772">
        <f ca="1">C47-C57</f>
        <v>0</v>
      </c>
      <c r="D66" s="2403" t="s">
        <v>682</v>
      </c>
      <c r="E66" s="2402"/>
      <c r="F66" s="792"/>
      <c r="K66" s="1923"/>
      <c r="O66" s="2208" t="s">
        <v>2166</v>
      </c>
      <c r="P66" s="2209" t="s">
        <v>2196</v>
      </c>
      <c r="Q66" s="2210" t="e">
        <f ca="1">C40+J29</f>
        <v>#DIV/0!</v>
      </c>
      <c r="R66" s="2209" t="s">
        <v>2167</v>
      </c>
    </row>
    <row r="67" spans="1:18" s="1897" customFormat="1" ht="19.2" thickBot="1">
      <c r="A67" s="754" t="s">
        <v>1580</v>
      </c>
      <c r="B67" s="2067" t="s">
        <v>2091</v>
      </c>
      <c r="C67" s="756" t="e">
        <f ca="1">ROUND(C66*(1-((1+F69)/(1+F67))^F68)/(F67-F69),0)</f>
        <v>#DIV/0!</v>
      </c>
      <c r="D67" s="786" t="s">
        <v>686</v>
      </c>
      <c r="E67" s="757" t="s">
        <v>687</v>
      </c>
      <c r="F67" s="767">
        <f ca="1">F40</f>
        <v>0</v>
      </c>
      <c r="K67" s="1923"/>
      <c r="O67" s="2208" t="s">
        <v>2168</v>
      </c>
      <c r="P67" s="2209" t="s">
        <v>2199</v>
      </c>
      <c r="Q67" s="2210" t="e">
        <f ca="1">L60</f>
        <v>#DIV/0!</v>
      </c>
      <c r="R67" s="2213" t="s">
        <v>2201</v>
      </c>
    </row>
    <row r="68" spans="1:18" ht="20.399999999999999" thickBot="1">
      <c r="A68" s="759"/>
      <c r="B68" s="760"/>
      <c r="C68" s="761"/>
      <c r="D68" s="793" t="s">
        <v>1608</v>
      </c>
      <c r="E68" s="757" t="s">
        <v>1584</v>
      </c>
      <c r="F68" s="794">
        <f ca="1">F41</f>
        <v>0</v>
      </c>
      <c r="O68" s="2211" t="s">
        <v>2170</v>
      </c>
      <c r="P68" s="2209" t="s">
        <v>2200</v>
      </c>
      <c r="Q68" s="2215">
        <f ca="1">L51</f>
        <v>0</v>
      </c>
      <c r="R68" s="2216" t="s">
        <v>2203</v>
      </c>
    </row>
    <row r="69" spans="1:18" ht="19.2" thickBot="1">
      <c r="A69" s="763"/>
      <c r="B69" s="764"/>
      <c r="C69" s="765"/>
      <c r="D69" s="788"/>
      <c r="E69" s="757" t="s">
        <v>692</v>
      </c>
      <c r="F69" s="2181"/>
      <c r="O69" s="2211" t="s">
        <v>2171</v>
      </c>
      <c r="P69" s="2217" t="s">
        <v>2185</v>
      </c>
      <c r="Q69" s="2210">
        <f ca="1">ROUND(Q70-Q71*Q72,0)</f>
        <v>0</v>
      </c>
      <c r="R69" s="2213"/>
    </row>
    <row r="70" spans="1:18" ht="16.2" thickBot="1">
      <c r="A70" s="795" t="s">
        <v>1587</v>
      </c>
      <c r="B70" s="796" t="s">
        <v>1610</v>
      </c>
      <c r="C70" s="797" t="e">
        <f ca="1">ROUND(C67*10000/F70,0)</f>
        <v>#DIV/0!</v>
      </c>
      <c r="D70" s="798" t="s">
        <v>1611</v>
      </c>
      <c r="E70" s="799" t="s">
        <v>1612</v>
      </c>
      <c r="F70" s="800">
        <f ca="1">F43</f>
        <v>0</v>
      </c>
      <c r="O70" s="2211" t="s">
        <v>2186</v>
      </c>
      <c r="P70" s="2217" t="s">
        <v>2187</v>
      </c>
      <c r="Q70" s="2210">
        <f ca="1">C39</f>
        <v>0</v>
      </c>
      <c r="R70" s="2209" t="s">
        <v>2167</v>
      </c>
    </row>
    <row r="71" spans="1:18" ht="16.2" thickBot="1">
      <c r="O71" s="2211" t="s">
        <v>2188</v>
      </c>
      <c r="P71" s="2217" t="s">
        <v>2189</v>
      </c>
      <c r="Q71" s="2210">
        <f ca="1">C13</f>
        <v>0</v>
      </c>
      <c r="R71" s="2209" t="s">
        <v>2167</v>
      </c>
    </row>
    <row r="72" spans="1:18" ht="16.2" thickBot="1">
      <c r="O72" s="2211" t="s">
        <v>2190</v>
      </c>
      <c r="P72" s="2217" t="s">
        <v>2191</v>
      </c>
      <c r="Q72" s="2212">
        <f ca="1">J36</f>
        <v>0</v>
      </c>
      <c r="R72" s="2213"/>
    </row>
    <row r="73" spans="1:18" ht="16.2" thickBot="1">
      <c r="O73" s="2211" t="s">
        <v>2173</v>
      </c>
      <c r="P73" s="2209" t="s">
        <v>2180</v>
      </c>
      <c r="Q73" s="2212">
        <f>L52</f>
        <v>0</v>
      </c>
      <c r="R73" s="2213"/>
    </row>
    <row r="74" spans="1:18" ht="19.2" thickBot="1">
      <c r="O74" s="2211" t="s">
        <v>2175</v>
      </c>
      <c r="P74" s="2209" t="s">
        <v>2181</v>
      </c>
      <c r="Q74" s="2210" t="e">
        <f ca="1">L58</f>
        <v>#DIV/0!</v>
      </c>
      <c r="R74" s="2213" t="s">
        <v>2182</v>
      </c>
    </row>
    <row r="75" spans="1:18" ht="16.2" thickBot="1">
      <c r="O75" s="2211" t="s">
        <v>2204</v>
      </c>
      <c r="P75" s="2209" t="str">
        <f>K59</f>
        <v>建筑物剩余耐用年限下的土地年期修正系数Kn</v>
      </c>
      <c r="Q75" s="2210" t="e">
        <f ca="1">L59</f>
        <v>#DIV/0!</v>
      </c>
      <c r="R75" s="2213" t="s">
        <v>2184</v>
      </c>
    </row>
    <row r="76" spans="1:18" ht="16.2" thickBot="1">
      <c r="O76" s="2208" t="s">
        <v>2178</v>
      </c>
      <c r="P76" s="2209" t="s">
        <v>2195</v>
      </c>
      <c r="Q76" s="2210" t="e">
        <f ca="1">Q66+Q67</f>
        <v>#DIV/0!</v>
      </c>
      <c r="R76" s="2213"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236" customWidth="1"/>
    <col min="2" max="2" width="8.88671875" style="3236"/>
    <col min="3" max="5" width="12.88671875" style="3236" customWidth="1"/>
    <col min="6" max="6" width="47.44140625" style="3236" customWidth="1"/>
    <col min="7" max="7" width="13" style="3396" customWidth="1"/>
    <col min="8" max="8" width="8.88671875" style="3230"/>
    <col min="9" max="9" width="8.88671875" style="3231"/>
    <col min="10" max="10" width="5.77734375" style="3397" customWidth="1"/>
    <col min="11" max="11" width="11.77734375" style="3397" customWidth="1"/>
    <col min="12" max="13" width="10.77734375" style="3397" customWidth="1"/>
    <col min="14" max="14" width="10" style="3397" customWidth="1"/>
    <col min="15" max="16" width="10.44140625" style="3397" bestFit="1" customWidth="1"/>
    <col min="17" max="17" width="10" style="3397" customWidth="1"/>
    <col min="18" max="18" width="10.109375" style="3397" customWidth="1"/>
    <col min="19" max="19" width="10" style="3397" customWidth="1"/>
    <col min="20" max="20" width="26.109375" style="3397" customWidth="1"/>
    <col min="21" max="21" width="8.88671875" style="3397"/>
    <col min="22" max="22" width="8.88671875" style="3231"/>
    <col min="23" max="256" width="8.88671875" style="3236"/>
    <col min="257" max="257" width="9.44140625" style="3236" customWidth="1"/>
    <col min="258" max="258" width="8.88671875" style="3236"/>
    <col min="259" max="261" width="12.88671875" style="3236" customWidth="1"/>
    <col min="262" max="262" width="47.44140625" style="3236" customWidth="1"/>
    <col min="263" max="263" width="13" style="3236" customWidth="1"/>
    <col min="264" max="265" width="8.88671875" style="3236"/>
    <col min="266" max="266" width="5.77734375" style="3236" customWidth="1"/>
    <col min="267" max="267" width="11.77734375" style="3236" customWidth="1"/>
    <col min="268" max="269" width="10.77734375" style="3236" customWidth="1"/>
    <col min="270" max="270" width="10" style="3236" customWidth="1"/>
    <col min="271" max="272" width="10.44140625" style="3236" bestFit="1" customWidth="1"/>
    <col min="273" max="273" width="10" style="3236" customWidth="1"/>
    <col min="274" max="274" width="10.109375" style="3236" customWidth="1"/>
    <col min="275" max="275" width="10" style="3236" customWidth="1"/>
    <col min="276" max="276" width="26.109375" style="3236" customWidth="1"/>
    <col min="277" max="512" width="8.88671875" style="3236"/>
    <col min="513" max="513" width="9.44140625" style="3236" customWidth="1"/>
    <col min="514" max="514" width="8.88671875" style="3236"/>
    <col min="515" max="517" width="12.88671875" style="3236" customWidth="1"/>
    <col min="518" max="518" width="47.44140625" style="3236" customWidth="1"/>
    <col min="519" max="519" width="13" style="3236" customWidth="1"/>
    <col min="520" max="521" width="8.88671875" style="3236"/>
    <col min="522" max="522" width="5.77734375" style="3236" customWidth="1"/>
    <col min="523" max="523" width="11.77734375" style="3236" customWidth="1"/>
    <col min="524" max="525" width="10.77734375" style="3236" customWidth="1"/>
    <col min="526" max="526" width="10" style="3236" customWidth="1"/>
    <col min="527" max="528" width="10.44140625" style="3236" bestFit="1" customWidth="1"/>
    <col min="529" max="529" width="10" style="3236" customWidth="1"/>
    <col min="530" max="530" width="10.109375" style="3236" customWidth="1"/>
    <col min="531" max="531" width="10" style="3236" customWidth="1"/>
    <col min="532" max="532" width="26.109375" style="3236" customWidth="1"/>
    <col min="533" max="768" width="8.88671875" style="3236"/>
    <col min="769" max="769" width="9.44140625" style="3236" customWidth="1"/>
    <col min="770" max="770" width="8.88671875" style="3236"/>
    <col min="771" max="773" width="12.88671875" style="3236" customWidth="1"/>
    <col min="774" max="774" width="47.44140625" style="3236" customWidth="1"/>
    <col min="775" max="775" width="13" style="3236" customWidth="1"/>
    <col min="776" max="777" width="8.88671875" style="3236"/>
    <col min="778" max="778" width="5.77734375" style="3236" customWidth="1"/>
    <col min="779" max="779" width="11.77734375" style="3236" customWidth="1"/>
    <col min="780" max="781" width="10.77734375" style="3236" customWidth="1"/>
    <col min="782" max="782" width="10" style="3236" customWidth="1"/>
    <col min="783" max="784" width="10.44140625" style="3236" bestFit="1" customWidth="1"/>
    <col min="785" max="785" width="10" style="3236" customWidth="1"/>
    <col min="786" max="786" width="10.109375" style="3236" customWidth="1"/>
    <col min="787" max="787" width="10" style="3236" customWidth="1"/>
    <col min="788" max="788" width="26.109375" style="3236" customWidth="1"/>
    <col min="789" max="1024" width="8.88671875" style="3236"/>
    <col min="1025" max="1025" width="9.44140625" style="3236" customWidth="1"/>
    <col min="1026" max="1026" width="8.88671875" style="3236"/>
    <col min="1027" max="1029" width="12.88671875" style="3236" customWidth="1"/>
    <col min="1030" max="1030" width="47.44140625" style="3236" customWidth="1"/>
    <col min="1031" max="1031" width="13" style="3236" customWidth="1"/>
    <col min="1032" max="1033" width="8.88671875" style="3236"/>
    <col min="1034" max="1034" width="5.77734375" style="3236" customWidth="1"/>
    <col min="1035" max="1035" width="11.77734375" style="3236" customWidth="1"/>
    <col min="1036" max="1037" width="10.77734375" style="3236" customWidth="1"/>
    <col min="1038" max="1038" width="10" style="3236" customWidth="1"/>
    <col min="1039" max="1040" width="10.44140625" style="3236" bestFit="1" customWidth="1"/>
    <col min="1041" max="1041" width="10" style="3236" customWidth="1"/>
    <col min="1042" max="1042" width="10.109375" style="3236" customWidth="1"/>
    <col min="1043" max="1043" width="10" style="3236" customWidth="1"/>
    <col min="1044" max="1044" width="26.109375" style="3236" customWidth="1"/>
    <col min="1045" max="1280" width="8.88671875" style="3236"/>
    <col min="1281" max="1281" width="9.44140625" style="3236" customWidth="1"/>
    <col min="1282" max="1282" width="8.88671875" style="3236"/>
    <col min="1283" max="1285" width="12.88671875" style="3236" customWidth="1"/>
    <col min="1286" max="1286" width="47.44140625" style="3236" customWidth="1"/>
    <col min="1287" max="1287" width="13" style="3236" customWidth="1"/>
    <col min="1288" max="1289" width="8.88671875" style="3236"/>
    <col min="1290" max="1290" width="5.77734375" style="3236" customWidth="1"/>
    <col min="1291" max="1291" width="11.77734375" style="3236" customWidth="1"/>
    <col min="1292" max="1293" width="10.77734375" style="3236" customWidth="1"/>
    <col min="1294" max="1294" width="10" style="3236" customWidth="1"/>
    <col min="1295" max="1296" width="10.44140625" style="3236" bestFit="1" customWidth="1"/>
    <col min="1297" max="1297" width="10" style="3236" customWidth="1"/>
    <col min="1298" max="1298" width="10.109375" style="3236" customWidth="1"/>
    <col min="1299" max="1299" width="10" style="3236" customWidth="1"/>
    <col min="1300" max="1300" width="26.109375" style="3236" customWidth="1"/>
    <col min="1301" max="1536" width="8.88671875" style="3236"/>
    <col min="1537" max="1537" width="9.44140625" style="3236" customWidth="1"/>
    <col min="1538" max="1538" width="8.88671875" style="3236"/>
    <col min="1539" max="1541" width="12.88671875" style="3236" customWidth="1"/>
    <col min="1542" max="1542" width="47.44140625" style="3236" customWidth="1"/>
    <col min="1543" max="1543" width="13" style="3236" customWidth="1"/>
    <col min="1544" max="1545" width="8.88671875" style="3236"/>
    <col min="1546" max="1546" width="5.77734375" style="3236" customWidth="1"/>
    <col min="1547" max="1547" width="11.77734375" style="3236" customWidth="1"/>
    <col min="1548" max="1549" width="10.77734375" style="3236" customWidth="1"/>
    <col min="1550" max="1550" width="10" style="3236" customWidth="1"/>
    <col min="1551" max="1552" width="10.44140625" style="3236" bestFit="1" customWidth="1"/>
    <col min="1553" max="1553" width="10" style="3236" customWidth="1"/>
    <col min="1554" max="1554" width="10.109375" style="3236" customWidth="1"/>
    <col min="1555" max="1555" width="10" style="3236" customWidth="1"/>
    <col min="1556" max="1556" width="26.109375" style="3236" customWidth="1"/>
    <col min="1557" max="1792" width="8.88671875" style="3236"/>
    <col min="1793" max="1793" width="9.44140625" style="3236" customWidth="1"/>
    <col min="1794" max="1794" width="8.88671875" style="3236"/>
    <col min="1795" max="1797" width="12.88671875" style="3236" customWidth="1"/>
    <col min="1798" max="1798" width="47.44140625" style="3236" customWidth="1"/>
    <col min="1799" max="1799" width="13" style="3236" customWidth="1"/>
    <col min="1800" max="1801" width="8.88671875" style="3236"/>
    <col min="1802" max="1802" width="5.77734375" style="3236" customWidth="1"/>
    <col min="1803" max="1803" width="11.77734375" style="3236" customWidth="1"/>
    <col min="1804" max="1805" width="10.77734375" style="3236" customWidth="1"/>
    <col min="1806" max="1806" width="10" style="3236" customWidth="1"/>
    <col min="1807" max="1808" width="10.44140625" style="3236" bestFit="1" customWidth="1"/>
    <col min="1809" max="1809" width="10" style="3236" customWidth="1"/>
    <col min="1810" max="1810" width="10.109375" style="3236" customWidth="1"/>
    <col min="1811" max="1811" width="10" style="3236" customWidth="1"/>
    <col min="1812" max="1812" width="26.109375" style="3236" customWidth="1"/>
    <col min="1813" max="2048" width="8.88671875" style="3236"/>
    <col min="2049" max="2049" width="9.44140625" style="3236" customWidth="1"/>
    <col min="2050" max="2050" width="8.88671875" style="3236"/>
    <col min="2051" max="2053" width="12.88671875" style="3236" customWidth="1"/>
    <col min="2054" max="2054" width="47.44140625" style="3236" customWidth="1"/>
    <col min="2055" max="2055" width="13" style="3236" customWidth="1"/>
    <col min="2056" max="2057" width="8.88671875" style="3236"/>
    <col min="2058" max="2058" width="5.77734375" style="3236" customWidth="1"/>
    <col min="2059" max="2059" width="11.77734375" style="3236" customWidth="1"/>
    <col min="2060" max="2061" width="10.77734375" style="3236" customWidth="1"/>
    <col min="2062" max="2062" width="10" style="3236" customWidth="1"/>
    <col min="2063" max="2064" width="10.44140625" style="3236" bestFit="1" customWidth="1"/>
    <col min="2065" max="2065" width="10" style="3236" customWidth="1"/>
    <col min="2066" max="2066" width="10.109375" style="3236" customWidth="1"/>
    <col min="2067" max="2067" width="10" style="3236" customWidth="1"/>
    <col min="2068" max="2068" width="26.109375" style="3236" customWidth="1"/>
    <col min="2069" max="2304" width="8.88671875" style="3236"/>
    <col min="2305" max="2305" width="9.44140625" style="3236" customWidth="1"/>
    <col min="2306" max="2306" width="8.88671875" style="3236"/>
    <col min="2307" max="2309" width="12.88671875" style="3236" customWidth="1"/>
    <col min="2310" max="2310" width="47.44140625" style="3236" customWidth="1"/>
    <col min="2311" max="2311" width="13" style="3236" customWidth="1"/>
    <col min="2312" max="2313" width="8.88671875" style="3236"/>
    <col min="2314" max="2314" width="5.77734375" style="3236" customWidth="1"/>
    <col min="2315" max="2315" width="11.77734375" style="3236" customWidth="1"/>
    <col min="2316" max="2317" width="10.77734375" style="3236" customWidth="1"/>
    <col min="2318" max="2318" width="10" style="3236" customWidth="1"/>
    <col min="2319" max="2320" width="10.44140625" style="3236" bestFit="1" customWidth="1"/>
    <col min="2321" max="2321" width="10" style="3236" customWidth="1"/>
    <col min="2322" max="2322" width="10.109375" style="3236" customWidth="1"/>
    <col min="2323" max="2323" width="10" style="3236" customWidth="1"/>
    <col min="2324" max="2324" width="26.109375" style="3236" customWidth="1"/>
    <col min="2325" max="2560" width="8.88671875" style="3236"/>
    <col min="2561" max="2561" width="9.44140625" style="3236" customWidth="1"/>
    <col min="2562" max="2562" width="8.88671875" style="3236"/>
    <col min="2563" max="2565" width="12.88671875" style="3236" customWidth="1"/>
    <col min="2566" max="2566" width="47.44140625" style="3236" customWidth="1"/>
    <col min="2567" max="2567" width="13" style="3236" customWidth="1"/>
    <col min="2568" max="2569" width="8.88671875" style="3236"/>
    <col min="2570" max="2570" width="5.77734375" style="3236" customWidth="1"/>
    <col min="2571" max="2571" width="11.77734375" style="3236" customWidth="1"/>
    <col min="2572" max="2573" width="10.77734375" style="3236" customWidth="1"/>
    <col min="2574" max="2574" width="10" style="3236" customWidth="1"/>
    <col min="2575" max="2576" width="10.44140625" style="3236" bestFit="1" customWidth="1"/>
    <col min="2577" max="2577" width="10" style="3236" customWidth="1"/>
    <col min="2578" max="2578" width="10.109375" style="3236" customWidth="1"/>
    <col min="2579" max="2579" width="10" style="3236" customWidth="1"/>
    <col min="2580" max="2580" width="26.109375" style="3236" customWidth="1"/>
    <col min="2581" max="2816" width="8.88671875" style="3236"/>
    <col min="2817" max="2817" width="9.44140625" style="3236" customWidth="1"/>
    <col min="2818" max="2818" width="8.88671875" style="3236"/>
    <col min="2819" max="2821" width="12.88671875" style="3236" customWidth="1"/>
    <col min="2822" max="2822" width="47.44140625" style="3236" customWidth="1"/>
    <col min="2823" max="2823" width="13" style="3236" customWidth="1"/>
    <col min="2824" max="2825" width="8.88671875" style="3236"/>
    <col min="2826" max="2826" width="5.77734375" style="3236" customWidth="1"/>
    <col min="2827" max="2827" width="11.77734375" style="3236" customWidth="1"/>
    <col min="2828" max="2829" width="10.77734375" style="3236" customWidth="1"/>
    <col min="2830" max="2830" width="10" style="3236" customWidth="1"/>
    <col min="2831" max="2832" width="10.44140625" style="3236" bestFit="1" customWidth="1"/>
    <col min="2833" max="2833" width="10" style="3236" customWidth="1"/>
    <col min="2834" max="2834" width="10.109375" style="3236" customWidth="1"/>
    <col min="2835" max="2835" width="10" style="3236" customWidth="1"/>
    <col min="2836" max="2836" width="26.109375" style="3236" customWidth="1"/>
    <col min="2837" max="3072" width="8.88671875" style="3236"/>
    <col min="3073" max="3073" width="9.44140625" style="3236" customWidth="1"/>
    <col min="3074" max="3074" width="8.88671875" style="3236"/>
    <col min="3075" max="3077" width="12.88671875" style="3236" customWidth="1"/>
    <col min="3078" max="3078" width="47.44140625" style="3236" customWidth="1"/>
    <col min="3079" max="3079" width="13" style="3236" customWidth="1"/>
    <col min="3080" max="3081" width="8.88671875" style="3236"/>
    <col min="3082" max="3082" width="5.77734375" style="3236" customWidth="1"/>
    <col min="3083" max="3083" width="11.77734375" style="3236" customWidth="1"/>
    <col min="3084" max="3085" width="10.77734375" style="3236" customWidth="1"/>
    <col min="3086" max="3086" width="10" style="3236" customWidth="1"/>
    <col min="3087" max="3088" width="10.44140625" style="3236" bestFit="1" customWidth="1"/>
    <col min="3089" max="3089" width="10" style="3236" customWidth="1"/>
    <col min="3090" max="3090" width="10.109375" style="3236" customWidth="1"/>
    <col min="3091" max="3091" width="10" style="3236" customWidth="1"/>
    <col min="3092" max="3092" width="26.109375" style="3236" customWidth="1"/>
    <col min="3093" max="3328" width="8.88671875" style="3236"/>
    <col min="3329" max="3329" width="9.44140625" style="3236" customWidth="1"/>
    <col min="3330" max="3330" width="8.88671875" style="3236"/>
    <col min="3331" max="3333" width="12.88671875" style="3236" customWidth="1"/>
    <col min="3334" max="3334" width="47.44140625" style="3236" customWidth="1"/>
    <col min="3335" max="3335" width="13" style="3236" customWidth="1"/>
    <col min="3336" max="3337" width="8.88671875" style="3236"/>
    <col min="3338" max="3338" width="5.77734375" style="3236" customWidth="1"/>
    <col min="3339" max="3339" width="11.77734375" style="3236" customWidth="1"/>
    <col min="3340" max="3341" width="10.77734375" style="3236" customWidth="1"/>
    <col min="3342" max="3342" width="10" style="3236" customWidth="1"/>
    <col min="3343" max="3344" width="10.44140625" style="3236" bestFit="1" customWidth="1"/>
    <col min="3345" max="3345" width="10" style="3236" customWidth="1"/>
    <col min="3346" max="3346" width="10.109375" style="3236" customWidth="1"/>
    <col min="3347" max="3347" width="10" style="3236" customWidth="1"/>
    <col min="3348" max="3348" width="26.109375" style="3236" customWidth="1"/>
    <col min="3349" max="3584" width="8.88671875" style="3236"/>
    <col min="3585" max="3585" width="9.44140625" style="3236" customWidth="1"/>
    <col min="3586" max="3586" width="8.88671875" style="3236"/>
    <col min="3587" max="3589" width="12.88671875" style="3236" customWidth="1"/>
    <col min="3590" max="3590" width="47.44140625" style="3236" customWidth="1"/>
    <col min="3591" max="3591" width="13" style="3236" customWidth="1"/>
    <col min="3592" max="3593" width="8.88671875" style="3236"/>
    <col min="3594" max="3594" width="5.77734375" style="3236" customWidth="1"/>
    <col min="3595" max="3595" width="11.77734375" style="3236" customWidth="1"/>
    <col min="3596" max="3597" width="10.77734375" style="3236" customWidth="1"/>
    <col min="3598" max="3598" width="10" style="3236" customWidth="1"/>
    <col min="3599" max="3600" width="10.44140625" style="3236" bestFit="1" customWidth="1"/>
    <col min="3601" max="3601" width="10" style="3236" customWidth="1"/>
    <col min="3602" max="3602" width="10.109375" style="3236" customWidth="1"/>
    <col min="3603" max="3603" width="10" style="3236" customWidth="1"/>
    <col min="3604" max="3604" width="26.109375" style="3236" customWidth="1"/>
    <col min="3605" max="3840" width="8.88671875" style="3236"/>
    <col min="3841" max="3841" width="9.44140625" style="3236" customWidth="1"/>
    <col min="3842" max="3842" width="8.88671875" style="3236"/>
    <col min="3843" max="3845" width="12.88671875" style="3236" customWidth="1"/>
    <col min="3846" max="3846" width="47.44140625" style="3236" customWidth="1"/>
    <col min="3847" max="3847" width="13" style="3236" customWidth="1"/>
    <col min="3848" max="3849" width="8.88671875" style="3236"/>
    <col min="3850" max="3850" width="5.77734375" style="3236" customWidth="1"/>
    <col min="3851" max="3851" width="11.77734375" style="3236" customWidth="1"/>
    <col min="3852" max="3853" width="10.77734375" style="3236" customWidth="1"/>
    <col min="3854" max="3854" width="10" style="3236" customWidth="1"/>
    <col min="3855" max="3856" width="10.44140625" style="3236" bestFit="1" customWidth="1"/>
    <col min="3857" max="3857" width="10" style="3236" customWidth="1"/>
    <col min="3858" max="3858" width="10.109375" style="3236" customWidth="1"/>
    <col min="3859" max="3859" width="10" style="3236" customWidth="1"/>
    <col min="3860" max="3860" width="26.109375" style="3236" customWidth="1"/>
    <col min="3861" max="4096" width="8.88671875" style="3236"/>
    <col min="4097" max="4097" width="9.44140625" style="3236" customWidth="1"/>
    <col min="4098" max="4098" width="8.88671875" style="3236"/>
    <col min="4099" max="4101" width="12.88671875" style="3236" customWidth="1"/>
    <col min="4102" max="4102" width="47.44140625" style="3236" customWidth="1"/>
    <col min="4103" max="4103" width="13" style="3236" customWidth="1"/>
    <col min="4104" max="4105" width="8.88671875" style="3236"/>
    <col min="4106" max="4106" width="5.77734375" style="3236" customWidth="1"/>
    <col min="4107" max="4107" width="11.77734375" style="3236" customWidth="1"/>
    <col min="4108" max="4109" width="10.77734375" style="3236" customWidth="1"/>
    <col min="4110" max="4110" width="10" style="3236" customWidth="1"/>
    <col min="4111" max="4112" width="10.44140625" style="3236" bestFit="1" customWidth="1"/>
    <col min="4113" max="4113" width="10" style="3236" customWidth="1"/>
    <col min="4114" max="4114" width="10.109375" style="3236" customWidth="1"/>
    <col min="4115" max="4115" width="10" style="3236" customWidth="1"/>
    <col min="4116" max="4116" width="26.109375" style="3236" customWidth="1"/>
    <col min="4117" max="4352" width="8.88671875" style="3236"/>
    <col min="4353" max="4353" width="9.44140625" style="3236" customWidth="1"/>
    <col min="4354" max="4354" width="8.88671875" style="3236"/>
    <col min="4355" max="4357" width="12.88671875" style="3236" customWidth="1"/>
    <col min="4358" max="4358" width="47.44140625" style="3236" customWidth="1"/>
    <col min="4359" max="4359" width="13" style="3236" customWidth="1"/>
    <col min="4360" max="4361" width="8.88671875" style="3236"/>
    <col min="4362" max="4362" width="5.77734375" style="3236" customWidth="1"/>
    <col min="4363" max="4363" width="11.77734375" style="3236" customWidth="1"/>
    <col min="4364" max="4365" width="10.77734375" style="3236" customWidth="1"/>
    <col min="4366" max="4366" width="10" style="3236" customWidth="1"/>
    <col min="4367" max="4368" width="10.44140625" style="3236" bestFit="1" customWidth="1"/>
    <col min="4369" max="4369" width="10" style="3236" customWidth="1"/>
    <col min="4370" max="4370" width="10.109375" style="3236" customWidth="1"/>
    <col min="4371" max="4371" width="10" style="3236" customWidth="1"/>
    <col min="4372" max="4372" width="26.109375" style="3236" customWidth="1"/>
    <col min="4373" max="4608" width="8.88671875" style="3236"/>
    <col min="4609" max="4609" width="9.44140625" style="3236" customWidth="1"/>
    <col min="4610" max="4610" width="8.88671875" style="3236"/>
    <col min="4611" max="4613" width="12.88671875" style="3236" customWidth="1"/>
    <col min="4614" max="4614" width="47.44140625" style="3236" customWidth="1"/>
    <col min="4615" max="4615" width="13" style="3236" customWidth="1"/>
    <col min="4616" max="4617" width="8.88671875" style="3236"/>
    <col min="4618" max="4618" width="5.77734375" style="3236" customWidth="1"/>
    <col min="4619" max="4619" width="11.77734375" style="3236" customWidth="1"/>
    <col min="4620" max="4621" width="10.77734375" style="3236" customWidth="1"/>
    <col min="4622" max="4622" width="10" style="3236" customWidth="1"/>
    <col min="4623" max="4624" width="10.44140625" style="3236" bestFit="1" customWidth="1"/>
    <col min="4625" max="4625" width="10" style="3236" customWidth="1"/>
    <col min="4626" max="4626" width="10.109375" style="3236" customWidth="1"/>
    <col min="4627" max="4627" width="10" style="3236" customWidth="1"/>
    <col min="4628" max="4628" width="26.109375" style="3236" customWidth="1"/>
    <col min="4629" max="4864" width="8.88671875" style="3236"/>
    <col min="4865" max="4865" width="9.44140625" style="3236" customWidth="1"/>
    <col min="4866" max="4866" width="8.88671875" style="3236"/>
    <col min="4867" max="4869" width="12.88671875" style="3236" customWidth="1"/>
    <col min="4870" max="4870" width="47.44140625" style="3236" customWidth="1"/>
    <col min="4871" max="4871" width="13" style="3236" customWidth="1"/>
    <col min="4872" max="4873" width="8.88671875" style="3236"/>
    <col min="4874" max="4874" width="5.77734375" style="3236" customWidth="1"/>
    <col min="4875" max="4875" width="11.77734375" style="3236" customWidth="1"/>
    <col min="4876" max="4877" width="10.77734375" style="3236" customWidth="1"/>
    <col min="4878" max="4878" width="10" style="3236" customWidth="1"/>
    <col min="4879" max="4880" width="10.44140625" style="3236" bestFit="1" customWidth="1"/>
    <col min="4881" max="4881" width="10" style="3236" customWidth="1"/>
    <col min="4882" max="4882" width="10.109375" style="3236" customWidth="1"/>
    <col min="4883" max="4883" width="10" style="3236" customWidth="1"/>
    <col min="4884" max="4884" width="26.109375" style="3236" customWidth="1"/>
    <col min="4885" max="5120" width="8.88671875" style="3236"/>
    <col min="5121" max="5121" width="9.44140625" style="3236" customWidth="1"/>
    <col min="5122" max="5122" width="8.88671875" style="3236"/>
    <col min="5123" max="5125" width="12.88671875" style="3236" customWidth="1"/>
    <col min="5126" max="5126" width="47.44140625" style="3236" customWidth="1"/>
    <col min="5127" max="5127" width="13" style="3236" customWidth="1"/>
    <col min="5128" max="5129" width="8.88671875" style="3236"/>
    <col min="5130" max="5130" width="5.77734375" style="3236" customWidth="1"/>
    <col min="5131" max="5131" width="11.77734375" style="3236" customWidth="1"/>
    <col min="5132" max="5133" width="10.77734375" style="3236" customWidth="1"/>
    <col min="5134" max="5134" width="10" style="3236" customWidth="1"/>
    <col min="5135" max="5136" width="10.44140625" style="3236" bestFit="1" customWidth="1"/>
    <col min="5137" max="5137" width="10" style="3236" customWidth="1"/>
    <col min="5138" max="5138" width="10.109375" style="3236" customWidth="1"/>
    <col min="5139" max="5139" width="10" style="3236" customWidth="1"/>
    <col min="5140" max="5140" width="26.109375" style="3236" customWidth="1"/>
    <col min="5141" max="5376" width="8.88671875" style="3236"/>
    <col min="5377" max="5377" width="9.44140625" style="3236" customWidth="1"/>
    <col min="5378" max="5378" width="8.88671875" style="3236"/>
    <col min="5379" max="5381" width="12.88671875" style="3236" customWidth="1"/>
    <col min="5382" max="5382" width="47.44140625" style="3236" customWidth="1"/>
    <col min="5383" max="5383" width="13" style="3236" customWidth="1"/>
    <col min="5384" max="5385" width="8.88671875" style="3236"/>
    <col min="5386" max="5386" width="5.77734375" style="3236" customWidth="1"/>
    <col min="5387" max="5387" width="11.77734375" style="3236" customWidth="1"/>
    <col min="5388" max="5389" width="10.77734375" style="3236" customWidth="1"/>
    <col min="5390" max="5390" width="10" style="3236" customWidth="1"/>
    <col min="5391" max="5392" width="10.44140625" style="3236" bestFit="1" customWidth="1"/>
    <col min="5393" max="5393" width="10" style="3236" customWidth="1"/>
    <col min="5394" max="5394" width="10.109375" style="3236" customWidth="1"/>
    <col min="5395" max="5395" width="10" style="3236" customWidth="1"/>
    <col min="5396" max="5396" width="26.109375" style="3236" customWidth="1"/>
    <col min="5397" max="5632" width="8.88671875" style="3236"/>
    <col min="5633" max="5633" width="9.44140625" style="3236" customWidth="1"/>
    <col min="5634" max="5634" width="8.88671875" style="3236"/>
    <col min="5635" max="5637" width="12.88671875" style="3236" customWidth="1"/>
    <col min="5638" max="5638" width="47.44140625" style="3236" customWidth="1"/>
    <col min="5639" max="5639" width="13" style="3236" customWidth="1"/>
    <col min="5640" max="5641" width="8.88671875" style="3236"/>
    <col min="5642" max="5642" width="5.77734375" style="3236" customWidth="1"/>
    <col min="5643" max="5643" width="11.77734375" style="3236" customWidth="1"/>
    <col min="5644" max="5645" width="10.77734375" style="3236" customWidth="1"/>
    <col min="5646" max="5646" width="10" style="3236" customWidth="1"/>
    <col min="5647" max="5648" width="10.44140625" style="3236" bestFit="1" customWidth="1"/>
    <col min="5649" max="5649" width="10" style="3236" customWidth="1"/>
    <col min="5650" max="5650" width="10.109375" style="3236" customWidth="1"/>
    <col min="5651" max="5651" width="10" style="3236" customWidth="1"/>
    <col min="5652" max="5652" width="26.109375" style="3236" customWidth="1"/>
    <col min="5653" max="5888" width="8.88671875" style="3236"/>
    <col min="5889" max="5889" width="9.44140625" style="3236" customWidth="1"/>
    <col min="5890" max="5890" width="8.88671875" style="3236"/>
    <col min="5891" max="5893" width="12.88671875" style="3236" customWidth="1"/>
    <col min="5894" max="5894" width="47.44140625" style="3236" customWidth="1"/>
    <col min="5895" max="5895" width="13" style="3236" customWidth="1"/>
    <col min="5896" max="5897" width="8.88671875" style="3236"/>
    <col min="5898" max="5898" width="5.77734375" style="3236" customWidth="1"/>
    <col min="5899" max="5899" width="11.77734375" style="3236" customWidth="1"/>
    <col min="5900" max="5901" width="10.77734375" style="3236" customWidth="1"/>
    <col min="5902" max="5902" width="10" style="3236" customWidth="1"/>
    <col min="5903" max="5904" width="10.44140625" style="3236" bestFit="1" customWidth="1"/>
    <col min="5905" max="5905" width="10" style="3236" customWidth="1"/>
    <col min="5906" max="5906" width="10.109375" style="3236" customWidth="1"/>
    <col min="5907" max="5907" width="10" style="3236" customWidth="1"/>
    <col min="5908" max="5908" width="26.109375" style="3236" customWidth="1"/>
    <col min="5909" max="6144" width="8.88671875" style="3236"/>
    <col min="6145" max="6145" width="9.44140625" style="3236" customWidth="1"/>
    <col min="6146" max="6146" width="8.88671875" style="3236"/>
    <col min="6147" max="6149" width="12.88671875" style="3236" customWidth="1"/>
    <col min="6150" max="6150" width="47.44140625" style="3236" customWidth="1"/>
    <col min="6151" max="6151" width="13" style="3236" customWidth="1"/>
    <col min="6152" max="6153" width="8.88671875" style="3236"/>
    <col min="6154" max="6154" width="5.77734375" style="3236" customWidth="1"/>
    <col min="6155" max="6155" width="11.77734375" style="3236" customWidth="1"/>
    <col min="6156" max="6157" width="10.77734375" style="3236" customWidth="1"/>
    <col min="6158" max="6158" width="10" style="3236" customWidth="1"/>
    <col min="6159" max="6160" width="10.44140625" style="3236" bestFit="1" customWidth="1"/>
    <col min="6161" max="6161" width="10" style="3236" customWidth="1"/>
    <col min="6162" max="6162" width="10.109375" style="3236" customWidth="1"/>
    <col min="6163" max="6163" width="10" style="3236" customWidth="1"/>
    <col min="6164" max="6164" width="26.109375" style="3236" customWidth="1"/>
    <col min="6165" max="6400" width="8.88671875" style="3236"/>
    <col min="6401" max="6401" width="9.44140625" style="3236" customWidth="1"/>
    <col min="6402" max="6402" width="8.88671875" style="3236"/>
    <col min="6403" max="6405" width="12.88671875" style="3236" customWidth="1"/>
    <col min="6406" max="6406" width="47.44140625" style="3236" customWidth="1"/>
    <col min="6407" max="6407" width="13" style="3236" customWidth="1"/>
    <col min="6408" max="6409" width="8.88671875" style="3236"/>
    <col min="6410" max="6410" width="5.77734375" style="3236" customWidth="1"/>
    <col min="6411" max="6411" width="11.77734375" style="3236" customWidth="1"/>
    <col min="6412" max="6413" width="10.77734375" style="3236" customWidth="1"/>
    <col min="6414" max="6414" width="10" style="3236" customWidth="1"/>
    <col min="6415" max="6416" width="10.44140625" style="3236" bestFit="1" customWidth="1"/>
    <col min="6417" max="6417" width="10" style="3236" customWidth="1"/>
    <col min="6418" max="6418" width="10.109375" style="3236" customWidth="1"/>
    <col min="6419" max="6419" width="10" style="3236" customWidth="1"/>
    <col min="6420" max="6420" width="26.109375" style="3236" customWidth="1"/>
    <col min="6421" max="6656" width="8.88671875" style="3236"/>
    <col min="6657" max="6657" width="9.44140625" style="3236" customWidth="1"/>
    <col min="6658" max="6658" width="8.88671875" style="3236"/>
    <col min="6659" max="6661" width="12.88671875" style="3236" customWidth="1"/>
    <col min="6662" max="6662" width="47.44140625" style="3236" customWidth="1"/>
    <col min="6663" max="6663" width="13" style="3236" customWidth="1"/>
    <col min="6664" max="6665" width="8.88671875" style="3236"/>
    <col min="6666" max="6666" width="5.77734375" style="3236" customWidth="1"/>
    <col min="6667" max="6667" width="11.77734375" style="3236" customWidth="1"/>
    <col min="6668" max="6669" width="10.77734375" style="3236" customWidth="1"/>
    <col min="6670" max="6670" width="10" style="3236" customWidth="1"/>
    <col min="6671" max="6672" width="10.44140625" style="3236" bestFit="1" customWidth="1"/>
    <col min="6673" max="6673" width="10" style="3236" customWidth="1"/>
    <col min="6674" max="6674" width="10.109375" style="3236" customWidth="1"/>
    <col min="6675" max="6675" width="10" style="3236" customWidth="1"/>
    <col min="6676" max="6676" width="26.109375" style="3236" customWidth="1"/>
    <col min="6677" max="6912" width="8.88671875" style="3236"/>
    <col min="6913" max="6913" width="9.44140625" style="3236" customWidth="1"/>
    <col min="6914" max="6914" width="8.88671875" style="3236"/>
    <col min="6915" max="6917" width="12.88671875" style="3236" customWidth="1"/>
    <col min="6918" max="6918" width="47.44140625" style="3236" customWidth="1"/>
    <col min="6919" max="6919" width="13" style="3236" customWidth="1"/>
    <col min="6920" max="6921" width="8.88671875" style="3236"/>
    <col min="6922" max="6922" width="5.77734375" style="3236" customWidth="1"/>
    <col min="6923" max="6923" width="11.77734375" style="3236" customWidth="1"/>
    <col min="6924" max="6925" width="10.77734375" style="3236" customWidth="1"/>
    <col min="6926" max="6926" width="10" style="3236" customWidth="1"/>
    <col min="6927" max="6928" width="10.44140625" style="3236" bestFit="1" customWidth="1"/>
    <col min="6929" max="6929" width="10" style="3236" customWidth="1"/>
    <col min="6930" max="6930" width="10.109375" style="3236" customWidth="1"/>
    <col min="6931" max="6931" width="10" style="3236" customWidth="1"/>
    <col min="6932" max="6932" width="26.109375" style="3236" customWidth="1"/>
    <col min="6933" max="7168" width="8.88671875" style="3236"/>
    <col min="7169" max="7169" width="9.44140625" style="3236" customWidth="1"/>
    <col min="7170" max="7170" width="8.88671875" style="3236"/>
    <col min="7171" max="7173" width="12.88671875" style="3236" customWidth="1"/>
    <col min="7174" max="7174" width="47.44140625" style="3236" customWidth="1"/>
    <col min="7175" max="7175" width="13" style="3236" customWidth="1"/>
    <col min="7176" max="7177" width="8.88671875" style="3236"/>
    <col min="7178" max="7178" width="5.77734375" style="3236" customWidth="1"/>
    <col min="7179" max="7179" width="11.77734375" style="3236" customWidth="1"/>
    <col min="7180" max="7181" width="10.77734375" style="3236" customWidth="1"/>
    <col min="7182" max="7182" width="10" style="3236" customWidth="1"/>
    <col min="7183" max="7184" width="10.44140625" style="3236" bestFit="1" customWidth="1"/>
    <col min="7185" max="7185" width="10" style="3236" customWidth="1"/>
    <col min="7186" max="7186" width="10.109375" style="3236" customWidth="1"/>
    <col min="7187" max="7187" width="10" style="3236" customWidth="1"/>
    <col min="7188" max="7188" width="26.109375" style="3236" customWidth="1"/>
    <col min="7189" max="7424" width="8.88671875" style="3236"/>
    <col min="7425" max="7425" width="9.44140625" style="3236" customWidth="1"/>
    <col min="7426" max="7426" width="8.88671875" style="3236"/>
    <col min="7427" max="7429" width="12.88671875" style="3236" customWidth="1"/>
    <col min="7430" max="7430" width="47.44140625" style="3236" customWidth="1"/>
    <col min="7431" max="7431" width="13" style="3236" customWidth="1"/>
    <col min="7432" max="7433" width="8.88671875" style="3236"/>
    <col min="7434" max="7434" width="5.77734375" style="3236" customWidth="1"/>
    <col min="7435" max="7435" width="11.77734375" style="3236" customWidth="1"/>
    <col min="7436" max="7437" width="10.77734375" style="3236" customWidth="1"/>
    <col min="7438" max="7438" width="10" style="3236" customWidth="1"/>
    <col min="7439" max="7440" width="10.44140625" style="3236" bestFit="1" customWidth="1"/>
    <col min="7441" max="7441" width="10" style="3236" customWidth="1"/>
    <col min="7442" max="7442" width="10.109375" style="3236" customWidth="1"/>
    <col min="7443" max="7443" width="10" style="3236" customWidth="1"/>
    <col min="7444" max="7444" width="26.109375" style="3236" customWidth="1"/>
    <col min="7445" max="7680" width="8.88671875" style="3236"/>
    <col min="7681" max="7681" width="9.44140625" style="3236" customWidth="1"/>
    <col min="7682" max="7682" width="8.88671875" style="3236"/>
    <col min="7683" max="7685" width="12.88671875" style="3236" customWidth="1"/>
    <col min="7686" max="7686" width="47.44140625" style="3236" customWidth="1"/>
    <col min="7687" max="7687" width="13" style="3236" customWidth="1"/>
    <col min="7688" max="7689" width="8.88671875" style="3236"/>
    <col min="7690" max="7690" width="5.77734375" style="3236" customWidth="1"/>
    <col min="7691" max="7691" width="11.77734375" style="3236" customWidth="1"/>
    <col min="7692" max="7693" width="10.77734375" style="3236" customWidth="1"/>
    <col min="7694" max="7694" width="10" style="3236" customWidth="1"/>
    <col min="7695" max="7696" width="10.44140625" style="3236" bestFit="1" customWidth="1"/>
    <col min="7697" max="7697" width="10" style="3236" customWidth="1"/>
    <col min="7698" max="7698" width="10.109375" style="3236" customWidth="1"/>
    <col min="7699" max="7699" width="10" style="3236" customWidth="1"/>
    <col min="7700" max="7700" width="26.109375" style="3236" customWidth="1"/>
    <col min="7701" max="7936" width="8.88671875" style="3236"/>
    <col min="7937" max="7937" width="9.44140625" style="3236" customWidth="1"/>
    <col min="7938" max="7938" width="8.88671875" style="3236"/>
    <col min="7939" max="7941" width="12.88671875" style="3236" customWidth="1"/>
    <col min="7942" max="7942" width="47.44140625" style="3236" customWidth="1"/>
    <col min="7943" max="7943" width="13" style="3236" customWidth="1"/>
    <col min="7944" max="7945" width="8.88671875" style="3236"/>
    <col min="7946" max="7946" width="5.77734375" style="3236" customWidth="1"/>
    <col min="7947" max="7947" width="11.77734375" style="3236" customWidth="1"/>
    <col min="7948" max="7949" width="10.77734375" style="3236" customWidth="1"/>
    <col min="7950" max="7950" width="10" style="3236" customWidth="1"/>
    <col min="7951" max="7952" width="10.44140625" style="3236" bestFit="1" customWidth="1"/>
    <col min="7953" max="7953" width="10" style="3236" customWidth="1"/>
    <col min="7954" max="7954" width="10.109375" style="3236" customWidth="1"/>
    <col min="7955" max="7955" width="10" style="3236" customWidth="1"/>
    <col min="7956" max="7956" width="26.109375" style="3236" customWidth="1"/>
    <col min="7957" max="8192" width="8.88671875" style="3236"/>
    <col min="8193" max="8193" width="9.44140625" style="3236" customWidth="1"/>
    <col min="8194" max="8194" width="8.88671875" style="3236"/>
    <col min="8195" max="8197" width="12.88671875" style="3236" customWidth="1"/>
    <col min="8198" max="8198" width="47.44140625" style="3236" customWidth="1"/>
    <col min="8199" max="8199" width="13" style="3236" customWidth="1"/>
    <col min="8200" max="8201" width="8.88671875" style="3236"/>
    <col min="8202" max="8202" width="5.77734375" style="3236" customWidth="1"/>
    <col min="8203" max="8203" width="11.77734375" style="3236" customWidth="1"/>
    <col min="8204" max="8205" width="10.77734375" style="3236" customWidth="1"/>
    <col min="8206" max="8206" width="10" style="3236" customWidth="1"/>
    <col min="8207" max="8208" width="10.44140625" style="3236" bestFit="1" customWidth="1"/>
    <col min="8209" max="8209" width="10" style="3236" customWidth="1"/>
    <col min="8210" max="8210" width="10.109375" style="3236" customWidth="1"/>
    <col min="8211" max="8211" width="10" style="3236" customWidth="1"/>
    <col min="8212" max="8212" width="26.109375" style="3236" customWidth="1"/>
    <col min="8213" max="8448" width="8.88671875" style="3236"/>
    <col min="8449" max="8449" width="9.44140625" style="3236" customWidth="1"/>
    <col min="8450" max="8450" width="8.88671875" style="3236"/>
    <col min="8451" max="8453" width="12.88671875" style="3236" customWidth="1"/>
    <col min="8454" max="8454" width="47.44140625" style="3236" customWidth="1"/>
    <col min="8455" max="8455" width="13" style="3236" customWidth="1"/>
    <col min="8456" max="8457" width="8.88671875" style="3236"/>
    <col min="8458" max="8458" width="5.77734375" style="3236" customWidth="1"/>
    <col min="8459" max="8459" width="11.77734375" style="3236" customWidth="1"/>
    <col min="8460" max="8461" width="10.77734375" style="3236" customWidth="1"/>
    <col min="8462" max="8462" width="10" style="3236" customWidth="1"/>
    <col min="8463" max="8464" width="10.44140625" style="3236" bestFit="1" customWidth="1"/>
    <col min="8465" max="8465" width="10" style="3236" customWidth="1"/>
    <col min="8466" max="8466" width="10.109375" style="3236" customWidth="1"/>
    <col min="8467" max="8467" width="10" style="3236" customWidth="1"/>
    <col min="8468" max="8468" width="26.109375" style="3236" customWidth="1"/>
    <col min="8469" max="8704" width="8.88671875" style="3236"/>
    <col min="8705" max="8705" width="9.44140625" style="3236" customWidth="1"/>
    <col min="8706" max="8706" width="8.88671875" style="3236"/>
    <col min="8707" max="8709" width="12.88671875" style="3236" customWidth="1"/>
    <col min="8710" max="8710" width="47.44140625" style="3236" customWidth="1"/>
    <col min="8711" max="8711" width="13" style="3236" customWidth="1"/>
    <col min="8712" max="8713" width="8.88671875" style="3236"/>
    <col min="8714" max="8714" width="5.77734375" style="3236" customWidth="1"/>
    <col min="8715" max="8715" width="11.77734375" style="3236" customWidth="1"/>
    <col min="8716" max="8717" width="10.77734375" style="3236" customWidth="1"/>
    <col min="8718" max="8718" width="10" style="3236" customWidth="1"/>
    <col min="8719" max="8720" width="10.44140625" style="3236" bestFit="1" customWidth="1"/>
    <col min="8721" max="8721" width="10" style="3236" customWidth="1"/>
    <col min="8722" max="8722" width="10.109375" style="3236" customWidth="1"/>
    <col min="8723" max="8723" width="10" style="3236" customWidth="1"/>
    <col min="8724" max="8724" width="26.109375" style="3236" customWidth="1"/>
    <col min="8725" max="8960" width="8.88671875" style="3236"/>
    <col min="8961" max="8961" width="9.44140625" style="3236" customWidth="1"/>
    <col min="8962" max="8962" width="8.88671875" style="3236"/>
    <col min="8963" max="8965" width="12.88671875" style="3236" customWidth="1"/>
    <col min="8966" max="8966" width="47.44140625" style="3236" customWidth="1"/>
    <col min="8967" max="8967" width="13" style="3236" customWidth="1"/>
    <col min="8968" max="8969" width="8.88671875" style="3236"/>
    <col min="8970" max="8970" width="5.77734375" style="3236" customWidth="1"/>
    <col min="8971" max="8971" width="11.77734375" style="3236" customWidth="1"/>
    <col min="8972" max="8973" width="10.77734375" style="3236" customWidth="1"/>
    <col min="8974" max="8974" width="10" style="3236" customWidth="1"/>
    <col min="8975" max="8976" width="10.44140625" style="3236" bestFit="1" customWidth="1"/>
    <col min="8977" max="8977" width="10" style="3236" customWidth="1"/>
    <col min="8978" max="8978" width="10.109375" style="3236" customWidth="1"/>
    <col min="8979" max="8979" width="10" style="3236" customWidth="1"/>
    <col min="8980" max="8980" width="26.109375" style="3236" customWidth="1"/>
    <col min="8981" max="9216" width="8.88671875" style="3236"/>
    <col min="9217" max="9217" width="9.44140625" style="3236" customWidth="1"/>
    <col min="9218" max="9218" width="8.88671875" style="3236"/>
    <col min="9219" max="9221" width="12.88671875" style="3236" customWidth="1"/>
    <col min="9222" max="9222" width="47.44140625" style="3236" customWidth="1"/>
    <col min="9223" max="9223" width="13" style="3236" customWidth="1"/>
    <col min="9224" max="9225" width="8.88671875" style="3236"/>
    <col min="9226" max="9226" width="5.77734375" style="3236" customWidth="1"/>
    <col min="9227" max="9227" width="11.77734375" style="3236" customWidth="1"/>
    <col min="9228" max="9229" width="10.77734375" style="3236" customWidth="1"/>
    <col min="9230" max="9230" width="10" style="3236" customWidth="1"/>
    <col min="9231" max="9232" width="10.44140625" style="3236" bestFit="1" customWidth="1"/>
    <col min="9233" max="9233" width="10" style="3236" customWidth="1"/>
    <col min="9234" max="9234" width="10.109375" style="3236" customWidth="1"/>
    <col min="9235" max="9235" width="10" style="3236" customWidth="1"/>
    <col min="9236" max="9236" width="26.109375" style="3236" customWidth="1"/>
    <col min="9237" max="9472" width="8.88671875" style="3236"/>
    <col min="9473" max="9473" width="9.44140625" style="3236" customWidth="1"/>
    <col min="9474" max="9474" width="8.88671875" style="3236"/>
    <col min="9475" max="9477" width="12.88671875" style="3236" customWidth="1"/>
    <col min="9478" max="9478" width="47.44140625" style="3236" customWidth="1"/>
    <col min="9479" max="9479" width="13" style="3236" customWidth="1"/>
    <col min="9480" max="9481" width="8.88671875" style="3236"/>
    <col min="9482" max="9482" width="5.77734375" style="3236" customWidth="1"/>
    <col min="9483" max="9483" width="11.77734375" style="3236" customWidth="1"/>
    <col min="9484" max="9485" width="10.77734375" style="3236" customWidth="1"/>
    <col min="9486" max="9486" width="10" style="3236" customWidth="1"/>
    <col min="9487" max="9488" width="10.44140625" style="3236" bestFit="1" customWidth="1"/>
    <col min="9489" max="9489" width="10" style="3236" customWidth="1"/>
    <col min="9490" max="9490" width="10.109375" style="3236" customWidth="1"/>
    <col min="9491" max="9491" width="10" style="3236" customWidth="1"/>
    <col min="9492" max="9492" width="26.109375" style="3236" customWidth="1"/>
    <col min="9493" max="9728" width="8.88671875" style="3236"/>
    <col min="9729" max="9729" width="9.44140625" style="3236" customWidth="1"/>
    <col min="9730" max="9730" width="8.88671875" style="3236"/>
    <col min="9731" max="9733" width="12.88671875" style="3236" customWidth="1"/>
    <col min="9734" max="9734" width="47.44140625" style="3236" customWidth="1"/>
    <col min="9735" max="9735" width="13" style="3236" customWidth="1"/>
    <col min="9736" max="9737" width="8.88671875" style="3236"/>
    <col min="9738" max="9738" width="5.77734375" style="3236" customWidth="1"/>
    <col min="9739" max="9739" width="11.77734375" style="3236" customWidth="1"/>
    <col min="9740" max="9741" width="10.77734375" style="3236" customWidth="1"/>
    <col min="9742" max="9742" width="10" style="3236" customWidth="1"/>
    <col min="9743" max="9744" width="10.44140625" style="3236" bestFit="1" customWidth="1"/>
    <col min="9745" max="9745" width="10" style="3236" customWidth="1"/>
    <col min="9746" max="9746" width="10.109375" style="3236" customWidth="1"/>
    <col min="9747" max="9747" width="10" style="3236" customWidth="1"/>
    <col min="9748" max="9748" width="26.109375" style="3236" customWidth="1"/>
    <col min="9749" max="9984" width="8.88671875" style="3236"/>
    <col min="9985" max="9985" width="9.44140625" style="3236" customWidth="1"/>
    <col min="9986" max="9986" width="8.88671875" style="3236"/>
    <col min="9987" max="9989" width="12.88671875" style="3236" customWidth="1"/>
    <col min="9990" max="9990" width="47.44140625" style="3236" customWidth="1"/>
    <col min="9991" max="9991" width="13" style="3236" customWidth="1"/>
    <col min="9992" max="9993" width="8.88671875" style="3236"/>
    <col min="9994" max="9994" width="5.77734375" style="3236" customWidth="1"/>
    <col min="9995" max="9995" width="11.77734375" style="3236" customWidth="1"/>
    <col min="9996" max="9997" width="10.77734375" style="3236" customWidth="1"/>
    <col min="9998" max="9998" width="10" style="3236" customWidth="1"/>
    <col min="9999" max="10000" width="10.44140625" style="3236" bestFit="1" customWidth="1"/>
    <col min="10001" max="10001" width="10" style="3236" customWidth="1"/>
    <col min="10002" max="10002" width="10.109375" style="3236" customWidth="1"/>
    <col min="10003" max="10003" width="10" style="3236" customWidth="1"/>
    <col min="10004" max="10004" width="26.109375" style="3236" customWidth="1"/>
    <col min="10005" max="10240" width="8.88671875" style="3236"/>
    <col min="10241" max="10241" width="9.44140625" style="3236" customWidth="1"/>
    <col min="10242" max="10242" width="8.88671875" style="3236"/>
    <col min="10243" max="10245" width="12.88671875" style="3236" customWidth="1"/>
    <col min="10246" max="10246" width="47.44140625" style="3236" customWidth="1"/>
    <col min="10247" max="10247" width="13" style="3236" customWidth="1"/>
    <col min="10248" max="10249" width="8.88671875" style="3236"/>
    <col min="10250" max="10250" width="5.77734375" style="3236" customWidth="1"/>
    <col min="10251" max="10251" width="11.77734375" style="3236" customWidth="1"/>
    <col min="10252" max="10253" width="10.77734375" style="3236" customWidth="1"/>
    <col min="10254" max="10254" width="10" style="3236" customWidth="1"/>
    <col min="10255" max="10256" width="10.44140625" style="3236" bestFit="1" customWidth="1"/>
    <col min="10257" max="10257" width="10" style="3236" customWidth="1"/>
    <col min="10258" max="10258" width="10.109375" style="3236" customWidth="1"/>
    <col min="10259" max="10259" width="10" style="3236" customWidth="1"/>
    <col min="10260" max="10260" width="26.109375" style="3236" customWidth="1"/>
    <col min="10261" max="10496" width="8.88671875" style="3236"/>
    <col min="10497" max="10497" width="9.44140625" style="3236" customWidth="1"/>
    <col min="10498" max="10498" width="8.88671875" style="3236"/>
    <col min="10499" max="10501" width="12.88671875" style="3236" customWidth="1"/>
    <col min="10502" max="10502" width="47.44140625" style="3236" customWidth="1"/>
    <col min="10503" max="10503" width="13" style="3236" customWidth="1"/>
    <col min="10504" max="10505" width="8.88671875" style="3236"/>
    <col min="10506" max="10506" width="5.77734375" style="3236" customWidth="1"/>
    <col min="10507" max="10507" width="11.77734375" style="3236" customWidth="1"/>
    <col min="10508" max="10509" width="10.77734375" style="3236" customWidth="1"/>
    <col min="10510" max="10510" width="10" style="3236" customWidth="1"/>
    <col min="10511" max="10512" width="10.44140625" style="3236" bestFit="1" customWidth="1"/>
    <col min="10513" max="10513" width="10" style="3236" customWidth="1"/>
    <col min="10514" max="10514" width="10.109375" style="3236" customWidth="1"/>
    <col min="10515" max="10515" width="10" style="3236" customWidth="1"/>
    <col min="10516" max="10516" width="26.109375" style="3236" customWidth="1"/>
    <col min="10517" max="10752" width="8.88671875" style="3236"/>
    <col min="10753" max="10753" width="9.44140625" style="3236" customWidth="1"/>
    <col min="10754" max="10754" width="8.88671875" style="3236"/>
    <col min="10755" max="10757" width="12.88671875" style="3236" customWidth="1"/>
    <col min="10758" max="10758" width="47.44140625" style="3236" customWidth="1"/>
    <col min="10759" max="10759" width="13" style="3236" customWidth="1"/>
    <col min="10760" max="10761" width="8.88671875" style="3236"/>
    <col min="10762" max="10762" width="5.77734375" style="3236" customWidth="1"/>
    <col min="10763" max="10763" width="11.77734375" style="3236" customWidth="1"/>
    <col min="10764" max="10765" width="10.77734375" style="3236" customWidth="1"/>
    <col min="10766" max="10766" width="10" style="3236" customWidth="1"/>
    <col min="10767" max="10768" width="10.44140625" style="3236" bestFit="1" customWidth="1"/>
    <col min="10769" max="10769" width="10" style="3236" customWidth="1"/>
    <col min="10770" max="10770" width="10.109375" style="3236" customWidth="1"/>
    <col min="10771" max="10771" width="10" style="3236" customWidth="1"/>
    <col min="10772" max="10772" width="26.109375" style="3236" customWidth="1"/>
    <col min="10773" max="11008" width="8.88671875" style="3236"/>
    <col min="11009" max="11009" width="9.44140625" style="3236" customWidth="1"/>
    <col min="11010" max="11010" width="8.88671875" style="3236"/>
    <col min="11011" max="11013" width="12.88671875" style="3236" customWidth="1"/>
    <col min="11014" max="11014" width="47.44140625" style="3236" customWidth="1"/>
    <col min="11015" max="11015" width="13" style="3236" customWidth="1"/>
    <col min="11016" max="11017" width="8.88671875" style="3236"/>
    <col min="11018" max="11018" width="5.77734375" style="3236" customWidth="1"/>
    <col min="11019" max="11019" width="11.77734375" style="3236" customWidth="1"/>
    <col min="11020" max="11021" width="10.77734375" style="3236" customWidth="1"/>
    <col min="11022" max="11022" width="10" style="3236" customWidth="1"/>
    <col min="11023" max="11024" width="10.44140625" style="3236" bestFit="1" customWidth="1"/>
    <col min="11025" max="11025" width="10" style="3236" customWidth="1"/>
    <col min="11026" max="11026" width="10.109375" style="3236" customWidth="1"/>
    <col min="11027" max="11027" width="10" style="3236" customWidth="1"/>
    <col min="11028" max="11028" width="26.109375" style="3236" customWidth="1"/>
    <col min="11029" max="11264" width="8.88671875" style="3236"/>
    <col min="11265" max="11265" width="9.44140625" style="3236" customWidth="1"/>
    <col min="11266" max="11266" width="8.88671875" style="3236"/>
    <col min="11267" max="11269" width="12.88671875" style="3236" customWidth="1"/>
    <col min="11270" max="11270" width="47.44140625" style="3236" customWidth="1"/>
    <col min="11271" max="11271" width="13" style="3236" customWidth="1"/>
    <col min="11272" max="11273" width="8.88671875" style="3236"/>
    <col min="11274" max="11274" width="5.77734375" style="3236" customWidth="1"/>
    <col min="11275" max="11275" width="11.77734375" style="3236" customWidth="1"/>
    <col min="11276" max="11277" width="10.77734375" style="3236" customWidth="1"/>
    <col min="11278" max="11278" width="10" style="3236" customWidth="1"/>
    <col min="11279" max="11280" width="10.44140625" style="3236" bestFit="1" customWidth="1"/>
    <col min="11281" max="11281" width="10" style="3236" customWidth="1"/>
    <col min="11282" max="11282" width="10.109375" style="3236" customWidth="1"/>
    <col min="11283" max="11283" width="10" style="3236" customWidth="1"/>
    <col min="11284" max="11284" width="26.109375" style="3236" customWidth="1"/>
    <col min="11285" max="11520" width="8.88671875" style="3236"/>
    <col min="11521" max="11521" width="9.44140625" style="3236" customWidth="1"/>
    <col min="11522" max="11522" width="8.88671875" style="3236"/>
    <col min="11523" max="11525" width="12.88671875" style="3236" customWidth="1"/>
    <col min="11526" max="11526" width="47.44140625" style="3236" customWidth="1"/>
    <col min="11527" max="11527" width="13" style="3236" customWidth="1"/>
    <col min="11528" max="11529" width="8.88671875" style="3236"/>
    <col min="11530" max="11530" width="5.77734375" style="3236" customWidth="1"/>
    <col min="11531" max="11531" width="11.77734375" style="3236" customWidth="1"/>
    <col min="11532" max="11533" width="10.77734375" style="3236" customWidth="1"/>
    <col min="11534" max="11534" width="10" style="3236" customWidth="1"/>
    <col min="11535" max="11536" width="10.44140625" style="3236" bestFit="1" customWidth="1"/>
    <col min="11537" max="11537" width="10" style="3236" customWidth="1"/>
    <col min="11538" max="11538" width="10.109375" style="3236" customWidth="1"/>
    <col min="11539" max="11539" width="10" style="3236" customWidth="1"/>
    <col min="11540" max="11540" width="26.109375" style="3236" customWidth="1"/>
    <col min="11541" max="11776" width="8.88671875" style="3236"/>
    <col min="11777" max="11777" width="9.44140625" style="3236" customWidth="1"/>
    <col min="11778" max="11778" width="8.88671875" style="3236"/>
    <col min="11779" max="11781" width="12.88671875" style="3236" customWidth="1"/>
    <col min="11782" max="11782" width="47.44140625" style="3236" customWidth="1"/>
    <col min="11783" max="11783" width="13" style="3236" customWidth="1"/>
    <col min="11784" max="11785" width="8.88671875" style="3236"/>
    <col min="11786" max="11786" width="5.77734375" style="3236" customWidth="1"/>
    <col min="11787" max="11787" width="11.77734375" style="3236" customWidth="1"/>
    <col min="11788" max="11789" width="10.77734375" style="3236" customWidth="1"/>
    <col min="11790" max="11790" width="10" style="3236" customWidth="1"/>
    <col min="11791" max="11792" width="10.44140625" style="3236" bestFit="1" customWidth="1"/>
    <col min="11793" max="11793" width="10" style="3236" customWidth="1"/>
    <col min="11794" max="11794" width="10.109375" style="3236" customWidth="1"/>
    <col min="11795" max="11795" width="10" style="3236" customWidth="1"/>
    <col min="11796" max="11796" width="26.109375" style="3236" customWidth="1"/>
    <col min="11797" max="12032" width="8.88671875" style="3236"/>
    <col min="12033" max="12033" width="9.44140625" style="3236" customWidth="1"/>
    <col min="12034" max="12034" width="8.88671875" style="3236"/>
    <col min="12035" max="12037" width="12.88671875" style="3236" customWidth="1"/>
    <col min="12038" max="12038" width="47.44140625" style="3236" customWidth="1"/>
    <col min="12039" max="12039" width="13" style="3236" customWidth="1"/>
    <col min="12040" max="12041" width="8.88671875" style="3236"/>
    <col min="12042" max="12042" width="5.77734375" style="3236" customWidth="1"/>
    <col min="12043" max="12043" width="11.77734375" style="3236" customWidth="1"/>
    <col min="12044" max="12045" width="10.77734375" style="3236" customWidth="1"/>
    <col min="12046" max="12046" width="10" style="3236" customWidth="1"/>
    <col min="12047" max="12048" width="10.44140625" style="3236" bestFit="1" customWidth="1"/>
    <col min="12049" max="12049" width="10" style="3236" customWidth="1"/>
    <col min="12050" max="12050" width="10.109375" style="3236" customWidth="1"/>
    <col min="12051" max="12051" width="10" style="3236" customWidth="1"/>
    <col min="12052" max="12052" width="26.109375" style="3236" customWidth="1"/>
    <col min="12053" max="12288" width="8.88671875" style="3236"/>
    <col min="12289" max="12289" width="9.44140625" style="3236" customWidth="1"/>
    <col min="12290" max="12290" width="8.88671875" style="3236"/>
    <col min="12291" max="12293" width="12.88671875" style="3236" customWidth="1"/>
    <col min="12294" max="12294" width="47.44140625" style="3236" customWidth="1"/>
    <col min="12295" max="12295" width="13" style="3236" customWidth="1"/>
    <col min="12296" max="12297" width="8.88671875" style="3236"/>
    <col min="12298" max="12298" width="5.77734375" style="3236" customWidth="1"/>
    <col min="12299" max="12299" width="11.77734375" style="3236" customWidth="1"/>
    <col min="12300" max="12301" width="10.77734375" style="3236" customWidth="1"/>
    <col min="12302" max="12302" width="10" style="3236" customWidth="1"/>
    <col min="12303" max="12304" width="10.44140625" style="3236" bestFit="1" customWidth="1"/>
    <col min="12305" max="12305" width="10" style="3236" customWidth="1"/>
    <col min="12306" max="12306" width="10.109375" style="3236" customWidth="1"/>
    <col min="12307" max="12307" width="10" style="3236" customWidth="1"/>
    <col min="12308" max="12308" width="26.109375" style="3236" customWidth="1"/>
    <col min="12309" max="12544" width="8.88671875" style="3236"/>
    <col min="12545" max="12545" width="9.44140625" style="3236" customWidth="1"/>
    <col min="12546" max="12546" width="8.88671875" style="3236"/>
    <col min="12547" max="12549" width="12.88671875" style="3236" customWidth="1"/>
    <col min="12550" max="12550" width="47.44140625" style="3236" customWidth="1"/>
    <col min="12551" max="12551" width="13" style="3236" customWidth="1"/>
    <col min="12552" max="12553" width="8.88671875" style="3236"/>
    <col min="12554" max="12554" width="5.77734375" style="3236" customWidth="1"/>
    <col min="12555" max="12555" width="11.77734375" style="3236" customWidth="1"/>
    <col min="12556" max="12557" width="10.77734375" style="3236" customWidth="1"/>
    <col min="12558" max="12558" width="10" style="3236" customWidth="1"/>
    <col min="12559" max="12560" width="10.44140625" style="3236" bestFit="1" customWidth="1"/>
    <col min="12561" max="12561" width="10" style="3236" customWidth="1"/>
    <col min="12562" max="12562" width="10.109375" style="3236" customWidth="1"/>
    <col min="12563" max="12563" width="10" style="3236" customWidth="1"/>
    <col min="12564" max="12564" width="26.109375" style="3236" customWidth="1"/>
    <col min="12565" max="12800" width="8.88671875" style="3236"/>
    <col min="12801" max="12801" width="9.44140625" style="3236" customWidth="1"/>
    <col min="12802" max="12802" width="8.88671875" style="3236"/>
    <col min="12803" max="12805" width="12.88671875" style="3236" customWidth="1"/>
    <col min="12806" max="12806" width="47.44140625" style="3236" customWidth="1"/>
    <col min="12807" max="12807" width="13" style="3236" customWidth="1"/>
    <col min="12808" max="12809" width="8.88671875" style="3236"/>
    <col min="12810" max="12810" width="5.77734375" style="3236" customWidth="1"/>
    <col min="12811" max="12811" width="11.77734375" style="3236" customWidth="1"/>
    <col min="12812" max="12813" width="10.77734375" style="3236" customWidth="1"/>
    <col min="12814" max="12814" width="10" style="3236" customWidth="1"/>
    <col min="12815" max="12816" width="10.44140625" style="3236" bestFit="1" customWidth="1"/>
    <col min="12817" max="12817" width="10" style="3236" customWidth="1"/>
    <col min="12818" max="12818" width="10.109375" style="3236" customWidth="1"/>
    <col min="12819" max="12819" width="10" style="3236" customWidth="1"/>
    <col min="12820" max="12820" width="26.109375" style="3236" customWidth="1"/>
    <col min="12821" max="13056" width="8.88671875" style="3236"/>
    <col min="13057" max="13057" width="9.44140625" style="3236" customWidth="1"/>
    <col min="13058" max="13058" width="8.88671875" style="3236"/>
    <col min="13059" max="13061" width="12.88671875" style="3236" customWidth="1"/>
    <col min="13062" max="13062" width="47.44140625" style="3236" customWidth="1"/>
    <col min="13063" max="13063" width="13" style="3236" customWidth="1"/>
    <col min="13064" max="13065" width="8.88671875" style="3236"/>
    <col min="13066" max="13066" width="5.77734375" style="3236" customWidth="1"/>
    <col min="13067" max="13067" width="11.77734375" style="3236" customWidth="1"/>
    <col min="13068" max="13069" width="10.77734375" style="3236" customWidth="1"/>
    <col min="13070" max="13070" width="10" style="3236" customWidth="1"/>
    <col min="13071" max="13072" width="10.44140625" style="3236" bestFit="1" customWidth="1"/>
    <col min="13073" max="13073" width="10" style="3236" customWidth="1"/>
    <col min="13074" max="13074" width="10.109375" style="3236" customWidth="1"/>
    <col min="13075" max="13075" width="10" style="3236" customWidth="1"/>
    <col min="13076" max="13076" width="26.109375" style="3236" customWidth="1"/>
    <col min="13077" max="13312" width="8.88671875" style="3236"/>
    <col min="13313" max="13313" width="9.44140625" style="3236" customWidth="1"/>
    <col min="13314" max="13314" width="8.88671875" style="3236"/>
    <col min="13315" max="13317" width="12.88671875" style="3236" customWidth="1"/>
    <col min="13318" max="13318" width="47.44140625" style="3236" customWidth="1"/>
    <col min="13319" max="13319" width="13" style="3236" customWidth="1"/>
    <col min="13320" max="13321" width="8.88671875" style="3236"/>
    <col min="13322" max="13322" width="5.77734375" style="3236" customWidth="1"/>
    <col min="13323" max="13323" width="11.77734375" style="3236" customWidth="1"/>
    <col min="13324" max="13325" width="10.77734375" style="3236" customWidth="1"/>
    <col min="13326" max="13326" width="10" style="3236" customWidth="1"/>
    <col min="13327" max="13328" width="10.44140625" style="3236" bestFit="1" customWidth="1"/>
    <col min="13329" max="13329" width="10" style="3236" customWidth="1"/>
    <col min="13330" max="13330" width="10.109375" style="3236" customWidth="1"/>
    <col min="13331" max="13331" width="10" style="3236" customWidth="1"/>
    <col min="13332" max="13332" width="26.109375" style="3236" customWidth="1"/>
    <col min="13333" max="13568" width="8.88671875" style="3236"/>
    <col min="13569" max="13569" width="9.44140625" style="3236" customWidth="1"/>
    <col min="13570" max="13570" width="8.88671875" style="3236"/>
    <col min="13571" max="13573" width="12.88671875" style="3236" customWidth="1"/>
    <col min="13574" max="13574" width="47.44140625" style="3236" customWidth="1"/>
    <col min="13575" max="13575" width="13" style="3236" customWidth="1"/>
    <col min="13576" max="13577" width="8.88671875" style="3236"/>
    <col min="13578" max="13578" width="5.77734375" style="3236" customWidth="1"/>
    <col min="13579" max="13579" width="11.77734375" style="3236" customWidth="1"/>
    <col min="13580" max="13581" width="10.77734375" style="3236" customWidth="1"/>
    <col min="13582" max="13582" width="10" style="3236" customWidth="1"/>
    <col min="13583" max="13584" width="10.44140625" style="3236" bestFit="1" customWidth="1"/>
    <col min="13585" max="13585" width="10" style="3236" customWidth="1"/>
    <col min="13586" max="13586" width="10.109375" style="3236" customWidth="1"/>
    <col min="13587" max="13587" width="10" style="3236" customWidth="1"/>
    <col min="13588" max="13588" width="26.109375" style="3236" customWidth="1"/>
    <col min="13589" max="13824" width="8.88671875" style="3236"/>
    <col min="13825" max="13825" width="9.44140625" style="3236" customWidth="1"/>
    <col min="13826" max="13826" width="8.88671875" style="3236"/>
    <col min="13827" max="13829" width="12.88671875" style="3236" customWidth="1"/>
    <col min="13830" max="13830" width="47.44140625" style="3236" customWidth="1"/>
    <col min="13831" max="13831" width="13" style="3236" customWidth="1"/>
    <col min="13832" max="13833" width="8.88671875" style="3236"/>
    <col min="13834" max="13834" width="5.77734375" style="3236" customWidth="1"/>
    <col min="13835" max="13835" width="11.77734375" style="3236" customWidth="1"/>
    <col min="13836" max="13837" width="10.77734375" style="3236" customWidth="1"/>
    <col min="13838" max="13838" width="10" style="3236" customWidth="1"/>
    <col min="13839" max="13840" width="10.44140625" style="3236" bestFit="1" customWidth="1"/>
    <col min="13841" max="13841" width="10" style="3236" customWidth="1"/>
    <col min="13842" max="13842" width="10.109375" style="3236" customWidth="1"/>
    <col min="13843" max="13843" width="10" style="3236" customWidth="1"/>
    <col min="13844" max="13844" width="26.109375" style="3236" customWidth="1"/>
    <col min="13845" max="14080" width="8.88671875" style="3236"/>
    <col min="14081" max="14081" width="9.44140625" style="3236" customWidth="1"/>
    <col min="14082" max="14082" width="8.88671875" style="3236"/>
    <col min="14083" max="14085" width="12.88671875" style="3236" customWidth="1"/>
    <col min="14086" max="14086" width="47.44140625" style="3236" customWidth="1"/>
    <col min="14087" max="14087" width="13" style="3236" customWidth="1"/>
    <col min="14088" max="14089" width="8.88671875" style="3236"/>
    <col min="14090" max="14090" width="5.77734375" style="3236" customWidth="1"/>
    <col min="14091" max="14091" width="11.77734375" style="3236" customWidth="1"/>
    <col min="14092" max="14093" width="10.77734375" style="3236" customWidth="1"/>
    <col min="14094" max="14094" width="10" style="3236" customWidth="1"/>
    <col min="14095" max="14096" width="10.44140625" style="3236" bestFit="1" customWidth="1"/>
    <col min="14097" max="14097" width="10" style="3236" customWidth="1"/>
    <col min="14098" max="14098" width="10.109375" style="3236" customWidth="1"/>
    <col min="14099" max="14099" width="10" style="3236" customWidth="1"/>
    <col min="14100" max="14100" width="26.109375" style="3236" customWidth="1"/>
    <col min="14101" max="14336" width="8.88671875" style="3236"/>
    <col min="14337" max="14337" width="9.44140625" style="3236" customWidth="1"/>
    <col min="14338" max="14338" width="8.88671875" style="3236"/>
    <col min="14339" max="14341" width="12.88671875" style="3236" customWidth="1"/>
    <col min="14342" max="14342" width="47.44140625" style="3236" customWidth="1"/>
    <col min="14343" max="14343" width="13" style="3236" customWidth="1"/>
    <col min="14344" max="14345" width="8.88671875" style="3236"/>
    <col min="14346" max="14346" width="5.77734375" style="3236" customWidth="1"/>
    <col min="14347" max="14347" width="11.77734375" style="3236" customWidth="1"/>
    <col min="14348" max="14349" width="10.77734375" style="3236" customWidth="1"/>
    <col min="14350" max="14350" width="10" style="3236" customWidth="1"/>
    <col min="14351" max="14352" width="10.44140625" style="3236" bestFit="1" customWidth="1"/>
    <col min="14353" max="14353" width="10" style="3236" customWidth="1"/>
    <col min="14354" max="14354" width="10.109375" style="3236" customWidth="1"/>
    <col min="14355" max="14355" width="10" style="3236" customWidth="1"/>
    <col min="14356" max="14356" width="26.109375" style="3236" customWidth="1"/>
    <col min="14357" max="14592" width="8.88671875" style="3236"/>
    <col min="14593" max="14593" width="9.44140625" style="3236" customWidth="1"/>
    <col min="14594" max="14594" width="8.88671875" style="3236"/>
    <col min="14595" max="14597" width="12.88671875" style="3236" customWidth="1"/>
    <col min="14598" max="14598" width="47.44140625" style="3236" customWidth="1"/>
    <col min="14599" max="14599" width="13" style="3236" customWidth="1"/>
    <col min="14600" max="14601" width="8.88671875" style="3236"/>
    <col min="14602" max="14602" width="5.77734375" style="3236" customWidth="1"/>
    <col min="14603" max="14603" width="11.77734375" style="3236" customWidth="1"/>
    <col min="14604" max="14605" width="10.77734375" style="3236" customWidth="1"/>
    <col min="14606" max="14606" width="10" style="3236" customWidth="1"/>
    <col min="14607" max="14608" width="10.44140625" style="3236" bestFit="1" customWidth="1"/>
    <col min="14609" max="14609" width="10" style="3236" customWidth="1"/>
    <col min="14610" max="14610" width="10.109375" style="3236" customWidth="1"/>
    <col min="14611" max="14611" width="10" style="3236" customWidth="1"/>
    <col min="14612" max="14612" width="26.109375" style="3236" customWidth="1"/>
    <col min="14613" max="14848" width="8.88671875" style="3236"/>
    <col min="14849" max="14849" width="9.44140625" style="3236" customWidth="1"/>
    <col min="14850" max="14850" width="8.88671875" style="3236"/>
    <col min="14851" max="14853" width="12.88671875" style="3236" customWidth="1"/>
    <col min="14854" max="14854" width="47.44140625" style="3236" customWidth="1"/>
    <col min="14855" max="14855" width="13" style="3236" customWidth="1"/>
    <col min="14856" max="14857" width="8.88671875" style="3236"/>
    <col min="14858" max="14858" width="5.77734375" style="3236" customWidth="1"/>
    <col min="14859" max="14859" width="11.77734375" style="3236" customWidth="1"/>
    <col min="14860" max="14861" width="10.77734375" style="3236" customWidth="1"/>
    <col min="14862" max="14862" width="10" style="3236" customWidth="1"/>
    <col min="14863" max="14864" width="10.44140625" style="3236" bestFit="1" customWidth="1"/>
    <col min="14865" max="14865" width="10" style="3236" customWidth="1"/>
    <col min="14866" max="14866" width="10.109375" style="3236" customWidth="1"/>
    <col min="14867" max="14867" width="10" style="3236" customWidth="1"/>
    <col min="14868" max="14868" width="26.109375" style="3236" customWidth="1"/>
    <col min="14869" max="15104" width="8.88671875" style="3236"/>
    <col min="15105" max="15105" width="9.44140625" style="3236" customWidth="1"/>
    <col min="15106" max="15106" width="8.88671875" style="3236"/>
    <col min="15107" max="15109" width="12.88671875" style="3236" customWidth="1"/>
    <col min="15110" max="15110" width="47.44140625" style="3236" customWidth="1"/>
    <col min="15111" max="15111" width="13" style="3236" customWidth="1"/>
    <col min="15112" max="15113" width="8.88671875" style="3236"/>
    <col min="15114" max="15114" width="5.77734375" style="3236" customWidth="1"/>
    <col min="15115" max="15115" width="11.77734375" style="3236" customWidth="1"/>
    <col min="15116" max="15117" width="10.77734375" style="3236" customWidth="1"/>
    <col min="15118" max="15118" width="10" style="3236" customWidth="1"/>
    <col min="15119" max="15120" width="10.44140625" style="3236" bestFit="1" customWidth="1"/>
    <col min="15121" max="15121" width="10" style="3236" customWidth="1"/>
    <col min="15122" max="15122" width="10.109375" style="3236" customWidth="1"/>
    <col min="15123" max="15123" width="10" style="3236" customWidth="1"/>
    <col min="15124" max="15124" width="26.109375" style="3236" customWidth="1"/>
    <col min="15125" max="15360" width="8.88671875" style="3236"/>
    <col min="15361" max="15361" width="9.44140625" style="3236" customWidth="1"/>
    <col min="15362" max="15362" width="8.88671875" style="3236"/>
    <col min="15363" max="15365" width="12.88671875" style="3236" customWidth="1"/>
    <col min="15366" max="15366" width="47.44140625" style="3236" customWidth="1"/>
    <col min="15367" max="15367" width="13" style="3236" customWidth="1"/>
    <col min="15368" max="15369" width="8.88671875" style="3236"/>
    <col min="15370" max="15370" width="5.77734375" style="3236" customWidth="1"/>
    <col min="15371" max="15371" width="11.77734375" style="3236" customWidth="1"/>
    <col min="15372" max="15373" width="10.77734375" style="3236" customWidth="1"/>
    <col min="15374" max="15374" width="10" style="3236" customWidth="1"/>
    <col min="15375" max="15376" width="10.44140625" style="3236" bestFit="1" customWidth="1"/>
    <col min="15377" max="15377" width="10" style="3236" customWidth="1"/>
    <col min="15378" max="15378" width="10.109375" style="3236" customWidth="1"/>
    <col min="15379" max="15379" width="10" style="3236" customWidth="1"/>
    <col min="15380" max="15380" width="26.109375" style="3236" customWidth="1"/>
    <col min="15381" max="15616" width="8.88671875" style="3236"/>
    <col min="15617" max="15617" width="9.44140625" style="3236" customWidth="1"/>
    <col min="15618" max="15618" width="8.88671875" style="3236"/>
    <col min="15619" max="15621" width="12.88671875" style="3236" customWidth="1"/>
    <col min="15622" max="15622" width="47.44140625" style="3236" customWidth="1"/>
    <col min="15623" max="15623" width="13" style="3236" customWidth="1"/>
    <col min="15624" max="15625" width="8.88671875" style="3236"/>
    <col min="15626" max="15626" width="5.77734375" style="3236" customWidth="1"/>
    <col min="15627" max="15627" width="11.77734375" style="3236" customWidth="1"/>
    <col min="15628" max="15629" width="10.77734375" style="3236" customWidth="1"/>
    <col min="15630" max="15630" width="10" style="3236" customWidth="1"/>
    <col min="15631" max="15632" width="10.44140625" style="3236" bestFit="1" customWidth="1"/>
    <col min="15633" max="15633" width="10" style="3236" customWidth="1"/>
    <col min="15634" max="15634" width="10.109375" style="3236" customWidth="1"/>
    <col min="15635" max="15635" width="10" style="3236" customWidth="1"/>
    <col min="15636" max="15636" width="26.109375" style="3236" customWidth="1"/>
    <col min="15637" max="15872" width="8.88671875" style="3236"/>
    <col min="15873" max="15873" width="9.44140625" style="3236" customWidth="1"/>
    <col min="15874" max="15874" width="8.88671875" style="3236"/>
    <col min="15875" max="15877" width="12.88671875" style="3236" customWidth="1"/>
    <col min="15878" max="15878" width="47.44140625" style="3236" customWidth="1"/>
    <col min="15879" max="15879" width="13" style="3236" customWidth="1"/>
    <col min="15880" max="15881" width="8.88671875" style="3236"/>
    <col min="15882" max="15882" width="5.77734375" style="3236" customWidth="1"/>
    <col min="15883" max="15883" width="11.77734375" style="3236" customWidth="1"/>
    <col min="15884" max="15885" width="10.77734375" style="3236" customWidth="1"/>
    <col min="15886" max="15886" width="10" style="3236" customWidth="1"/>
    <col min="15887" max="15888" width="10.44140625" style="3236" bestFit="1" customWidth="1"/>
    <col min="15889" max="15889" width="10" style="3236" customWidth="1"/>
    <col min="15890" max="15890" width="10.109375" style="3236" customWidth="1"/>
    <col min="15891" max="15891" width="10" style="3236" customWidth="1"/>
    <col min="15892" max="15892" width="26.109375" style="3236" customWidth="1"/>
    <col min="15893" max="16128" width="8.88671875" style="3236"/>
    <col min="16129" max="16129" width="9.44140625" style="3236" customWidth="1"/>
    <col min="16130" max="16130" width="8.88671875" style="3236"/>
    <col min="16131" max="16133" width="12.88671875" style="3236" customWidth="1"/>
    <col min="16134" max="16134" width="47.44140625" style="3236" customWidth="1"/>
    <col min="16135" max="16135" width="13" style="3236" customWidth="1"/>
    <col min="16136" max="16137" width="8.88671875" style="3236"/>
    <col min="16138" max="16138" width="5.77734375" style="3236" customWidth="1"/>
    <col min="16139" max="16139" width="11.77734375" style="3236" customWidth="1"/>
    <col min="16140" max="16141" width="10.77734375" style="3236" customWidth="1"/>
    <col min="16142" max="16142" width="10" style="3236" customWidth="1"/>
    <col min="16143" max="16144" width="10.44140625" style="3236" bestFit="1" customWidth="1"/>
    <col min="16145" max="16145" width="10" style="3236" customWidth="1"/>
    <col min="16146" max="16146" width="10.109375" style="3236" customWidth="1"/>
    <col min="16147" max="16147" width="10" style="3236" customWidth="1"/>
    <col min="16148" max="16148" width="26.109375" style="3236" customWidth="1"/>
    <col min="16149" max="16384" width="8.88671875" style="3236"/>
  </cols>
  <sheetData>
    <row r="1" spans="1:22" ht="21" customHeight="1">
      <c r="A1" s="3225" t="s">
        <v>2886</v>
      </c>
      <c r="B1" s="3226"/>
      <c r="C1" s="3239"/>
      <c r="D1" s="3239"/>
      <c r="E1" s="3227"/>
      <c r="F1" s="3228"/>
      <c r="G1" s="3229"/>
      <c r="J1" s="3232" t="s">
        <v>2743</v>
      </c>
      <c r="K1" s="3233"/>
      <c r="L1" s="3233"/>
      <c r="M1" s="3233"/>
      <c r="N1" s="3233"/>
      <c r="O1" s="3233"/>
      <c r="P1" s="3233"/>
      <c r="Q1" s="3233"/>
      <c r="R1" s="3234"/>
      <c r="S1" s="3235"/>
      <c r="T1" s="3235"/>
      <c r="U1" s="3235"/>
    </row>
    <row r="2" spans="1:22" s="3248" customFormat="1" ht="13.2" customHeight="1">
      <c r="A2" s="3237" t="s">
        <v>2744</v>
      </c>
      <c r="B2" s="3238" t="e">
        <f>C40</f>
        <v>#DIV/0!</v>
      </c>
      <c r="C2" s="3239" t="s">
        <v>2745</v>
      </c>
      <c r="D2" s="3239"/>
      <c r="E2" s="3240"/>
      <c r="F2" s="3241"/>
      <c r="G2" s="3242"/>
      <c r="H2" s="3243"/>
      <c r="I2" s="3244"/>
      <c r="J2" s="3734" t="s">
        <v>2746</v>
      </c>
      <c r="K2" s="3735"/>
      <c r="L2" s="3245" t="s">
        <v>2747</v>
      </c>
      <c r="M2" s="3245" t="s">
        <v>2748</v>
      </c>
      <c r="N2" s="3245" t="s">
        <v>2749</v>
      </c>
      <c r="O2" s="3245" t="s">
        <v>2750</v>
      </c>
      <c r="P2" s="3245" t="s">
        <v>2751</v>
      </c>
      <c r="Q2" s="3246" t="s">
        <v>2752</v>
      </c>
      <c r="R2" s="3247" t="s">
        <v>2753</v>
      </c>
      <c r="S2" s="3235"/>
      <c r="T2" s="3235"/>
      <c r="U2" s="3235"/>
      <c r="V2" s="3244"/>
    </row>
    <row r="3" spans="1:22" s="3248" customFormat="1" ht="13.2" customHeight="1">
      <c r="A3" s="3249" t="s">
        <v>2754</v>
      </c>
      <c r="B3" s="3250" t="e">
        <f>ROUND(B2*10000/B4,0)</f>
        <v>#DIV/0!</v>
      </c>
      <c r="C3" s="3239" t="s">
        <v>2755</v>
      </c>
      <c r="D3" s="3239"/>
      <c r="E3" s="3240"/>
      <c r="F3" s="3241"/>
      <c r="G3" s="3242"/>
      <c r="H3" s="3243"/>
      <c r="I3" s="3244"/>
      <c r="J3" s="3736" t="s">
        <v>2756</v>
      </c>
      <c r="K3" s="3737"/>
      <c r="L3" s="3251"/>
      <c r="M3" s="3251"/>
      <c r="N3" s="3251"/>
      <c r="O3" s="3251"/>
      <c r="P3" s="3251"/>
      <c r="Q3" s="3252"/>
      <c r="R3" s="3253">
        <f>SUM(L3:Q3)</f>
        <v>0</v>
      </c>
      <c r="S3" s="3235"/>
      <c r="T3" s="3235"/>
      <c r="U3" s="3235"/>
      <c r="V3" s="3244"/>
    </row>
    <row r="4" spans="1:22" s="3248" customFormat="1" ht="13.2" customHeight="1">
      <c r="A4" s="3254" t="s">
        <v>2757</v>
      </c>
      <c r="B4" s="3255"/>
      <c r="C4" s="3239"/>
      <c r="D4" s="3239"/>
      <c r="E4" s="3240"/>
      <c r="F4" s="3241"/>
      <c r="G4" s="3242"/>
      <c r="H4" s="3243"/>
      <c r="I4" s="3244"/>
      <c r="J4" s="3736" t="s">
        <v>2758</v>
      </c>
      <c r="K4" s="3737"/>
      <c r="L4" s="3256"/>
      <c r="M4" s="3256"/>
      <c r="N4" s="3256"/>
      <c r="O4" s="3256"/>
      <c r="P4" s="3256"/>
      <c r="Q4" s="3257"/>
      <c r="R4" s="3258">
        <f>SUM(L4:Q4)</f>
        <v>0</v>
      </c>
      <c r="S4" s="3235"/>
      <c r="T4" s="3235"/>
      <c r="U4" s="3235"/>
      <c r="V4" s="3244"/>
    </row>
    <row r="5" spans="1:22" s="3248" customFormat="1" ht="13.2" customHeight="1" thickBot="1">
      <c r="A5" s="3259" t="s">
        <v>2759</v>
      </c>
      <c r="B5" s="3260"/>
      <c r="C5" s="3239"/>
      <c r="D5" s="3261"/>
      <c r="E5" s="3241"/>
      <c r="F5" s="3241"/>
      <c r="G5" s="3242"/>
      <c r="H5" s="3243"/>
      <c r="I5" s="3244"/>
      <c r="J5" s="3262" t="s">
        <v>2760</v>
      </c>
      <c r="K5" s="3263"/>
      <c r="L5" s="3263"/>
      <c r="M5" s="3264"/>
      <c r="N5" s="3264"/>
      <c r="O5" s="3264"/>
      <c r="P5" s="3264"/>
      <c r="Q5" s="3264"/>
      <c r="R5" s="3247">
        <f>SUM(R14,R19,R24,R25,R27,R28)</f>
        <v>0</v>
      </c>
      <c r="S5" s="3235"/>
      <c r="T5" s="3235" t="s">
        <v>2761</v>
      </c>
      <c r="U5" s="3235" t="e">
        <f>ROUND(R5*10000/365/R3,1)</f>
        <v>#DIV/0!</v>
      </c>
      <c r="V5" s="3244"/>
    </row>
    <row r="6" spans="1:22" s="3248" customFormat="1" ht="13.2" customHeight="1" thickBot="1">
      <c r="A6" s="3738" t="s">
        <v>2762</v>
      </c>
      <c r="B6" s="3739"/>
      <c r="C6" s="3740"/>
      <c r="D6" s="3265"/>
      <c r="E6" s="3266"/>
      <c r="F6" s="3267"/>
      <c r="G6" s="3268"/>
      <c r="H6" s="3243"/>
      <c r="I6" s="3244"/>
      <c r="J6" s="3741">
        <v>1</v>
      </c>
      <c r="K6" s="3742" t="s">
        <v>2763</v>
      </c>
      <c r="L6" s="3269" t="s">
        <v>2764</v>
      </c>
      <c r="M6" s="3270" t="s">
        <v>2765</v>
      </c>
      <c r="N6" s="3270" t="s">
        <v>2766</v>
      </c>
      <c r="O6" s="3270" t="s">
        <v>2767</v>
      </c>
      <c r="P6" s="3270" t="s">
        <v>2768</v>
      </c>
      <c r="Q6" s="3270" t="s">
        <v>2769</v>
      </c>
      <c r="R6" s="3253" t="s">
        <v>2770</v>
      </c>
      <c r="S6" s="3235"/>
      <c r="T6" s="3235" t="s">
        <v>2771</v>
      </c>
      <c r="U6" s="3235"/>
      <c r="V6" s="3244"/>
    </row>
    <row r="7" spans="1:22" s="3248" customFormat="1" ht="13.2" customHeight="1">
      <c r="A7" s="3271" t="s">
        <v>2772</v>
      </c>
      <c r="B7" s="3272"/>
      <c r="C7" s="3273"/>
      <c r="D7" s="3274">
        <f>SUM(D9,D10,D11,D17,0)</f>
        <v>0</v>
      </c>
      <c r="E7" s="3275" t="e">
        <f>E9+E10+E11+E17</f>
        <v>#DIV/0!</v>
      </c>
      <c r="F7" s="3276"/>
      <c r="G7" s="3277"/>
      <c r="H7" s="3243"/>
      <c r="I7" s="3244"/>
      <c r="J7" s="3741"/>
      <c r="K7" s="3743"/>
      <c r="L7" s="3278" t="s">
        <v>2773</v>
      </c>
      <c r="M7" s="3279"/>
      <c r="N7" s="3255"/>
      <c r="O7" s="3280"/>
      <c r="P7" s="3280"/>
      <c r="Q7" s="3281">
        <v>365</v>
      </c>
      <c r="R7" s="3282">
        <f>ROUND(M7*N7*O7*P7*Q7/10000,0)</f>
        <v>0</v>
      </c>
      <c r="S7" s="3235"/>
      <c r="T7" s="3235" t="s">
        <v>2774</v>
      </c>
      <c r="U7" s="3235"/>
      <c r="V7" s="3244"/>
    </row>
    <row r="8" spans="1:22" s="3248" customFormat="1" ht="13.2" customHeight="1">
      <c r="A8" s="3283" t="s">
        <v>2775</v>
      </c>
      <c r="B8" s="3745" t="s">
        <v>2776</v>
      </c>
      <c r="C8" s="3746"/>
      <c r="D8" s="3284" t="s">
        <v>2777</v>
      </c>
      <c r="E8" s="3285" t="s">
        <v>2778</v>
      </c>
      <c r="F8" s="3286" t="s">
        <v>2779</v>
      </c>
      <c r="G8" s="3287"/>
      <c r="H8" s="3243"/>
      <c r="I8" s="3244"/>
      <c r="J8" s="3741"/>
      <c r="K8" s="3743"/>
      <c r="L8" s="3278" t="s">
        <v>2780</v>
      </c>
      <c r="M8" s="3279"/>
      <c r="N8" s="3255"/>
      <c r="O8" s="3280"/>
      <c r="P8" s="3280"/>
      <c r="Q8" s="3281">
        <v>365</v>
      </c>
      <c r="R8" s="3282">
        <f t="shared" ref="R8:R13" si="0">ROUND(M8*N8*O8*P8*Q8/10000,0)</f>
        <v>0</v>
      </c>
      <c r="S8" s="3235"/>
      <c r="T8" s="3235" t="s">
        <v>2781</v>
      </c>
      <c r="U8" s="3235"/>
      <c r="V8" s="3244"/>
    </row>
    <row r="9" spans="1:22" s="3248" customFormat="1" ht="13.2" customHeight="1">
      <c r="A9" s="3283">
        <v>1</v>
      </c>
      <c r="B9" s="3745" t="s">
        <v>2782</v>
      </c>
      <c r="C9" s="3746"/>
      <c r="D9" s="3284">
        <f>ROUND(D6*E9,0)</f>
        <v>0</v>
      </c>
      <c r="E9" s="3288"/>
      <c r="F9" s="3289" t="s">
        <v>2783</v>
      </c>
      <c r="G9" s="3268"/>
      <c r="H9" s="3243"/>
      <c r="I9" s="3244"/>
      <c r="J9" s="3741"/>
      <c r="K9" s="3743"/>
      <c r="L9" s="3278" t="s">
        <v>2784</v>
      </c>
      <c r="M9" s="3279"/>
      <c r="N9" s="3255"/>
      <c r="O9" s="3280"/>
      <c r="P9" s="3280"/>
      <c r="Q9" s="3281">
        <v>365</v>
      </c>
      <c r="R9" s="3282">
        <f t="shared" si="0"/>
        <v>0</v>
      </c>
      <c r="S9" s="3235"/>
      <c r="T9" s="3235"/>
      <c r="U9" s="3235"/>
      <c r="V9" s="3244"/>
    </row>
    <row r="10" spans="1:22" s="3248" customFormat="1" ht="13.2" customHeight="1">
      <c r="A10" s="3283">
        <v>2</v>
      </c>
      <c r="B10" s="3745" t="s">
        <v>2785</v>
      </c>
      <c r="C10" s="3746"/>
      <c r="D10" s="3284">
        <f>ROUND(D6*E10,0)</f>
        <v>0</v>
      </c>
      <c r="E10" s="3288"/>
      <c r="F10" s="3289" t="s">
        <v>2786</v>
      </c>
      <c r="G10" s="3268"/>
      <c r="H10" s="3243"/>
      <c r="I10" s="3244"/>
      <c r="J10" s="3741"/>
      <c r="K10" s="3743"/>
      <c r="L10" s="3278" t="s">
        <v>2787</v>
      </c>
      <c r="M10" s="3279"/>
      <c r="N10" s="3255"/>
      <c r="O10" s="3280"/>
      <c r="P10" s="3280"/>
      <c r="Q10" s="3281">
        <v>365</v>
      </c>
      <c r="R10" s="3282">
        <f t="shared" si="0"/>
        <v>0</v>
      </c>
      <c r="S10" s="3235"/>
      <c r="T10" s="3235"/>
      <c r="U10" s="3235"/>
      <c r="V10" s="3244"/>
    </row>
    <row r="11" spans="1:22" s="3248" customFormat="1" ht="13.2" customHeight="1">
      <c r="A11" s="3283">
        <v>3</v>
      </c>
      <c r="B11" s="3745" t="s">
        <v>2788</v>
      </c>
      <c r="C11" s="3746"/>
      <c r="D11" s="3284">
        <f>D12+D14+D15+D16</f>
        <v>0</v>
      </c>
      <c r="E11" s="3290" t="e">
        <f>D11/D6</f>
        <v>#DIV/0!</v>
      </c>
      <c r="F11" s="3286"/>
      <c r="G11" s="3287"/>
      <c r="H11" s="3243"/>
      <c r="I11" s="3244"/>
      <c r="J11" s="3741"/>
      <c r="K11" s="3743"/>
      <c r="L11" s="3278" t="s">
        <v>2789</v>
      </c>
      <c r="M11" s="3279"/>
      <c r="N11" s="3255"/>
      <c r="O11" s="3280"/>
      <c r="P11" s="3280"/>
      <c r="Q11" s="3281">
        <v>365</v>
      </c>
      <c r="R11" s="3282">
        <f t="shared" si="0"/>
        <v>0</v>
      </c>
      <c r="S11" s="3235"/>
      <c r="T11" s="3235"/>
      <c r="U11" s="3235"/>
      <c r="V11" s="3244"/>
    </row>
    <row r="12" spans="1:22" s="3248" customFormat="1" ht="13.2" customHeight="1">
      <c r="A12" s="3291" t="s">
        <v>2790</v>
      </c>
      <c r="B12" s="3747" t="s">
        <v>2791</v>
      </c>
      <c r="C12" s="3748"/>
      <c r="D12" s="3292">
        <f>ROUND(D13*1.2%*(1-30%),0)</f>
        <v>0</v>
      </c>
      <c r="E12" s="3293">
        <v>1.2E-2</v>
      </c>
      <c r="F12" s="3286" t="s">
        <v>2792</v>
      </c>
      <c r="G12" s="3287"/>
      <c r="H12" s="3243"/>
      <c r="I12" s="3244"/>
      <c r="J12" s="3741"/>
      <c r="K12" s="3743"/>
      <c r="L12" s="3278" t="s">
        <v>2793</v>
      </c>
      <c r="M12" s="3279"/>
      <c r="N12" s="3255"/>
      <c r="O12" s="3280"/>
      <c r="P12" s="3280"/>
      <c r="Q12" s="3281">
        <v>365</v>
      </c>
      <c r="R12" s="3282">
        <f t="shared" si="0"/>
        <v>0</v>
      </c>
      <c r="S12" s="3235"/>
      <c r="T12" s="3235"/>
      <c r="U12" s="3235"/>
      <c r="V12" s="3244"/>
    </row>
    <row r="13" spans="1:22" s="3248" customFormat="1" ht="13.2" customHeight="1">
      <c r="A13" s="3291"/>
      <c r="B13" s="3294"/>
      <c r="C13" s="3295" t="s">
        <v>2794</v>
      </c>
      <c r="D13" s="3296"/>
      <c r="E13" s="3297"/>
      <c r="F13" s="3286"/>
      <c r="G13" s="3287"/>
      <c r="H13" s="3243"/>
      <c r="I13" s="3244"/>
      <c r="J13" s="3741"/>
      <c r="K13" s="3743"/>
      <c r="L13" s="3278" t="s">
        <v>2795</v>
      </c>
      <c r="M13" s="3279"/>
      <c r="N13" s="3255"/>
      <c r="O13" s="3280"/>
      <c r="P13" s="3280"/>
      <c r="Q13" s="3281">
        <v>365</v>
      </c>
      <c r="R13" s="3282">
        <f t="shared" si="0"/>
        <v>0</v>
      </c>
      <c r="S13" s="3235"/>
      <c r="T13" s="3235"/>
      <c r="U13" s="3235"/>
      <c r="V13" s="3244"/>
    </row>
    <row r="14" spans="1:22" s="3248" customFormat="1" ht="13.2" customHeight="1">
      <c r="A14" s="3291" t="s">
        <v>2796</v>
      </c>
      <c r="B14" s="3747" t="s">
        <v>2797</v>
      </c>
      <c r="C14" s="3748"/>
      <c r="D14" s="3292">
        <f>ROUND(E14*B5/10000,0)</f>
        <v>0</v>
      </c>
      <c r="E14" s="3281"/>
      <c r="F14" s="3286" t="s">
        <v>2798</v>
      </c>
      <c r="G14" s="3287"/>
      <c r="H14" s="3243"/>
      <c r="I14" s="3244"/>
      <c r="J14" s="3741"/>
      <c r="K14" s="3744"/>
      <c r="L14" s="3298" t="s">
        <v>2799</v>
      </c>
      <c r="M14" s="3299">
        <f>SUM(M7:M13)</f>
        <v>0</v>
      </c>
      <c r="N14" s="3299" t="e">
        <f>ROUND((N7*M7+N8*M8+N9*M9+N10*M10+N11*M11+N12*M12+N13*M13)/M14,0)</f>
        <v>#DIV/0!</v>
      </c>
      <c r="O14" s="3300"/>
      <c r="P14" s="3300"/>
      <c r="Q14" s="3301"/>
      <c r="R14" s="3247">
        <f>SUM(R7:R13)</f>
        <v>0</v>
      </c>
      <c r="S14" s="3235"/>
      <c r="T14" s="3235"/>
      <c r="U14" s="3235"/>
      <c r="V14" s="3244"/>
    </row>
    <row r="15" spans="1:22" s="3248" customFormat="1" ht="13.2" customHeight="1">
      <c r="A15" s="3291" t="s">
        <v>2800</v>
      </c>
      <c r="B15" s="3747" t="s">
        <v>2801</v>
      </c>
      <c r="C15" s="3748"/>
      <c r="D15" s="3292">
        <f>ROUND(D6*E15,0)</f>
        <v>0</v>
      </c>
      <c r="E15" s="3293">
        <v>5.5E-2</v>
      </c>
      <c r="F15" s="3286" t="s">
        <v>2802</v>
      </c>
      <c r="G15" s="3268"/>
      <c r="H15" s="3243"/>
      <c r="I15" s="3244"/>
      <c r="J15" s="3741">
        <v>2</v>
      </c>
      <c r="K15" s="3742" t="s">
        <v>2803</v>
      </c>
      <c r="L15" s="3278" t="s">
        <v>2804</v>
      </c>
      <c r="M15" s="3279" t="s">
        <v>2805</v>
      </c>
      <c r="N15" s="3279" t="s">
        <v>2806</v>
      </c>
      <c r="O15" s="3280" t="s">
        <v>2807</v>
      </c>
      <c r="P15" s="3280" t="s">
        <v>2808</v>
      </c>
      <c r="Q15" s="3255" t="s">
        <v>2809</v>
      </c>
      <c r="R15" s="3302" t="s">
        <v>2810</v>
      </c>
      <c r="S15" s="3235"/>
      <c r="T15" s="3235"/>
      <c r="U15" s="3235"/>
      <c r="V15" s="3244"/>
    </row>
    <row r="16" spans="1:22" s="3248" customFormat="1" ht="13.2" customHeight="1">
      <c r="A16" s="3291" t="s">
        <v>2811</v>
      </c>
      <c r="B16" s="3747" t="s">
        <v>2812</v>
      </c>
      <c r="C16" s="3748"/>
      <c r="D16" s="3303">
        <f>D6*E16</f>
        <v>0</v>
      </c>
      <c r="E16" s="3304"/>
      <c r="F16" s="3289" t="s">
        <v>2813</v>
      </c>
      <c r="G16" s="3268"/>
      <c r="H16" s="3243"/>
      <c r="I16" s="3244"/>
      <c r="J16" s="3741"/>
      <c r="K16" s="3743"/>
      <c r="L16" s="3278" t="s">
        <v>2814</v>
      </c>
      <c r="M16" s="3279"/>
      <c r="N16" s="3279"/>
      <c r="O16" s="3280"/>
      <c r="P16" s="3281">
        <v>365</v>
      </c>
      <c r="Q16" s="3255"/>
      <c r="R16" s="3302">
        <f>ROUND(M16*N16*O16*P16/10000,0)</f>
        <v>0</v>
      </c>
      <c r="S16" s="3235"/>
      <c r="T16" s="3235"/>
      <c r="U16" s="3235"/>
      <c r="V16" s="3244"/>
    </row>
    <row r="17" spans="1:22" s="3248" customFormat="1" ht="13.2" customHeight="1" thickBot="1">
      <c r="A17" s="3305">
        <v>4</v>
      </c>
      <c r="B17" s="3749" t="s">
        <v>2815</v>
      </c>
      <c r="C17" s="3750"/>
      <c r="D17" s="3306">
        <f>ROUND(D6*E17,0)</f>
        <v>0</v>
      </c>
      <c r="E17" s="3307"/>
      <c r="F17" s="3308" t="s">
        <v>2816</v>
      </c>
      <c r="G17" s="3268"/>
      <c r="H17" s="3243"/>
      <c r="I17" s="3244"/>
      <c r="J17" s="3741"/>
      <c r="K17" s="3743"/>
      <c r="L17" s="3278" t="s">
        <v>2817</v>
      </c>
      <c r="M17" s="3279"/>
      <c r="N17" s="3279"/>
      <c r="O17" s="3280"/>
      <c r="P17" s="3281">
        <v>365</v>
      </c>
      <c r="Q17" s="3255"/>
      <c r="R17" s="3302">
        <f>ROUND(M17*N17*O17*P17/10000,0)</f>
        <v>0</v>
      </c>
      <c r="S17" s="3235"/>
      <c r="T17" s="3235"/>
      <c r="U17" s="3235"/>
      <c r="V17" s="3244"/>
    </row>
    <row r="18" spans="1:22" s="3248" customFormat="1" ht="13.2" customHeight="1" thickBot="1">
      <c r="A18" s="3271" t="s">
        <v>2818</v>
      </c>
      <c r="B18" s="3272"/>
      <c r="C18" s="3272"/>
      <c r="D18" s="3309">
        <f>ROUND(D6*E18,0)</f>
        <v>0</v>
      </c>
      <c r="E18" s="3310"/>
      <c r="F18" s="3311" t="s">
        <v>2819</v>
      </c>
      <c r="G18" s="3268"/>
      <c r="H18" s="3243"/>
      <c r="I18" s="3244"/>
      <c r="J18" s="3741"/>
      <c r="K18" s="3743"/>
      <c r="L18" s="3278" t="s">
        <v>2820</v>
      </c>
      <c r="M18" s="3279"/>
      <c r="N18" s="3279"/>
      <c r="O18" s="3280"/>
      <c r="P18" s="3281">
        <v>365</v>
      </c>
      <c r="Q18" s="3255"/>
      <c r="R18" s="3302">
        <f>ROUND(M18*N18*O18*P18/10000,0)</f>
        <v>0</v>
      </c>
      <c r="S18" s="3235"/>
      <c r="T18" s="3235"/>
      <c r="U18" s="3235"/>
      <c r="V18" s="3244"/>
    </row>
    <row r="19" spans="1:22" s="3248" customFormat="1" ht="13.2" customHeight="1" thickBot="1">
      <c r="A19" s="3312" t="s">
        <v>2821</v>
      </c>
      <c r="B19" s="3266"/>
      <c r="C19" s="3266"/>
      <c r="D19" s="3266"/>
      <c r="E19" s="3266"/>
      <c r="F19" s="3267"/>
      <c r="G19" s="3287"/>
      <c r="H19" s="3243"/>
      <c r="I19" s="3244"/>
      <c r="J19" s="3741"/>
      <c r="K19" s="3744"/>
      <c r="L19" s="3298" t="s">
        <v>2799</v>
      </c>
      <c r="M19" s="3299"/>
      <c r="N19" s="3299">
        <f>SUM(N16:N18)</f>
        <v>0</v>
      </c>
      <c r="O19" s="3300"/>
      <c r="P19" s="3313" t="s">
        <v>2887</v>
      </c>
      <c r="Q19" s="3280"/>
      <c r="R19" s="3314">
        <f>ROUND(IF(P19="按比例",R14*Q19,SUM(R16:R18)),0)</f>
        <v>0</v>
      </c>
      <c r="S19" s="3235"/>
      <c r="T19" s="3235"/>
      <c r="U19" s="3235"/>
      <c r="V19" s="3244"/>
    </row>
    <row r="20" spans="1:22" s="3248" customFormat="1" ht="13.2" customHeight="1">
      <c r="A20" s="3271"/>
      <c r="B20" s="3272"/>
      <c r="C20" s="3272"/>
      <c r="D20" s="3272"/>
      <c r="E20" s="3272"/>
      <c r="F20" s="3315"/>
      <c r="G20" s="3287"/>
      <c r="H20" s="3243"/>
      <c r="I20" s="3244"/>
      <c r="J20" s="3741">
        <v>3</v>
      </c>
      <c r="K20" s="3742" t="s">
        <v>2822</v>
      </c>
      <c r="L20" s="3278" t="s">
        <v>2823</v>
      </c>
      <c r="M20" s="3279" t="s">
        <v>2824</v>
      </c>
      <c r="N20" s="3316" t="s">
        <v>2825</v>
      </c>
      <c r="O20" s="3280" t="s">
        <v>2826</v>
      </c>
      <c r="P20" s="3281" t="s">
        <v>2827</v>
      </c>
      <c r="Q20" s="3255" t="s">
        <v>2828</v>
      </c>
      <c r="R20" s="3302" t="s">
        <v>2770</v>
      </c>
      <c r="S20" s="3317"/>
      <c r="T20" s="3317"/>
      <c r="U20" s="3317"/>
      <c r="V20" s="3244"/>
    </row>
    <row r="21" spans="1:22" s="3248" customFormat="1" ht="13.2" customHeight="1">
      <c r="A21" s="3271"/>
      <c r="B21" s="3272"/>
      <c r="C21" s="3318" t="s">
        <v>2829</v>
      </c>
      <c r="D21" s="3319" t="s">
        <v>2830</v>
      </c>
      <c r="E21" s="3320" t="s">
        <v>2831</v>
      </c>
      <c r="F21" s="3315"/>
      <c r="G21" s="3287"/>
      <c r="H21" s="3243"/>
      <c r="I21" s="3244"/>
      <c r="J21" s="3741"/>
      <c r="K21" s="3743"/>
      <c r="L21" s="3278" t="s">
        <v>2832</v>
      </c>
      <c r="M21" s="3279"/>
      <c r="N21" s="3279"/>
      <c r="O21" s="3280"/>
      <c r="P21" s="3281">
        <v>365</v>
      </c>
      <c r="Q21" s="3255"/>
      <c r="R21" s="3321">
        <f>ROUND(M21*N21*O21*P21/10000,0)</f>
        <v>0</v>
      </c>
      <c r="S21" s="3317"/>
      <c r="T21" s="3317"/>
      <c r="U21" s="3317"/>
      <c r="V21" s="3244"/>
    </row>
    <row r="22" spans="1:22" s="3248" customFormat="1" ht="13.2" customHeight="1">
      <c r="A22" s="3271"/>
      <c r="B22" s="3272"/>
      <c r="C22" s="3322" t="s">
        <v>2833</v>
      </c>
      <c r="D22" s="3323" t="s">
        <v>2834</v>
      </c>
      <c r="E22" s="3324" t="s">
        <v>2835</v>
      </c>
      <c r="F22" s="3315"/>
      <c r="G22" s="3325"/>
      <c r="H22" s="3243"/>
      <c r="I22" s="3244"/>
      <c r="J22" s="3741"/>
      <c r="K22" s="3743"/>
      <c r="L22" s="3278" t="s">
        <v>2836</v>
      </c>
      <c r="M22" s="3279"/>
      <c r="N22" s="3279"/>
      <c r="O22" s="3280"/>
      <c r="P22" s="3281">
        <v>365</v>
      </c>
      <c r="Q22" s="3255"/>
      <c r="R22" s="3321">
        <f>ROUND(M22*N22*O22*P22/10000,0)</f>
        <v>0</v>
      </c>
      <c r="S22" s="3317"/>
      <c r="T22" s="3317"/>
      <c r="U22" s="3317"/>
      <c r="V22" s="3244"/>
    </row>
    <row r="23" spans="1:22" s="3248" customFormat="1" ht="13.2" customHeight="1">
      <c r="A23" s="3326">
        <v>1</v>
      </c>
      <c r="B23" s="3327" t="s">
        <v>2837</v>
      </c>
      <c r="C23" s="3328">
        <f>D6</f>
        <v>0</v>
      </c>
      <c r="D23" s="3329">
        <f>C23*(1+D24)</f>
        <v>0</v>
      </c>
      <c r="E23" s="3330">
        <f>D23*(1+E24)</f>
        <v>0</v>
      </c>
      <c r="F23" s="3331"/>
      <c r="G23" s="3332"/>
      <c r="H23" s="3243"/>
      <c r="I23" s="3244"/>
      <c r="J23" s="3741"/>
      <c r="K23" s="3743"/>
      <c r="L23" s="3278" t="s">
        <v>2838</v>
      </c>
      <c r="M23" s="3279"/>
      <c r="N23" s="3279"/>
      <c r="O23" s="3280"/>
      <c r="P23" s="3281">
        <v>365</v>
      </c>
      <c r="Q23" s="3255"/>
      <c r="R23" s="3321">
        <f>ROUND(M23*N23*O23*P23/10000,0)</f>
        <v>0</v>
      </c>
      <c r="S23" s="3235"/>
      <c r="T23" s="3235"/>
      <c r="U23" s="3235"/>
      <c r="V23" s="3244"/>
    </row>
    <row r="24" spans="1:22" s="3248" customFormat="1" ht="13.2" customHeight="1">
      <c r="A24" s="3333"/>
      <c r="B24" s="3334" t="s">
        <v>2839</v>
      </c>
      <c r="C24" s="3335"/>
      <c r="D24" s="3336"/>
      <c r="E24" s="3337"/>
      <c r="F24" s="3338"/>
      <c r="G24" s="3332"/>
      <c r="H24" s="3243"/>
      <c r="I24" s="3244"/>
      <c r="J24" s="3741"/>
      <c r="K24" s="3744"/>
      <c r="L24" s="3298" t="s">
        <v>2799</v>
      </c>
      <c r="M24" s="3299">
        <f>SUM(M21:M23)</f>
        <v>0</v>
      </c>
      <c r="N24" s="3299"/>
      <c r="O24" s="3300"/>
      <c r="P24" s="3313" t="s">
        <v>2887</v>
      </c>
      <c r="Q24" s="3280"/>
      <c r="R24" s="3314">
        <f>ROUND(IF(P24="按比例",R14*Q24,SUM(R21:R23)),0)</f>
        <v>0</v>
      </c>
      <c r="S24" s="3235"/>
      <c r="T24" s="3235"/>
      <c r="U24" s="3235"/>
      <c r="V24" s="3244"/>
    </row>
    <row r="25" spans="1:22" s="3345" customFormat="1" ht="13.2" customHeight="1">
      <c r="A25" s="3333"/>
      <c r="B25" s="3334"/>
      <c r="C25" s="3335"/>
      <c r="D25" s="3336"/>
      <c r="E25" s="3337"/>
      <c r="F25" s="3338"/>
      <c r="G25" s="3325"/>
      <c r="H25" s="3243"/>
      <c r="I25" s="3244"/>
      <c r="J25" s="3339">
        <v>4</v>
      </c>
      <c r="K25" s="3340" t="s">
        <v>2840</v>
      </c>
      <c r="L25" s="3341"/>
      <c r="M25" s="3341"/>
      <c r="N25" s="3341"/>
      <c r="O25" s="3341"/>
      <c r="P25" s="3342"/>
      <c r="Q25" s="3343"/>
      <c r="R25" s="3314">
        <f>ROUND(R14*Q25,0)</f>
        <v>0</v>
      </c>
      <c r="S25" s="3235"/>
      <c r="T25" s="3235"/>
      <c r="U25" s="3235"/>
      <c r="V25" s="3344"/>
    </row>
    <row r="26" spans="1:22" s="3345" customFormat="1" ht="13.2" customHeight="1">
      <c r="A26" s="3326">
        <v>2</v>
      </c>
      <c r="B26" s="3327" t="s">
        <v>2841</v>
      </c>
      <c r="C26" s="3328">
        <f>D7</f>
        <v>0</v>
      </c>
      <c r="D26" s="3329">
        <f>D23*D27</f>
        <v>0</v>
      </c>
      <c r="E26" s="3330">
        <f>E23*E27</f>
        <v>0</v>
      </c>
      <c r="F26" s="3331"/>
      <c r="G26" s="3332"/>
      <c r="H26" s="3243"/>
      <c r="I26" s="3244"/>
      <c r="J26" s="3751">
        <v>5</v>
      </c>
      <c r="K26" s="3346" t="s">
        <v>2842</v>
      </c>
      <c r="L26" s="3347"/>
      <c r="M26" s="3348"/>
      <c r="N26" s="3349" t="s">
        <v>2843</v>
      </c>
      <c r="O26" s="3349" t="s">
        <v>2844</v>
      </c>
      <c r="P26" s="3350" t="s">
        <v>2845</v>
      </c>
      <c r="Q26" s="3350" t="s">
        <v>2846</v>
      </c>
      <c r="R26" s="3253" t="s">
        <v>2847</v>
      </c>
      <c r="S26" s="3351"/>
      <c r="T26" s="3351"/>
      <c r="U26" s="3351"/>
      <c r="V26" s="3344"/>
    </row>
    <row r="27" spans="1:22" s="3248" customFormat="1" ht="13.2" customHeight="1">
      <c r="A27" s="3333"/>
      <c r="B27" s="3334" t="s">
        <v>2848</v>
      </c>
      <c r="C27" s="3352" t="e">
        <f>E7</f>
        <v>#DIV/0!</v>
      </c>
      <c r="D27" s="3336"/>
      <c r="E27" s="3337"/>
      <c r="F27" s="3338"/>
      <c r="G27" s="3332"/>
      <c r="H27" s="3353"/>
      <c r="I27" s="3344"/>
      <c r="J27" s="3752"/>
      <c r="K27" s="3354"/>
      <c r="L27" s="3355"/>
      <c r="M27" s="3356"/>
      <c r="N27" s="3357"/>
      <c r="O27" s="3357"/>
      <c r="P27" s="3357"/>
      <c r="Q27" s="3358"/>
      <c r="R27" s="3314">
        <f>ROUND(O27*N27*P27*(1-Q27)/10000,0)</f>
        <v>0</v>
      </c>
      <c r="S27" s="3235"/>
      <c r="T27" s="3235"/>
      <c r="U27" s="3235"/>
      <c r="V27" s="3244"/>
    </row>
    <row r="28" spans="1:22" s="3345" customFormat="1" ht="13.2" customHeight="1" thickBot="1">
      <c r="A28" s="3333"/>
      <c r="B28" s="3334"/>
      <c r="C28" s="3352"/>
      <c r="D28" s="3336"/>
      <c r="E28" s="3337" t="s">
        <v>2849</v>
      </c>
      <c r="F28" s="3338"/>
      <c r="G28" s="3325"/>
      <c r="H28" s="3353"/>
      <c r="I28" s="3344"/>
      <c r="J28" s="3359">
        <v>6</v>
      </c>
      <c r="K28" s="3360" t="s">
        <v>2850</v>
      </c>
      <c r="L28" s="3361" t="s">
        <v>2851</v>
      </c>
      <c r="M28" s="3362"/>
      <c r="N28" s="3361" t="s">
        <v>2852</v>
      </c>
      <c r="O28" s="3363"/>
      <c r="P28" s="3361" t="s">
        <v>2853</v>
      </c>
      <c r="Q28" s="3364">
        <v>1.4999999999999999E-2</v>
      </c>
      <c r="R28" s="3365"/>
      <c r="S28" s="3317"/>
      <c r="T28" s="3317"/>
      <c r="U28" s="3317"/>
      <c r="V28" s="3344"/>
    </row>
    <row r="29" spans="1:22" s="3345" customFormat="1" ht="13.2" customHeight="1">
      <c r="A29" s="3326">
        <v>3</v>
      </c>
      <c r="B29" s="3327" t="s">
        <v>2854</v>
      </c>
      <c r="C29" s="3328">
        <f>C23*C30</f>
        <v>0</v>
      </c>
      <c r="D29" s="3329">
        <f>D23*C30</f>
        <v>0</v>
      </c>
      <c r="E29" s="3330">
        <f>E23*C30</f>
        <v>0</v>
      </c>
      <c r="F29" s="3331"/>
      <c r="G29" s="3332"/>
      <c r="H29" s="3243"/>
      <c r="I29" s="3244"/>
      <c r="J29" s="3317"/>
      <c r="K29" s="3317"/>
      <c r="L29" s="3317"/>
      <c r="M29" s="3317"/>
      <c r="N29" s="3317"/>
      <c r="O29" s="3317"/>
      <c r="P29" s="3317"/>
      <c r="Q29" s="3317"/>
      <c r="R29" s="3317"/>
      <c r="S29" s="3317"/>
      <c r="T29" s="3317"/>
      <c r="U29" s="3317"/>
      <c r="V29" s="3344"/>
    </row>
    <row r="30" spans="1:22" s="3248" customFormat="1" ht="13.2" customHeight="1" thickBot="1">
      <c r="A30" s="3333"/>
      <c r="B30" s="3334" t="s">
        <v>2855</v>
      </c>
      <c r="C30" s="3352">
        <f>E18</f>
        <v>0</v>
      </c>
      <c r="D30" s="3366"/>
      <c r="E30" s="3297"/>
      <c r="F30" s="3338"/>
      <c r="G30" s="3332"/>
      <c r="H30" s="3353"/>
      <c r="I30" s="3344"/>
      <c r="J30" s="3317"/>
      <c r="K30" s="3317"/>
      <c r="L30" s="3317"/>
      <c r="M30" s="3317"/>
      <c r="N30" s="3317"/>
      <c r="O30" s="3317"/>
      <c r="P30" s="3317"/>
      <c r="Q30" s="3317"/>
      <c r="R30" s="3317"/>
      <c r="S30" s="3317"/>
      <c r="T30" s="3317"/>
      <c r="U30" s="3235"/>
      <c r="V30" s="3244"/>
    </row>
    <row r="31" spans="1:22" s="3345" customFormat="1" ht="13.2" customHeight="1">
      <c r="A31" s="3333"/>
      <c r="B31" s="3334"/>
      <c r="C31" s="3367"/>
      <c r="D31" s="3366"/>
      <c r="E31" s="3297"/>
      <c r="F31" s="3338"/>
      <c r="G31" s="3325"/>
      <c r="H31" s="3353"/>
      <c r="I31" s="3344"/>
      <c r="J31" s="3232" t="s">
        <v>2856</v>
      </c>
      <c r="K31" s="3233"/>
      <c r="L31" s="3233"/>
      <c r="M31" s="3233"/>
      <c r="N31" s="3233"/>
      <c r="O31" s="3233"/>
      <c r="P31" s="3233"/>
      <c r="Q31" s="3233"/>
      <c r="R31" s="3234"/>
      <c r="S31" s="3317"/>
      <c r="T31" s="3235"/>
      <c r="U31" s="3235"/>
      <c r="V31" s="3344"/>
    </row>
    <row r="32" spans="1:22" s="3345" customFormat="1" ht="13.2" customHeight="1">
      <c r="A32" s="3326">
        <v>4</v>
      </c>
      <c r="B32" s="3327" t="s">
        <v>2857</v>
      </c>
      <c r="C32" s="3328">
        <f>C23-C26-C29</f>
        <v>0</v>
      </c>
      <c r="D32" s="3329">
        <f>D23-D26-D29</f>
        <v>0</v>
      </c>
      <c r="E32" s="3330">
        <f>E23-E26-E29</f>
        <v>0</v>
      </c>
      <c r="F32" s="3331"/>
      <c r="G32" s="3325"/>
      <c r="H32" s="3243"/>
      <c r="I32" s="3244"/>
      <c r="J32" s="3734" t="s">
        <v>2858</v>
      </c>
      <c r="K32" s="3735"/>
      <c r="L32" s="3245" t="s">
        <v>2859</v>
      </c>
      <c r="M32" s="3245" t="s">
        <v>2748</v>
      </c>
      <c r="N32" s="3245" t="s">
        <v>2749</v>
      </c>
      <c r="O32" s="3245" t="s">
        <v>2750</v>
      </c>
      <c r="P32" s="3245" t="s">
        <v>2751</v>
      </c>
      <c r="Q32" s="3246" t="s">
        <v>2860</v>
      </c>
      <c r="R32" s="3368" t="s">
        <v>2861</v>
      </c>
      <c r="S32" s="3317"/>
      <c r="T32" s="3235"/>
      <c r="U32" s="3235"/>
      <c r="V32" s="3344"/>
    </row>
    <row r="33" spans="1:23" s="3248" customFormat="1" ht="13.2" customHeight="1">
      <c r="A33" s="3326"/>
      <c r="B33" s="3327"/>
      <c r="C33" s="3328"/>
      <c r="D33" s="3369"/>
      <c r="E33" s="3370"/>
      <c r="F33" s="3331"/>
      <c r="G33" s="3325"/>
      <c r="H33" s="3353"/>
      <c r="I33" s="3344"/>
      <c r="J33" s="3736" t="s">
        <v>2862</v>
      </c>
      <c r="K33" s="3737"/>
      <c r="L33" s="3251"/>
      <c r="M33" s="3251"/>
      <c r="N33" s="3251"/>
      <c r="O33" s="3251"/>
      <c r="P33" s="3251"/>
      <c r="Q33" s="3252"/>
      <c r="R33" s="3371">
        <f>SUM(L33:Q33)</f>
        <v>0</v>
      </c>
      <c r="S33" s="3317"/>
      <c r="T33" s="3235"/>
      <c r="U33" s="3235"/>
      <c r="V33" s="3244"/>
    </row>
    <row r="34" spans="1:23" s="3248" customFormat="1" ht="13.2" customHeight="1">
      <c r="A34" s="3326">
        <v>5</v>
      </c>
      <c r="B34" s="3327" t="s">
        <v>2863</v>
      </c>
      <c r="C34" s="3372"/>
      <c r="D34" s="3373"/>
      <c r="E34" s="3374"/>
      <c r="F34" s="3331"/>
      <c r="G34" s="3325"/>
      <c r="H34" s="3353"/>
      <c r="I34" s="3344"/>
      <c r="J34" s="3736" t="s">
        <v>2864</v>
      </c>
      <c r="K34" s="3737"/>
      <c r="L34" s="3256"/>
      <c r="M34" s="3256"/>
      <c r="N34" s="3256"/>
      <c r="O34" s="3256"/>
      <c r="P34" s="3256"/>
      <c r="Q34" s="3257"/>
      <c r="R34" s="3375">
        <f>SUM(L34:Q34)</f>
        <v>0</v>
      </c>
      <c r="S34" s="3317"/>
      <c r="T34" s="3235"/>
      <c r="U34" s="3235" t="e">
        <f>ROUND(R35*10000/365/R33,1)</f>
        <v>#DIV/0!</v>
      </c>
      <c r="V34" s="3244"/>
    </row>
    <row r="35" spans="1:23" s="3248" customFormat="1" ht="13.2" customHeight="1">
      <c r="A35" s="3326">
        <v>6</v>
      </c>
      <c r="B35" s="3327" t="s">
        <v>2865</v>
      </c>
      <c r="C35" s="3376"/>
      <c r="D35" s="3377"/>
      <c r="E35" s="3378"/>
      <c r="F35" s="3331"/>
      <c r="G35" s="3379"/>
      <c r="H35" s="3243"/>
      <c r="I35" s="3344"/>
      <c r="J35" s="3262" t="s">
        <v>2866</v>
      </c>
      <c r="K35" s="3263"/>
      <c r="L35" s="3263"/>
      <c r="M35" s="3264"/>
      <c r="N35" s="3264"/>
      <c r="O35" s="3264"/>
      <c r="P35" s="3264"/>
      <c r="Q35" s="3264"/>
      <c r="R35" s="3380">
        <f>R40+R41+R43</f>
        <v>0</v>
      </c>
      <c r="S35" s="3317"/>
      <c r="T35" s="3235" t="s">
        <v>2867</v>
      </c>
      <c r="U35" s="3235"/>
      <c r="V35" s="3244"/>
    </row>
    <row r="36" spans="1:23" s="3248" customFormat="1" ht="13.2" customHeight="1" thickBot="1">
      <c r="A36" s="3326">
        <v>7</v>
      </c>
      <c r="B36" s="3381" t="s">
        <v>2868</v>
      </c>
      <c r="C36" s="3382"/>
      <c r="D36" s="3383"/>
      <c r="E36" s="3384"/>
      <c r="F36" s="3385">
        <f>C36+D36+E36</f>
        <v>0</v>
      </c>
      <c r="G36" s="3325"/>
      <c r="H36" s="3243"/>
      <c r="I36" s="3244"/>
      <c r="J36" s="3741">
        <v>1</v>
      </c>
      <c r="K36" s="3742" t="s">
        <v>2869</v>
      </c>
      <c r="L36" s="3269"/>
      <c r="M36" s="3270"/>
      <c r="N36" s="3270"/>
      <c r="O36" s="3270"/>
      <c r="P36" s="3270"/>
      <c r="Q36" s="3270"/>
      <c r="R36" s="3253" t="s">
        <v>2770</v>
      </c>
      <c r="S36" s="3317"/>
      <c r="T36" s="3235" t="s">
        <v>2771</v>
      </c>
      <c r="U36" s="3235"/>
      <c r="V36" s="3244"/>
    </row>
    <row r="37" spans="1:23" s="3248" customFormat="1" ht="13.2" customHeight="1">
      <c r="A37" s="3326"/>
      <c r="B37" s="3327"/>
      <c r="C37" s="3327"/>
      <c r="D37" s="3327"/>
      <c r="E37" s="3327"/>
      <c r="F37" s="3331"/>
      <c r="G37" s="3325"/>
      <c r="H37" s="3243"/>
      <c r="I37" s="3244"/>
      <c r="J37" s="3741"/>
      <c r="K37" s="3743"/>
      <c r="L37" s="3278"/>
      <c r="M37" s="3279"/>
      <c r="N37" s="3255"/>
      <c r="O37" s="3280"/>
      <c r="P37" s="3280"/>
      <c r="Q37" s="3281"/>
      <c r="R37" s="3282"/>
      <c r="S37" s="3317"/>
      <c r="T37" s="3235" t="s">
        <v>2774</v>
      </c>
      <c r="U37" s="3235"/>
      <c r="V37" s="3244"/>
    </row>
    <row r="38" spans="1:23" s="3248" customFormat="1" ht="13.2" customHeight="1">
      <c r="A38" s="3326">
        <v>8</v>
      </c>
      <c r="B38" s="3327"/>
      <c r="C38" s="3284" t="e">
        <f>ROUND(C32*(1-((1+C35)/(1+C34))^C36)/(C34-C35),0)</f>
        <v>#DIV/0!</v>
      </c>
      <c r="D38" s="3284">
        <f>IF(D23=0,0,ROUND(D32*(1-((1+D35)/(1+D34))^D36)/(D34-D35),0))</f>
        <v>0</v>
      </c>
      <c r="E38" s="3284">
        <f>IF(E23=0,0,ROUND(E32*(1-((1+E35)/(1+E34))^E36)/(E34-E35),0))</f>
        <v>0</v>
      </c>
      <c r="F38" s="3331"/>
      <c r="G38" s="3325"/>
      <c r="H38" s="3243"/>
      <c r="I38" s="3244"/>
      <c r="J38" s="3741"/>
      <c r="K38" s="3743"/>
      <c r="L38" s="3278"/>
      <c r="M38" s="3279"/>
      <c r="N38" s="3255"/>
      <c r="O38" s="3280"/>
      <c r="P38" s="3280"/>
      <c r="Q38" s="3281"/>
      <c r="R38" s="3282"/>
      <c r="S38" s="3317"/>
      <c r="T38" s="3235" t="s">
        <v>2781</v>
      </c>
      <c r="U38" s="3235"/>
      <c r="V38" s="3244"/>
    </row>
    <row r="39" spans="1:23" s="3248" customFormat="1" ht="13.2" customHeight="1">
      <c r="A39" s="3326">
        <v>9</v>
      </c>
      <c r="B39" s="3327" t="s">
        <v>2870</v>
      </c>
      <c r="C39" s="3292" t="e">
        <f>C38</f>
        <v>#DIV/0!</v>
      </c>
      <c r="D39" s="3327">
        <f>D38/(1+D34)^C36</f>
        <v>0</v>
      </c>
      <c r="E39" s="3327">
        <f>E38/(1+E34)^(C36+D36)</f>
        <v>0</v>
      </c>
      <c r="F39" s="3331"/>
      <c r="G39" s="3386"/>
      <c r="H39" s="3243"/>
      <c r="I39" s="3244"/>
      <c r="J39" s="3741"/>
      <c r="K39" s="3743"/>
      <c r="L39" s="3278"/>
      <c r="M39" s="3279"/>
      <c r="N39" s="3255"/>
      <c r="O39" s="3280"/>
      <c r="P39" s="3280"/>
      <c r="Q39" s="3281"/>
      <c r="R39" s="3282"/>
      <c r="S39" s="3317"/>
      <c r="T39" s="3235"/>
      <c r="U39" s="3235"/>
      <c r="V39" s="3244"/>
    </row>
    <row r="40" spans="1:23" s="3248" customFormat="1" ht="13.2" customHeight="1">
      <c r="A40" s="3387">
        <v>10</v>
      </c>
      <c r="B40" s="3327" t="s">
        <v>2871</v>
      </c>
      <c r="C40" s="3388" t="e">
        <f>C39+D39+E39</f>
        <v>#DIV/0!</v>
      </c>
      <c r="D40" s="3389"/>
      <c r="E40" s="3389"/>
      <c r="F40" s="3390"/>
      <c r="G40" s="3325"/>
      <c r="H40" s="3243"/>
      <c r="I40" s="3244"/>
      <c r="J40" s="3741"/>
      <c r="K40" s="3744"/>
      <c r="L40" s="3298" t="s">
        <v>2872</v>
      </c>
      <c r="M40" s="3299"/>
      <c r="N40" s="3299"/>
      <c r="O40" s="3300"/>
      <c r="P40" s="3300"/>
      <c r="Q40" s="3301"/>
      <c r="R40" s="3247">
        <f>SUM(R37:R39)</f>
        <v>0</v>
      </c>
      <c r="S40" s="3317"/>
      <c r="T40" s="3235"/>
      <c r="U40" s="3235"/>
      <c r="V40" s="3244"/>
    </row>
    <row r="41" spans="1:23" s="3248" customFormat="1" ht="13.2" customHeight="1" thickBot="1">
      <c r="A41" s="3391">
        <v>11</v>
      </c>
      <c r="B41" s="3392" t="s">
        <v>2873</v>
      </c>
      <c r="C41" s="3392" t="e">
        <f>ROUND(C40*10000/B4,0)</f>
        <v>#DIV/0!</v>
      </c>
      <c r="D41" s="3393"/>
      <c r="E41" s="3393"/>
      <c r="F41" s="3394"/>
      <c r="G41" s="3395"/>
      <c r="H41" s="3243"/>
      <c r="I41" s="3244"/>
      <c r="J41" s="3339">
        <v>2</v>
      </c>
      <c r="K41" s="3340" t="s">
        <v>2874</v>
      </c>
      <c r="L41" s="3341"/>
      <c r="M41" s="3341"/>
      <c r="N41" s="3341"/>
      <c r="O41" s="3341"/>
      <c r="P41" s="3342"/>
      <c r="Q41" s="3343"/>
      <c r="R41" s="3314">
        <f>ROUND(R40*Q41,0)</f>
        <v>0</v>
      </c>
      <c r="S41" s="3317"/>
      <c r="T41" s="3235"/>
      <c r="U41" s="3351"/>
      <c r="V41" s="3244"/>
    </row>
    <row r="42" spans="1:23" s="3248" customFormat="1" ht="13.2" customHeight="1">
      <c r="G42" s="3395"/>
      <c r="H42" s="3243"/>
      <c r="I42" s="3244"/>
      <c r="J42" s="3751">
        <v>3</v>
      </c>
      <c r="K42" s="3346" t="s">
        <v>2875</v>
      </c>
      <c r="L42" s="3347"/>
      <c r="M42" s="3348"/>
      <c r="N42" s="3349" t="s">
        <v>2876</v>
      </c>
      <c r="O42" s="3349" t="s">
        <v>2877</v>
      </c>
      <c r="P42" s="3350" t="s">
        <v>2878</v>
      </c>
      <c r="Q42" s="3350" t="s">
        <v>2879</v>
      </c>
      <c r="R42" s="3253" t="s">
        <v>2880</v>
      </c>
      <c r="S42" s="3351"/>
      <c r="T42" s="3351"/>
      <c r="U42" s="3235"/>
      <c r="V42" s="3244"/>
    </row>
    <row r="43" spans="1:23" ht="13.2" customHeight="1">
      <c r="A43" s="3248"/>
      <c r="B43" s="3248"/>
      <c r="C43" s="3248"/>
      <c r="D43" s="3248"/>
      <c r="E43" s="3248"/>
      <c r="F43" s="3248"/>
      <c r="I43" s="3230"/>
      <c r="J43" s="3752"/>
      <c r="K43" s="3354"/>
      <c r="L43" s="3355"/>
      <c r="M43" s="3356"/>
      <c r="N43" s="3279"/>
      <c r="O43" s="3279"/>
      <c r="P43" s="3279"/>
      <c r="Q43" s="3343"/>
      <c r="R43" s="3314">
        <f>ROUND(O43*N43*P43*(1-Q43)/10000,0)</f>
        <v>0</v>
      </c>
      <c r="S43" s="3317"/>
      <c r="T43" s="3235"/>
      <c r="V43" s="3397"/>
      <c r="W43" s="3398"/>
    </row>
    <row r="44" spans="1:23" ht="13.2" customHeight="1" thickBot="1">
      <c r="J44" s="3359">
        <v>6</v>
      </c>
      <c r="K44" s="3360" t="s">
        <v>2881</v>
      </c>
      <c r="L44" s="3399" t="s">
        <v>2882</v>
      </c>
      <c r="M44" s="3362"/>
      <c r="N44" s="3399" t="s">
        <v>2883</v>
      </c>
      <c r="O44" s="3362"/>
      <c r="P44" s="3399" t="s">
        <v>2884</v>
      </c>
      <c r="Q44" s="3364">
        <v>1.4999999999999999E-2</v>
      </c>
      <c r="R44" s="3365"/>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2021" customWidth="1"/>
    <col min="2" max="2" width="26.6640625" style="2022" customWidth="1"/>
    <col min="3" max="3" width="11.109375" style="2022" customWidth="1"/>
    <col min="4" max="5" width="11.109375" style="2023" customWidth="1"/>
    <col min="6" max="6" width="9.44140625" style="2022" customWidth="1"/>
    <col min="7" max="7" width="31.88671875" style="2022" customWidth="1"/>
    <col min="8" max="25" width="9" style="2024" customWidth="1"/>
    <col min="26" max="254" width="9" style="2022" customWidth="1"/>
    <col min="255" max="16384" width="8.33203125" style="2022"/>
  </cols>
  <sheetData>
    <row r="1" spans="1:25" s="1897" customFormat="1" ht="21">
      <c r="A1" s="415" t="s">
        <v>585</v>
      </c>
      <c r="B1" s="717"/>
      <c r="C1" s="2018"/>
      <c r="D1" s="2018"/>
      <c r="E1" s="2018"/>
      <c r="F1" s="2018"/>
      <c r="G1" s="1945"/>
    </row>
    <row r="2" spans="1:25" s="1897" customFormat="1" ht="18" customHeight="1">
      <c r="A2" s="417" t="s">
        <v>461</v>
      </c>
      <c r="B2" s="419" t="e">
        <f ca="1">C23</f>
        <v>#DIV/0!</v>
      </c>
      <c r="C2" s="3177"/>
      <c r="D2" s="3177"/>
      <c r="E2" s="3177"/>
      <c r="F2" s="3177"/>
      <c r="G2" s="3177"/>
    </row>
    <row r="3" spans="1:25" s="1897" customFormat="1" ht="18" customHeight="1">
      <c r="A3" s="1287" t="s">
        <v>1485</v>
      </c>
      <c r="B3" s="419" t="e">
        <f ca="1">ROUND(B2*10000/'数据-汇总表'!E3,0)</f>
        <v>#DIV/0!</v>
      </c>
      <c r="C3" s="3177"/>
      <c r="D3" s="3177"/>
      <c r="E3" s="3177"/>
      <c r="F3" s="3177"/>
      <c r="G3" s="3177"/>
    </row>
    <row r="4" spans="1:25" s="1897" customFormat="1" ht="18" customHeight="1">
      <c r="A4" s="420" t="s">
        <v>462</v>
      </c>
      <c r="B4" s="421" t="e">
        <f ca="1">ROUND(B2*10000/'数据-汇总表'!D3,0)</f>
        <v>#DIV/0!</v>
      </c>
      <c r="C4" s="3130"/>
      <c r="D4" s="3177"/>
      <c r="E4" s="3177"/>
      <c r="F4" s="3177"/>
      <c r="G4" s="3177"/>
    </row>
    <row r="5" spans="1:25" s="1897" customFormat="1" ht="18" customHeight="1" thickBot="1">
      <c r="A5" s="423"/>
      <c r="B5" s="424" t="e">
        <f ca="1">ROUND(B2/('数据-汇总表'!D3/666.67),0)</f>
        <v>#DIV/0!</v>
      </c>
      <c r="C5" s="425" t="s">
        <v>463</v>
      </c>
      <c r="D5" s="3177"/>
      <c r="E5" s="3177"/>
      <c r="F5" s="3177"/>
      <c r="G5" s="3177"/>
    </row>
    <row r="6" spans="1:25" s="2019" customFormat="1" ht="13.5" customHeight="1">
      <c r="A6" s="718"/>
      <c r="B6" s="719" t="s">
        <v>586</v>
      </c>
      <c r="C6" s="720" t="s">
        <v>587</v>
      </c>
      <c r="D6" s="720" t="s">
        <v>588</v>
      </c>
      <c r="E6" s="721" t="s">
        <v>589</v>
      </c>
      <c r="F6" s="721" t="s">
        <v>590</v>
      </c>
      <c r="G6" s="3176" t="s">
        <v>2727</v>
      </c>
    </row>
    <row r="7" spans="1:25" s="2019" customFormat="1" ht="13.5" customHeight="1">
      <c r="A7" s="2278">
        <v>1</v>
      </c>
      <c r="B7" s="722" t="s">
        <v>591</v>
      </c>
      <c r="C7" s="723">
        <f>C8+C9</f>
        <v>0</v>
      </c>
      <c r="D7" s="723"/>
      <c r="E7" s="724"/>
      <c r="F7" s="724"/>
      <c r="G7" s="2287"/>
    </row>
    <row r="8" spans="1:25" s="2019" customFormat="1" ht="13.5" customHeight="1">
      <c r="A8" s="2278" t="s">
        <v>2221</v>
      </c>
      <c r="B8" s="2281" t="s">
        <v>2223</v>
      </c>
      <c r="C8" s="3180">
        <f t="shared" ref="C8:C9" si="0">ROUND(D8*E8/10000,0)</f>
        <v>0</v>
      </c>
      <c r="D8" s="3180">
        <v>0</v>
      </c>
      <c r="E8" s="3181">
        <v>0</v>
      </c>
      <c r="F8" s="724"/>
      <c r="G8" s="725"/>
    </row>
    <row r="9" spans="1:25" s="2019" customFormat="1" ht="13.5" customHeight="1">
      <c r="A9" s="2278" t="s">
        <v>2222</v>
      </c>
      <c r="B9" s="2281" t="s">
        <v>2224</v>
      </c>
      <c r="C9" s="3180">
        <f t="shared" si="0"/>
        <v>0</v>
      </c>
      <c r="D9" s="3180">
        <v>0</v>
      </c>
      <c r="E9" s="3181">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2221</v>
      </c>
      <c r="B11" s="726" t="s">
        <v>592</v>
      </c>
      <c r="C11" s="727">
        <f>'数据-取费表'!B29</f>
        <v>0</v>
      </c>
      <c r="D11" s="728"/>
      <c r="E11" s="727"/>
      <c r="F11" s="729"/>
      <c r="G11" s="2286" t="s">
        <v>2232</v>
      </c>
    </row>
    <row r="12" spans="1:25" s="2019" customFormat="1" ht="13.5" customHeight="1">
      <c r="A12" s="2284" t="s">
        <v>2229</v>
      </c>
      <c r="B12" s="730" t="s">
        <v>593</v>
      </c>
      <c r="C12" s="731">
        <f>ROUND(D12*E12/10000,0)</f>
        <v>0</v>
      </c>
      <c r="D12" s="3180">
        <f>'数据-汇总表'!E5</f>
        <v>0</v>
      </c>
      <c r="E12" s="3180">
        <f>'数据-取费表'!B27</f>
        <v>0</v>
      </c>
      <c r="F12" s="729"/>
      <c r="G12" s="732"/>
    </row>
    <row r="13" spans="1:25" s="2019" customFormat="1" ht="13.5" customHeight="1">
      <c r="A13" s="2284" t="s">
        <v>2228</v>
      </c>
      <c r="B13" s="730" t="s">
        <v>594</v>
      </c>
      <c r="C13" s="731">
        <f>ROUND(D13*E13/10000,0)</f>
        <v>0</v>
      </c>
      <c r="D13" s="3180">
        <f>'数据-汇总表'!E6</f>
        <v>0</v>
      </c>
      <c r="E13" s="3180">
        <f>'数据-取费表'!B28</f>
        <v>0</v>
      </c>
      <c r="F13" s="729"/>
      <c r="G13" s="732"/>
    </row>
    <row r="14" spans="1:25" s="2019" customFormat="1" ht="13.5" customHeight="1">
      <c r="A14" s="2278" t="s">
        <v>2222</v>
      </c>
      <c r="B14" s="2283" t="s">
        <v>2225</v>
      </c>
      <c r="C14" s="3182">
        <f t="shared" ref="C14:C15" si="1">ROUND(D14*E14/10000,0)</f>
        <v>0</v>
      </c>
      <c r="D14" s="3180">
        <v>0</v>
      </c>
      <c r="E14" s="3181">
        <v>0</v>
      </c>
      <c r="F14" s="2282"/>
      <c r="G14" s="2285" t="s">
        <v>2230</v>
      </c>
    </row>
    <row r="15" spans="1:25" s="2019" customFormat="1" ht="13.5" customHeight="1">
      <c r="A15" s="2278" t="s">
        <v>2227</v>
      </c>
      <c r="B15" s="2283" t="s">
        <v>2226</v>
      </c>
      <c r="C15" s="3182">
        <f t="shared" si="1"/>
        <v>0</v>
      </c>
      <c r="D15" s="3180">
        <v>0</v>
      </c>
      <c r="E15" s="3181">
        <v>0</v>
      </c>
      <c r="F15" s="2282"/>
      <c r="G15" s="2285" t="s">
        <v>2231</v>
      </c>
    </row>
    <row r="16" spans="1:25" s="2020" customFormat="1" ht="48">
      <c r="A16" s="2278">
        <v>3</v>
      </c>
      <c r="B16" s="722" t="s">
        <v>597</v>
      </c>
      <c r="C16" s="3182">
        <f t="shared" ref="C16" si="2">ROUND(D16*E16/10000,0)</f>
        <v>0</v>
      </c>
      <c r="D16" s="3180">
        <v>0</v>
      </c>
      <c r="E16" s="3181">
        <v>0</v>
      </c>
      <c r="F16" s="734"/>
      <c r="G16" s="732" t="s">
        <v>2233</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6.4">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5.2">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t="e">
        <f ca="1">ROUND(C21*F22,0)</f>
        <v>#DIV/0!</v>
      </c>
      <c r="D22" s="733"/>
      <c r="E22" s="723"/>
      <c r="F22" s="739" t="e">
        <f>'数据-取费表'!AP16</f>
        <v>#DIV/0!</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2" customHeight="1" thickBot="1">
      <c r="A23" s="2280">
        <v>10</v>
      </c>
      <c r="B23" s="740" t="s">
        <v>609</v>
      </c>
      <c r="C23" s="741" t="e">
        <f ca="1">C22</f>
        <v>#DIV/0!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9" customFormat="1">
      <c r="A24" s="3178"/>
      <c r="D24" s="1839"/>
      <c r="E24" s="1839"/>
    </row>
    <row r="25" spans="1:25" s="3179" customFormat="1">
      <c r="A25" s="3178"/>
      <c r="D25" s="1839"/>
      <c r="E25" s="1839"/>
    </row>
    <row r="26" spans="1:25" s="3179" customFormat="1">
      <c r="A26" s="3178"/>
      <c r="D26" s="1839"/>
      <c r="E26" s="1839"/>
    </row>
    <row r="27" spans="1:25" s="3179" customFormat="1">
      <c r="A27" s="3178"/>
      <c r="D27" s="1839"/>
      <c r="E27" s="1839"/>
    </row>
    <row r="28" spans="1:25" s="3179" customFormat="1">
      <c r="A28" s="3178"/>
      <c r="D28" s="1839"/>
      <c r="E28" s="1839"/>
    </row>
    <row r="29" spans="1:25" s="3179" customFormat="1">
      <c r="A29" s="3178"/>
      <c r="D29" s="1839"/>
      <c r="E29" s="1839"/>
    </row>
    <row r="30" spans="1:25" s="3179" customFormat="1">
      <c r="A30" s="3178"/>
      <c r="D30" s="1839"/>
      <c r="E30" s="1839"/>
    </row>
    <row r="31" spans="1:25" s="3179" customFormat="1">
      <c r="A31" s="3178"/>
      <c r="D31" s="1839"/>
      <c r="E31" s="1839"/>
    </row>
    <row r="32" spans="1:25" s="3179" customFormat="1">
      <c r="A32" s="3178"/>
      <c r="D32" s="1839"/>
      <c r="E32" s="1839"/>
    </row>
    <row r="33" spans="1:5" s="3179" customFormat="1">
      <c r="A33" s="3178"/>
      <c r="D33" s="1839"/>
      <c r="E33" s="1839"/>
    </row>
    <row r="34" spans="1:5" s="3179" customFormat="1">
      <c r="A34" s="3178"/>
      <c r="D34" s="1839"/>
      <c r="E34" s="1839"/>
    </row>
    <row r="35" spans="1:5" s="3179" customFormat="1">
      <c r="A35" s="3178"/>
      <c r="D35" s="1839"/>
      <c r="E35" s="1839"/>
    </row>
    <row r="36" spans="1:5" s="3179" customFormat="1">
      <c r="A36" s="3178"/>
      <c r="D36" s="1839"/>
      <c r="E36" s="1839"/>
    </row>
    <row r="37" spans="1:5" s="3179" customFormat="1">
      <c r="A37" s="3178"/>
      <c r="D37" s="1839"/>
      <c r="E37" s="1839"/>
    </row>
    <row r="38" spans="1:5" s="3179" customFormat="1">
      <c r="A38" s="3178"/>
      <c r="D38" s="1839"/>
      <c r="E38" s="1839"/>
    </row>
    <row r="39" spans="1:5" s="3179" customFormat="1">
      <c r="A39" s="3178"/>
      <c r="D39" s="1839"/>
      <c r="E39" s="1839"/>
    </row>
    <row r="40" spans="1:5" s="3179" customFormat="1">
      <c r="A40" s="3178"/>
      <c r="D40" s="1839"/>
      <c r="E40" s="1839"/>
    </row>
    <row r="41" spans="1:5" s="3179" customFormat="1">
      <c r="A41" s="3178"/>
      <c r="D41" s="1839"/>
      <c r="E41" s="1839"/>
    </row>
    <row r="42" spans="1:5" s="3179" customFormat="1">
      <c r="A42" s="3178"/>
      <c r="D42" s="1839"/>
      <c r="E42" s="1839"/>
    </row>
    <row r="43" spans="1:5" s="3179" customFormat="1">
      <c r="A43" s="3178"/>
      <c r="D43" s="1839"/>
      <c r="E43" s="1839"/>
    </row>
    <row r="44" spans="1:5" s="3179" customFormat="1">
      <c r="A44" s="3178"/>
      <c r="D44" s="1839"/>
      <c r="E44" s="1839"/>
    </row>
    <row r="45" spans="1:5" s="3179" customFormat="1">
      <c r="A45" s="3178"/>
      <c r="D45" s="1839"/>
      <c r="E45" s="1839"/>
    </row>
    <row r="46" spans="1:5" s="3179" customFormat="1">
      <c r="A46" s="3178"/>
      <c r="D46" s="1839"/>
      <c r="E46" s="1839"/>
    </row>
    <row r="47" spans="1:5" s="3179" customFormat="1">
      <c r="A47" s="3178"/>
      <c r="D47" s="1839"/>
      <c r="E47" s="1839"/>
    </row>
    <row r="48" spans="1:5" s="3179" customFormat="1">
      <c r="A48" s="3178"/>
      <c r="D48" s="1839"/>
      <c r="E48" s="1839"/>
    </row>
    <row r="49" spans="1:5" s="3179" customFormat="1">
      <c r="A49" s="3178"/>
      <c r="D49" s="1839"/>
      <c r="E49" s="1839"/>
    </row>
    <row r="50" spans="1:5" s="3179" customFormat="1">
      <c r="A50" s="3178"/>
      <c r="D50" s="1839"/>
      <c r="E50" s="1839"/>
    </row>
    <row r="51" spans="1:5" s="3179" customFormat="1">
      <c r="A51" s="3178"/>
      <c r="D51" s="1839"/>
      <c r="E51" s="1839"/>
    </row>
    <row r="52" spans="1:5" s="3179" customFormat="1">
      <c r="A52" s="3178"/>
      <c r="D52" s="1839"/>
      <c r="E52" s="1839"/>
    </row>
    <row r="53" spans="1:5" s="3179" customFormat="1">
      <c r="A53" s="3178"/>
      <c r="D53" s="1839"/>
      <c r="E53" s="1839"/>
    </row>
    <row r="54" spans="1:5" s="3179" customFormat="1">
      <c r="A54" s="3178"/>
      <c r="D54" s="1839"/>
      <c r="E54" s="1839"/>
    </row>
    <row r="55" spans="1:5" s="3179" customFormat="1">
      <c r="A55" s="3178"/>
      <c r="D55" s="1839"/>
      <c r="E55" s="1839"/>
    </row>
    <row r="56" spans="1:5" s="3179" customFormat="1">
      <c r="A56" s="3178"/>
      <c r="D56" s="1839"/>
      <c r="E56" s="1839"/>
    </row>
    <row r="57" spans="1:5" s="3179" customFormat="1">
      <c r="A57" s="3178"/>
      <c r="D57" s="1839"/>
      <c r="E57" s="1839"/>
    </row>
    <row r="58" spans="1:5" s="3179" customFormat="1">
      <c r="A58" s="3178"/>
      <c r="D58" s="1839"/>
      <c r="E58" s="1839"/>
    </row>
    <row r="59" spans="1:5" s="3179" customFormat="1">
      <c r="A59" s="3178"/>
      <c r="D59" s="1839"/>
      <c r="E59" s="1839"/>
    </row>
    <row r="60" spans="1:5" s="3179" customFormat="1">
      <c r="A60" s="3178"/>
      <c r="D60" s="1839"/>
      <c r="E60" s="1839"/>
    </row>
    <row r="61" spans="1:5" s="3179" customFormat="1">
      <c r="A61" s="3178"/>
      <c r="D61" s="1839"/>
      <c r="E61" s="1839"/>
    </row>
    <row r="62" spans="1:5" s="3179" customFormat="1">
      <c r="A62" s="3178"/>
      <c r="D62" s="1839"/>
      <c r="E62" s="1839"/>
    </row>
    <row r="63" spans="1:5" s="3179" customFormat="1">
      <c r="A63" s="3178"/>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3.8"/>
  <cols>
    <col min="1" max="1" width="10.44140625" style="1247" customWidth="1"/>
    <col min="2" max="2" width="15.77734375" style="1247" customWidth="1"/>
    <col min="3" max="3" width="15.10937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2390" t="s">
        <v>701</v>
      </c>
      <c r="C1" s="2391" t="s">
        <v>702</v>
      </c>
      <c r="D1" s="2392"/>
      <c r="E1" s="1964"/>
      <c r="F1" s="2447"/>
      <c r="G1" s="1488" t="s">
        <v>703</v>
      </c>
      <c r="H1" s="483"/>
      <c r="I1" s="483"/>
      <c r="J1" s="483"/>
      <c r="K1" s="484"/>
      <c r="L1" s="3119"/>
      <c r="M1" s="3120"/>
      <c r="N1" s="3120"/>
      <c r="O1" s="3120"/>
      <c r="P1" s="1456"/>
      <c r="Q1" s="1456"/>
      <c r="R1" s="1456"/>
      <c r="S1" s="1456"/>
      <c r="T1" s="1456"/>
      <c r="U1" s="1456"/>
      <c r="V1" s="1456"/>
      <c r="W1" s="1456"/>
      <c r="X1" s="1456"/>
      <c r="Y1" s="1456"/>
      <c r="Z1" s="1456"/>
      <c r="AA1" s="1456"/>
      <c r="AB1" s="1456"/>
      <c r="AC1" s="1457"/>
    </row>
    <row r="2" spans="1:29" s="1271" customFormat="1" ht="28.5" customHeight="1">
      <c r="A2" s="417" t="s">
        <v>461</v>
      </c>
      <c r="B2" s="2389" t="e">
        <f>ROUND(B3*D3/10000,0)</f>
        <v>#DIV/0!</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4.4">
      <c r="A4" s="489" t="s">
        <v>504</v>
      </c>
      <c r="B4" s="490"/>
      <c r="C4" s="3632" t="s">
        <v>505</v>
      </c>
      <c r="D4" s="3633"/>
      <c r="E4" s="3667" t="s">
        <v>506</v>
      </c>
      <c r="F4" s="3668"/>
      <c r="G4" s="3632" t="s">
        <v>507</v>
      </c>
      <c r="H4" s="3633"/>
      <c r="I4" s="3632" t="s">
        <v>508</v>
      </c>
      <c r="J4" s="3633"/>
      <c r="K4" s="825" t="s">
        <v>509</v>
      </c>
      <c r="L4" s="1970"/>
      <c r="M4" s="1971"/>
      <c r="N4" s="1971"/>
      <c r="O4" s="1971"/>
      <c r="P4" s="3634" t="s">
        <v>510</v>
      </c>
      <c r="Q4" s="3635"/>
      <c r="R4" s="3640" t="s">
        <v>506</v>
      </c>
      <c r="S4" s="3641"/>
      <c r="T4" s="3640" t="s">
        <v>507</v>
      </c>
      <c r="U4" s="3641"/>
      <c r="V4" s="3627" t="s">
        <v>508</v>
      </c>
      <c r="W4" s="3627"/>
      <c r="X4" s="1458"/>
      <c r="Y4" s="3640" t="s">
        <v>510</v>
      </c>
      <c r="Z4" s="3641"/>
      <c r="AA4" s="3629" t="s">
        <v>506</v>
      </c>
      <c r="AB4" s="3629" t="s">
        <v>507</v>
      </c>
      <c r="AC4" s="3629" t="s">
        <v>508</v>
      </c>
    </row>
    <row r="5" spans="1:29">
      <c r="A5" s="492"/>
      <c r="B5" s="493"/>
      <c r="C5" s="3648" t="s">
        <v>2631</v>
      </c>
      <c r="D5" s="3649"/>
      <c r="E5" s="3669" t="s">
        <v>2632</v>
      </c>
      <c r="F5" s="3670"/>
      <c r="G5" s="3648" t="s">
        <v>2633</v>
      </c>
      <c r="H5" s="3649"/>
      <c r="I5" s="3648" t="s">
        <v>2634</v>
      </c>
      <c r="J5" s="3649"/>
      <c r="K5" s="826"/>
      <c r="L5" s="1970"/>
      <c r="M5" s="1971"/>
      <c r="N5" s="1971"/>
      <c r="O5" s="1971"/>
      <c r="P5" s="3636"/>
      <c r="Q5" s="3637"/>
      <c r="R5" s="3642"/>
      <c r="S5" s="3643"/>
      <c r="T5" s="3642"/>
      <c r="U5" s="3643"/>
      <c r="V5" s="3627"/>
      <c r="W5" s="3627"/>
      <c r="X5" s="1458"/>
      <c r="Y5" s="3642"/>
      <c r="Z5" s="3643"/>
      <c r="AA5" s="3630"/>
      <c r="AB5" s="3630"/>
      <c r="AC5" s="3630"/>
    </row>
    <row r="6" spans="1:29" ht="15" thickBot="1">
      <c r="A6" s="494"/>
      <c r="B6" s="495"/>
      <c r="C6" s="3646" t="s">
        <v>2635</v>
      </c>
      <c r="D6" s="3647"/>
      <c r="E6" s="3665" t="s">
        <v>2635</v>
      </c>
      <c r="F6" s="3666"/>
      <c r="G6" s="3646" t="s">
        <v>2635</v>
      </c>
      <c r="H6" s="3647"/>
      <c r="I6" s="3646" t="s">
        <v>2635</v>
      </c>
      <c r="J6" s="3647"/>
      <c r="K6" s="826" t="s">
        <v>511</v>
      </c>
      <c r="L6" s="1970"/>
      <c r="M6" s="1971"/>
      <c r="N6" s="1971"/>
      <c r="O6" s="1971"/>
      <c r="P6" s="3638"/>
      <c r="Q6" s="3639"/>
      <c r="R6" s="3642"/>
      <c r="S6" s="3643"/>
      <c r="T6" s="3644"/>
      <c r="U6" s="3645"/>
      <c r="V6" s="3627"/>
      <c r="W6" s="3627"/>
      <c r="X6" s="1458"/>
      <c r="Y6" s="3644"/>
      <c r="Z6" s="3645"/>
      <c r="AA6" s="3631"/>
      <c r="AB6" s="3631"/>
      <c r="AC6" s="3631"/>
    </row>
    <row r="7" spans="1:29" s="1167" customFormat="1" ht="15" thickBot="1">
      <c r="A7" s="2552"/>
      <c r="B7" s="2559" t="s">
        <v>512</v>
      </c>
      <c r="C7" s="496">
        <f>'数据-取费表'!B2</f>
        <v>0</v>
      </c>
      <c r="D7" s="497">
        <v>100</v>
      </c>
      <c r="E7" s="498"/>
      <c r="F7" s="499">
        <f>SUMIF(58:58,YEAR(E7)&amp;"-"&amp;MONTH(E7),59:59)</f>
        <v>100</v>
      </c>
      <c r="G7" s="500"/>
      <c r="H7" s="497">
        <f>SUMIF(58:58,YEAR(G7)&amp;"-"&amp;MONTH(G7),59:59)</f>
        <v>100</v>
      </c>
      <c r="I7" s="500"/>
      <c r="J7" s="497">
        <f>SUMIF(58:58,YEAR(I7)&amp;"-"&amp;MONTH(I7),59:59)</f>
        <v>100</v>
      </c>
      <c r="K7" s="827"/>
      <c r="L7" s="1972"/>
      <c r="M7" s="1973"/>
      <c r="N7" s="1973"/>
      <c r="O7" s="1973"/>
      <c r="P7" s="3656" t="s">
        <v>513</v>
      </c>
      <c r="Q7" s="3658"/>
      <c r="R7" s="1459" t="s">
        <v>13</v>
      </c>
      <c r="S7" s="1460">
        <f t="shared" ref="S7:S15" si="0">F7</f>
        <v>100</v>
      </c>
      <c r="T7" s="1459" t="s">
        <v>13</v>
      </c>
      <c r="U7" s="1460">
        <f t="shared" ref="U7:U15" si="1">H7</f>
        <v>100</v>
      </c>
      <c r="V7" s="1459" t="s">
        <v>13</v>
      </c>
      <c r="W7" s="1460">
        <f t="shared" ref="W7:W15" si="2">J7</f>
        <v>100</v>
      </c>
      <c r="X7" s="1461"/>
      <c r="Y7" s="3656" t="s">
        <v>513</v>
      </c>
      <c r="Z7" s="3657"/>
      <c r="AA7" s="1462">
        <f>D7/F7</f>
        <v>1</v>
      </c>
      <c r="AB7" s="1462">
        <f>D7/H7</f>
        <v>1</v>
      </c>
      <c r="AC7" s="1462">
        <f>D7/J7</f>
        <v>1</v>
      </c>
    </row>
    <row r="8" spans="1:29" s="1167" customFormat="1" ht="15" thickBot="1">
      <c r="A8" s="2553"/>
      <c r="B8" s="2560" t="s">
        <v>514</v>
      </c>
      <c r="C8" s="502" t="s">
        <v>558</v>
      </c>
      <c r="D8" s="497">
        <v>100</v>
      </c>
      <c r="E8" s="828"/>
      <c r="F8" s="499">
        <f>SUMIF(61:61,E8,62:62)-SUMIF(61:61,C8,62:62)+100</f>
        <v>0</v>
      </c>
      <c r="G8" s="502"/>
      <c r="H8" s="497">
        <f>SUMIF(61:61,G8,62:62)-SUMIF(61:61,C8,62:62)+100</f>
        <v>0</v>
      </c>
      <c r="I8" s="828"/>
      <c r="J8" s="497">
        <f>SUMIF(61:61,I8,62:62)-SUMIF(61:61,C8,62:62)+100</f>
        <v>0</v>
      </c>
      <c r="K8" s="827"/>
      <c r="L8" s="1972"/>
      <c r="M8" s="1973"/>
      <c r="N8" s="1973"/>
      <c r="O8" s="1973"/>
      <c r="P8" s="3656" t="s">
        <v>516</v>
      </c>
      <c r="Q8" s="3657"/>
      <c r="R8" s="1459" t="s">
        <v>13</v>
      </c>
      <c r="S8" s="1460">
        <f t="shared" si="0"/>
        <v>0</v>
      </c>
      <c r="T8" s="1459" t="s">
        <v>13</v>
      </c>
      <c r="U8" s="1460">
        <f t="shared" si="1"/>
        <v>0</v>
      </c>
      <c r="V8" s="1459" t="s">
        <v>13</v>
      </c>
      <c r="W8" s="1460">
        <f t="shared" si="2"/>
        <v>0</v>
      </c>
      <c r="X8" s="1461"/>
      <c r="Y8" s="3656" t="s">
        <v>516</v>
      </c>
      <c r="Z8" s="3657"/>
      <c r="AA8" s="1462" t="e">
        <f t="shared" ref="AA8:AA46" si="3">D8/F8</f>
        <v>#DIV/0!</v>
      </c>
      <c r="AB8" s="1462" t="e">
        <f t="shared" ref="AB8:AB46" si="4">D8/H8</f>
        <v>#DIV/0!</v>
      </c>
      <c r="AC8" s="1462" t="e">
        <f t="shared" ref="AC8:AC46" si="5">D8/J8</f>
        <v>#DIV/0!</v>
      </c>
    </row>
    <row r="9" spans="1:29" s="1167" customFormat="1" ht="14.4">
      <c r="A9" s="2554"/>
      <c r="B9" s="2561" t="s">
        <v>2473</v>
      </c>
      <c r="C9" s="829"/>
      <c r="D9" s="252">
        <v>100</v>
      </c>
      <c r="E9" s="830"/>
      <c r="F9" s="831">
        <f>SUMIF(63:63,E9,64:64)-SUMIF(63:63,C9,64:64)+100</f>
        <v>100</v>
      </c>
      <c r="G9" s="832"/>
      <c r="H9" s="252">
        <f>SUMIF(63:63,G9,64:64)-SUMIF(63:63,C9,64:64)+100</f>
        <v>100</v>
      </c>
      <c r="I9" s="832"/>
      <c r="J9" s="252">
        <f>SUMIF(63:63,I9,64:64)-SUMIF(63:63,C9,64:64)+100</f>
        <v>100</v>
      </c>
      <c r="K9" s="827"/>
      <c r="L9" s="1972"/>
      <c r="M9" s="1973"/>
      <c r="N9" s="1973"/>
      <c r="O9" s="1974"/>
      <c r="P9" s="3626" t="s">
        <v>518</v>
      </c>
      <c r="Q9" s="1098" t="str">
        <f t="shared" ref="Q9:Q15" si="6">B9</f>
        <v>用途</v>
      </c>
      <c r="R9" s="1459" t="s">
        <v>8</v>
      </c>
      <c r="S9" s="1460">
        <f t="shared" si="0"/>
        <v>100</v>
      </c>
      <c r="T9" s="1459" t="s">
        <v>8</v>
      </c>
      <c r="U9" s="1460">
        <f t="shared" si="1"/>
        <v>100</v>
      </c>
      <c r="V9" s="1459" t="s">
        <v>8</v>
      </c>
      <c r="W9" s="1460">
        <f t="shared" si="2"/>
        <v>100</v>
      </c>
      <c r="X9" s="1461"/>
      <c r="Y9" s="3570" t="s">
        <v>519</v>
      </c>
      <c r="Z9" s="1097" t="str">
        <f t="shared" ref="Z9:Z15" si="7">Q9</f>
        <v>用途</v>
      </c>
      <c r="AA9" s="1462">
        <f t="shared" si="3"/>
        <v>1</v>
      </c>
      <c r="AB9" s="1462">
        <f t="shared" si="4"/>
        <v>1</v>
      </c>
      <c r="AC9" s="1462">
        <f t="shared" si="5"/>
        <v>1</v>
      </c>
    </row>
    <row r="10" spans="1:29" s="1248" customFormat="1" ht="28.8">
      <c r="A10" s="2555"/>
      <c r="B10" s="2560" t="s">
        <v>2474</v>
      </c>
      <c r="C10" s="833"/>
      <c r="D10" s="253">
        <v>100</v>
      </c>
      <c r="E10" s="834"/>
      <c r="F10" s="835">
        <f>SUMIF(65:65,E10,66:66)-SUMIF(65:65,C10,66:66)+100</f>
        <v>100</v>
      </c>
      <c r="G10" s="833"/>
      <c r="H10" s="253">
        <f>SUMIF(65:65,G10,66:66)-SUMIF(65:65,C10,66:66)+100</f>
        <v>100</v>
      </c>
      <c r="I10" s="833"/>
      <c r="J10" s="253">
        <f>SUMIF(65:65,I10,66:66)-SUMIF(65:65,C10,66:66)+100</f>
        <v>100</v>
      </c>
      <c r="K10" s="836"/>
      <c r="L10" s="1975"/>
      <c r="M10" s="2014"/>
      <c r="N10" s="2014"/>
      <c r="O10" s="1976"/>
      <c r="P10" s="3626"/>
      <c r="Q10" s="1098" t="str">
        <f t="shared" si="6"/>
        <v>土地使用年限（年）</v>
      </c>
      <c r="R10" s="1459" t="s">
        <v>8</v>
      </c>
      <c r="S10" s="1460">
        <f t="shared" si="0"/>
        <v>100</v>
      </c>
      <c r="T10" s="1459" t="s">
        <v>8</v>
      </c>
      <c r="U10" s="1460">
        <f t="shared" si="1"/>
        <v>100</v>
      </c>
      <c r="V10" s="1459" t="s">
        <v>8</v>
      </c>
      <c r="W10" s="1460">
        <f t="shared" si="2"/>
        <v>100</v>
      </c>
      <c r="X10" s="1461"/>
      <c r="Y10" s="3570"/>
      <c r="Z10" s="1097" t="str">
        <f t="shared" si="7"/>
        <v>土地使用年限（年）</v>
      </c>
      <c r="AA10" s="1462">
        <f t="shared" si="3"/>
        <v>1</v>
      </c>
      <c r="AB10" s="1462">
        <f t="shared" si="4"/>
        <v>1</v>
      </c>
      <c r="AC10" s="1462">
        <f t="shared" si="5"/>
        <v>1</v>
      </c>
    </row>
    <row r="11" spans="1:29" ht="15">
      <c r="A11" s="2556"/>
      <c r="B11" s="2560"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7"/>
      <c r="M11" s="1971"/>
      <c r="N11" s="1971"/>
      <c r="O11" s="1978"/>
      <c r="P11" s="3626"/>
      <c r="Q11" s="1098" t="str">
        <f t="shared" si="6"/>
        <v>容积率</v>
      </c>
      <c r="R11" s="1459" t="s">
        <v>11</v>
      </c>
      <c r="S11" s="1460" t="e">
        <f t="shared" si="0"/>
        <v>#N/A</v>
      </c>
      <c r="T11" s="1459" t="s">
        <v>11</v>
      </c>
      <c r="U11" s="1460" t="e">
        <f t="shared" si="1"/>
        <v>#N/A</v>
      </c>
      <c r="V11" s="1459" t="s">
        <v>11</v>
      </c>
      <c r="W11" s="1460" t="e">
        <f t="shared" si="2"/>
        <v>#N/A</v>
      </c>
      <c r="X11" s="1461"/>
      <c r="Y11" s="357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26"/>
      <c r="Q12" s="1098">
        <f t="shared" si="6"/>
        <v>111</v>
      </c>
      <c r="R12" s="1459" t="s">
        <v>11</v>
      </c>
      <c r="S12" s="1460">
        <f t="shared" si="0"/>
        <v>100</v>
      </c>
      <c r="T12" s="1459" t="s">
        <v>11</v>
      </c>
      <c r="U12" s="1460">
        <f t="shared" si="1"/>
        <v>100</v>
      </c>
      <c r="V12" s="1459" t="s">
        <v>11</v>
      </c>
      <c r="W12" s="1460">
        <f t="shared" si="2"/>
        <v>100</v>
      </c>
      <c r="X12" s="1461"/>
      <c r="Y12" s="3570"/>
      <c r="Z12" s="1097">
        <f t="shared" si="7"/>
        <v>111</v>
      </c>
      <c r="AA12" s="1462">
        <f>D12/F12</f>
        <v>1</v>
      </c>
      <c r="AB12" s="1462">
        <f>D12/H12</f>
        <v>1</v>
      </c>
      <c r="AC12" s="1462">
        <f>D12/J12</f>
        <v>1</v>
      </c>
    </row>
    <row r="13" spans="1:29" ht="15">
      <c r="A13" s="2557"/>
      <c r="B13" s="2563">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26"/>
      <c r="Q13" s="1098">
        <f t="shared" si="6"/>
        <v>111</v>
      </c>
      <c r="R13" s="1459" t="s">
        <v>11</v>
      </c>
      <c r="S13" s="1460">
        <f t="shared" si="0"/>
        <v>100</v>
      </c>
      <c r="T13" s="1459" t="s">
        <v>11</v>
      </c>
      <c r="U13" s="1460">
        <f t="shared" si="1"/>
        <v>100</v>
      </c>
      <c r="V13" s="1459" t="s">
        <v>11</v>
      </c>
      <c r="W13" s="1460">
        <f t="shared" si="2"/>
        <v>100</v>
      </c>
      <c r="X13" s="1461"/>
      <c r="Y13" s="3570"/>
      <c r="Z13" s="1097">
        <f t="shared" si="7"/>
        <v>111</v>
      </c>
      <c r="AA13" s="1462">
        <f t="shared" si="3"/>
        <v>1</v>
      </c>
      <c r="AB13" s="1462">
        <f t="shared" si="4"/>
        <v>1</v>
      </c>
      <c r="AC13" s="1462">
        <f t="shared" si="5"/>
        <v>1</v>
      </c>
    </row>
    <row r="14" spans="1:29" ht="15.6" thickBot="1">
      <c r="A14" s="2558"/>
      <c r="B14" s="2564">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26"/>
      <c r="Q14" s="1098">
        <f t="shared" si="6"/>
        <v>111</v>
      </c>
      <c r="R14" s="1459" t="s">
        <v>11</v>
      </c>
      <c r="S14" s="1460">
        <f t="shared" si="0"/>
        <v>100</v>
      </c>
      <c r="T14" s="1459" t="s">
        <v>11</v>
      </c>
      <c r="U14" s="1460">
        <f t="shared" si="1"/>
        <v>100</v>
      </c>
      <c r="V14" s="1459" t="s">
        <v>11</v>
      </c>
      <c r="W14" s="1460">
        <f t="shared" si="2"/>
        <v>100</v>
      </c>
      <c r="X14" s="1461"/>
      <c r="Y14" s="3570"/>
      <c r="Z14" s="1097">
        <f t="shared" si="7"/>
        <v>111</v>
      </c>
      <c r="AA14" s="1462">
        <f t="shared" si="3"/>
        <v>1</v>
      </c>
      <c r="AB14" s="1462">
        <f t="shared" si="4"/>
        <v>1</v>
      </c>
      <c r="AC14" s="1462">
        <f t="shared" si="5"/>
        <v>1</v>
      </c>
    </row>
    <row r="15" spans="1:29" ht="96.6">
      <c r="A15" s="2550"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9"/>
      <c r="M15" s="1971"/>
      <c r="N15" s="1971"/>
      <c r="O15" s="1978"/>
      <c r="P15" s="3659" t="s">
        <v>523</v>
      </c>
      <c r="Q15" s="1463" t="str">
        <f t="shared" si="6"/>
        <v>居住社区成熟度</v>
      </c>
      <c r="R15" s="1464" t="s">
        <v>11</v>
      </c>
      <c r="S15" s="1465">
        <f t="shared" si="0"/>
        <v>100</v>
      </c>
      <c r="T15" s="1464" t="s">
        <v>11</v>
      </c>
      <c r="U15" s="1465">
        <f t="shared" si="1"/>
        <v>100</v>
      </c>
      <c r="V15" s="1464" t="s">
        <v>11</v>
      </c>
      <c r="W15" s="1465">
        <f t="shared" si="2"/>
        <v>100</v>
      </c>
      <c r="X15" s="1458"/>
      <c r="Y15" s="3659"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9"/>
      <c r="M16" s="1971"/>
      <c r="N16" s="1971"/>
      <c r="O16" s="1978"/>
      <c r="P16" s="3660"/>
      <c r="Q16" s="1463"/>
      <c r="R16" s="1464"/>
      <c r="S16" s="1465"/>
      <c r="T16" s="1464"/>
      <c r="U16" s="1465"/>
      <c r="V16" s="1464"/>
      <c r="W16" s="1465"/>
      <c r="X16" s="1458"/>
      <c r="Y16" s="3660"/>
      <c r="Z16" s="1466"/>
      <c r="AA16" s="1467">
        <v>1</v>
      </c>
      <c r="AB16" s="1467">
        <v>1</v>
      </c>
      <c r="AC16" s="1467">
        <v>1</v>
      </c>
    </row>
    <row r="17" spans="1:29" ht="82.8">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9"/>
      <c r="M17" s="1971"/>
      <c r="N17" s="1971"/>
      <c r="O17" s="1978"/>
      <c r="P17" s="3660"/>
      <c r="Q17" s="1463" t="str">
        <f>B17</f>
        <v>交通便捷度</v>
      </c>
      <c r="R17" s="1464" t="s">
        <v>11</v>
      </c>
      <c r="S17" s="1465">
        <f>F17</f>
        <v>100</v>
      </c>
      <c r="T17" s="1464" t="s">
        <v>11</v>
      </c>
      <c r="U17" s="1465">
        <f>H17</f>
        <v>100</v>
      </c>
      <c r="V17" s="1464" t="s">
        <v>11</v>
      </c>
      <c r="W17" s="1465">
        <f>J17</f>
        <v>100</v>
      </c>
      <c r="X17" s="1458"/>
      <c r="Y17" s="3660"/>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9"/>
      <c r="M18" s="1971"/>
      <c r="N18" s="1971"/>
      <c r="O18" s="1978"/>
      <c r="P18" s="3660"/>
      <c r="Q18" s="1463"/>
      <c r="R18" s="1464"/>
      <c r="S18" s="1465"/>
      <c r="T18" s="1464"/>
      <c r="U18" s="1465"/>
      <c r="V18" s="1464"/>
      <c r="W18" s="1465"/>
      <c r="X18" s="1458"/>
      <c r="Y18" s="3660"/>
      <c r="Z18" s="1466"/>
      <c r="AA18" s="1467">
        <v>1</v>
      </c>
      <c r="AB18" s="1467">
        <v>1</v>
      </c>
      <c r="AC18" s="1467">
        <v>1</v>
      </c>
    </row>
    <row r="19" spans="1:29" ht="41.4">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9"/>
      <c r="M19" s="1971"/>
      <c r="N19" s="1971"/>
      <c r="O19" s="1978"/>
      <c r="P19" s="3660"/>
      <c r="Q19" s="1463" t="str">
        <f>B19</f>
        <v>公共配套设施</v>
      </c>
      <c r="R19" s="1464" t="s">
        <v>11</v>
      </c>
      <c r="S19" s="1465">
        <f>F19</f>
        <v>100</v>
      </c>
      <c r="T19" s="1464" t="s">
        <v>11</v>
      </c>
      <c r="U19" s="1465">
        <f>H19</f>
        <v>100</v>
      </c>
      <c r="V19" s="1464" t="s">
        <v>11</v>
      </c>
      <c r="W19" s="1465">
        <f>J19</f>
        <v>100</v>
      </c>
      <c r="X19" s="1458"/>
      <c r="Y19" s="3660"/>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9"/>
      <c r="M20" s="1971"/>
      <c r="N20" s="1971"/>
      <c r="O20" s="1978"/>
      <c r="P20" s="3660"/>
      <c r="Q20" s="1463"/>
      <c r="R20" s="1464"/>
      <c r="S20" s="1465"/>
      <c r="T20" s="1464"/>
      <c r="U20" s="1465"/>
      <c r="V20" s="1464"/>
      <c r="W20" s="1465"/>
      <c r="X20" s="1458"/>
      <c r="Y20" s="3660"/>
      <c r="Z20" s="1466"/>
      <c r="AA20" s="1467">
        <v>1</v>
      </c>
      <c r="AB20" s="1467">
        <v>1</v>
      </c>
      <c r="AC20" s="1467">
        <v>1</v>
      </c>
    </row>
    <row r="21" spans="1:29" ht="27.6">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9"/>
      <c r="M21" s="1971"/>
      <c r="N21" s="1971"/>
      <c r="O21" s="1978"/>
      <c r="P21" s="3660"/>
      <c r="Q21" s="2352" t="str">
        <f>B21</f>
        <v>基础设施水平</v>
      </c>
      <c r="R21" s="1464" t="s">
        <v>11</v>
      </c>
      <c r="S21" s="1465">
        <f>F21</f>
        <v>100</v>
      </c>
      <c r="T21" s="1464" t="s">
        <v>11</v>
      </c>
      <c r="U21" s="1465">
        <f>H21</f>
        <v>100</v>
      </c>
      <c r="V21" s="1464" t="s">
        <v>11</v>
      </c>
      <c r="W21" s="1465">
        <f>J21</f>
        <v>100</v>
      </c>
      <c r="X21" s="2354"/>
      <c r="Y21" s="3660"/>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6"/>
      <c r="L22" s="1979"/>
      <c r="M22" s="1971"/>
      <c r="N22" s="1971"/>
      <c r="O22" s="1978"/>
      <c r="P22" s="3660"/>
      <c r="Q22" s="2352"/>
      <c r="R22" s="1464"/>
      <c r="S22" s="1465"/>
      <c r="T22" s="1464"/>
      <c r="U22" s="1465"/>
      <c r="V22" s="1464"/>
      <c r="W22" s="1465"/>
      <c r="X22" s="2354"/>
      <c r="Y22" s="3660"/>
      <c r="Z22" s="2353"/>
      <c r="AA22" s="1467">
        <v>1</v>
      </c>
      <c r="AB22" s="1467">
        <v>1</v>
      </c>
      <c r="AC22" s="1467">
        <v>1</v>
      </c>
    </row>
    <row r="23" spans="1:29" ht="55.2">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9"/>
      <c r="M23" s="1971"/>
      <c r="N23" s="1971"/>
      <c r="O23" s="1978"/>
      <c r="P23" s="3660"/>
      <c r="Q23" s="1463" t="str">
        <f>B23</f>
        <v>自然及人文环境</v>
      </c>
      <c r="R23" s="1464" t="s">
        <v>11</v>
      </c>
      <c r="S23" s="1465">
        <f>F23</f>
        <v>100</v>
      </c>
      <c r="T23" s="1464" t="s">
        <v>11</v>
      </c>
      <c r="U23" s="1465">
        <f>H23</f>
        <v>100</v>
      </c>
      <c r="V23" s="1464" t="s">
        <v>11</v>
      </c>
      <c r="W23" s="1465">
        <f>J23</f>
        <v>100</v>
      </c>
      <c r="X23" s="1458"/>
      <c r="Y23" s="3660"/>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9"/>
      <c r="M24" s="1971"/>
      <c r="N24" s="1971"/>
      <c r="O24" s="1978"/>
      <c r="P24" s="3660"/>
      <c r="Q24" s="1463"/>
      <c r="R24" s="1464"/>
      <c r="S24" s="1465"/>
      <c r="T24" s="1464"/>
      <c r="U24" s="1465"/>
      <c r="V24" s="1464"/>
      <c r="W24" s="1465"/>
      <c r="X24" s="1458"/>
      <c r="Y24" s="3660"/>
      <c r="Z24" s="1466"/>
      <c r="AA24" s="1467">
        <v>1</v>
      </c>
      <c r="AB24" s="1467">
        <v>1</v>
      </c>
      <c r="AC24" s="1467">
        <v>1</v>
      </c>
    </row>
    <row r="25" spans="1:29" ht="15">
      <c r="A25" s="509"/>
      <c r="B25" s="1765" t="s">
        <v>2048</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60"/>
      <c r="Q25" s="1463" t="str">
        <f t="shared" ref="Q25:Q46" si="11">B25</f>
        <v>楼层-1</v>
      </c>
      <c r="R25" s="1464" t="s">
        <v>11</v>
      </c>
      <c r="S25" s="1465">
        <f>F25</f>
        <v>100</v>
      </c>
      <c r="T25" s="1464" t="s">
        <v>11</v>
      </c>
      <c r="U25" s="1465">
        <f>H25</f>
        <v>100</v>
      </c>
      <c r="V25" s="1464" t="s">
        <v>11</v>
      </c>
      <c r="W25" s="1465">
        <f>J25</f>
        <v>100</v>
      </c>
      <c r="X25" s="1458"/>
      <c r="Y25" s="3660"/>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60"/>
      <c r="Q26" s="1463" t="str">
        <f t="shared" si="11"/>
        <v>朝向</v>
      </c>
      <c r="R26" s="1464" t="s">
        <v>11</v>
      </c>
      <c r="S26" s="1465">
        <f>F26</f>
        <v>100</v>
      </c>
      <c r="T26" s="1464" t="s">
        <v>11</v>
      </c>
      <c r="U26" s="1465">
        <f>H26</f>
        <v>100</v>
      </c>
      <c r="V26" s="1464" t="s">
        <v>11</v>
      </c>
      <c r="W26" s="1465">
        <f>J26</f>
        <v>100</v>
      </c>
      <c r="X26" s="1458"/>
      <c r="Y26" s="3660"/>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60"/>
      <c r="Q27" s="1098" t="str">
        <f t="shared" si="11"/>
        <v>道路级别</v>
      </c>
      <c r="R27" s="1459" t="s">
        <v>11</v>
      </c>
      <c r="S27" s="1460">
        <f>F27</f>
        <v>100</v>
      </c>
      <c r="T27" s="1459" t="s">
        <v>11</v>
      </c>
      <c r="U27" s="1460">
        <f>H27</f>
        <v>100</v>
      </c>
      <c r="V27" s="1459" t="s">
        <v>11</v>
      </c>
      <c r="W27" s="1460">
        <f>J27</f>
        <v>100</v>
      </c>
      <c r="X27" s="1461"/>
      <c r="Y27" s="3660"/>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60"/>
      <c r="Q28" s="1463">
        <f t="shared" si="11"/>
        <v>111</v>
      </c>
      <c r="R28" s="1464" t="s">
        <v>11</v>
      </c>
      <c r="S28" s="1465">
        <f t="shared" ref="S28:S46" si="12">F28</f>
        <v>100</v>
      </c>
      <c r="T28" s="1464" t="s">
        <v>11</v>
      </c>
      <c r="U28" s="1465">
        <f t="shared" ref="U28:U46" si="13">H28</f>
        <v>100</v>
      </c>
      <c r="V28" s="1464" t="s">
        <v>11</v>
      </c>
      <c r="W28" s="1465">
        <f t="shared" ref="W28:W46" si="14">J28</f>
        <v>100</v>
      </c>
      <c r="X28" s="1458"/>
      <c r="Y28" s="3660"/>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60"/>
      <c r="Q29" s="1463">
        <f t="shared" si="11"/>
        <v>111</v>
      </c>
      <c r="R29" s="1464" t="s">
        <v>11</v>
      </c>
      <c r="S29" s="1465">
        <f t="shared" si="12"/>
        <v>100</v>
      </c>
      <c r="T29" s="1464" t="s">
        <v>11</v>
      </c>
      <c r="U29" s="1465">
        <f t="shared" si="13"/>
        <v>100</v>
      </c>
      <c r="V29" s="1464" t="s">
        <v>11</v>
      </c>
      <c r="W29" s="1465">
        <f t="shared" si="14"/>
        <v>100</v>
      </c>
      <c r="X29" s="1458"/>
      <c r="Y29" s="3660"/>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60"/>
      <c r="Q30" s="1463">
        <f t="shared" si="11"/>
        <v>111</v>
      </c>
      <c r="R30" s="1464" t="s">
        <v>11</v>
      </c>
      <c r="S30" s="1465">
        <f t="shared" si="12"/>
        <v>100</v>
      </c>
      <c r="T30" s="1464" t="s">
        <v>11</v>
      </c>
      <c r="U30" s="1465">
        <f t="shared" si="13"/>
        <v>100</v>
      </c>
      <c r="V30" s="1464" t="s">
        <v>11</v>
      </c>
      <c r="W30" s="1465">
        <f t="shared" si="14"/>
        <v>100</v>
      </c>
      <c r="X30" s="1458"/>
      <c r="Y30" s="3660"/>
      <c r="Z30" s="1466">
        <f t="shared" si="15"/>
        <v>111</v>
      </c>
      <c r="AA30" s="1467">
        <f t="shared" si="3"/>
        <v>1</v>
      </c>
      <c r="AB30" s="1467">
        <f t="shared" si="4"/>
        <v>1</v>
      </c>
      <c r="AC30" s="1467">
        <f t="shared" si="5"/>
        <v>1</v>
      </c>
    </row>
    <row r="31" spans="1:29" ht="15.6"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60"/>
      <c r="Q31" s="1463">
        <f t="shared" si="11"/>
        <v>111</v>
      </c>
      <c r="R31" s="1464" t="s">
        <v>11</v>
      </c>
      <c r="S31" s="1465">
        <f t="shared" si="12"/>
        <v>100</v>
      </c>
      <c r="T31" s="1464" t="s">
        <v>11</v>
      </c>
      <c r="U31" s="1465">
        <f t="shared" si="13"/>
        <v>100</v>
      </c>
      <c r="V31" s="1464" t="s">
        <v>11</v>
      </c>
      <c r="W31" s="1465">
        <f t="shared" si="14"/>
        <v>100</v>
      </c>
      <c r="X31" s="1458"/>
      <c r="Y31" s="3660"/>
      <c r="Z31" s="1466">
        <f t="shared" si="15"/>
        <v>111</v>
      </c>
      <c r="AA31" s="1467">
        <f t="shared" si="3"/>
        <v>1</v>
      </c>
      <c r="AB31" s="1467">
        <f t="shared" si="4"/>
        <v>1</v>
      </c>
      <c r="AC31" s="1467">
        <f t="shared" si="5"/>
        <v>1</v>
      </c>
    </row>
    <row r="32" spans="1:29" ht="15">
      <c r="A32" s="2547"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9"/>
      <c r="M32" s="1971"/>
      <c r="N32" s="1971"/>
      <c r="O32" s="1978"/>
      <c r="P32" s="3661" t="s">
        <v>533</v>
      </c>
      <c r="Q32" s="1463" t="str">
        <f t="shared" si="11"/>
        <v>建筑类型</v>
      </c>
      <c r="R32" s="1464" t="s">
        <v>11</v>
      </c>
      <c r="S32" s="1465">
        <f t="shared" si="12"/>
        <v>100</v>
      </c>
      <c r="T32" s="1464" t="s">
        <v>11</v>
      </c>
      <c r="U32" s="1465">
        <f t="shared" si="13"/>
        <v>100</v>
      </c>
      <c r="V32" s="1464" t="s">
        <v>11</v>
      </c>
      <c r="W32" s="1465">
        <f t="shared" si="14"/>
        <v>100</v>
      </c>
      <c r="X32" s="1458"/>
      <c r="Y32" s="3662"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7"/>
      <c r="M33" s="2007"/>
      <c r="N33" s="2007"/>
      <c r="O33" s="1980"/>
      <c r="P33" s="3662"/>
      <c r="Q33" s="1492" t="str">
        <f t="shared" si="11"/>
        <v>项目建筑规模</v>
      </c>
      <c r="R33" s="1468" t="s">
        <v>11</v>
      </c>
      <c r="S33" s="1469" t="e">
        <f t="shared" si="12"/>
        <v>#N/A</v>
      </c>
      <c r="T33" s="1468" t="s">
        <v>11</v>
      </c>
      <c r="U33" s="1469" t="e">
        <f t="shared" si="13"/>
        <v>#N/A</v>
      </c>
      <c r="V33" s="1468" t="s">
        <v>11</v>
      </c>
      <c r="W33" s="1469" t="e">
        <f t="shared" si="14"/>
        <v>#N/A</v>
      </c>
      <c r="X33" s="1470"/>
      <c r="Y33" s="3662"/>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9"/>
      <c r="M34" s="1971"/>
      <c r="N34" s="1971"/>
      <c r="O34" s="1978"/>
      <c r="P34" s="3662"/>
      <c r="Q34" s="1463" t="str">
        <f t="shared" si="11"/>
        <v>建筑结构</v>
      </c>
      <c r="R34" s="1464" t="s">
        <v>11</v>
      </c>
      <c r="S34" s="1465">
        <f t="shared" si="12"/>
        <v>100</v>
      </c>
      <c r="T34" s="1464" t="s">
        <v>11</v>
      </c>
      <c r="U34" s="1465">
        <f t="shared" si="13"/>
        <v>100</v>
      </c>
      <c r="V34" s="1464" t="s">
        <v>11</v>
      </c>
      <c r="W34" s="1465">
        <f t="shared" si="14"/>
        <v>100</v>
      </c>
      <c r="X34" s="1458"/>
      <c r="Y34" s="3662"/>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9"/>
      <c r="M35" s="1971"/>
      <c r="N35" s="1971"/>
      <c r="O35" s="1978"/>
      <c r="P35" s="3662"/>
      <c r="Q35" s="1463" t="str">
        <f t="shared" si="11"/>
        <v>建筑品质</v>
      </c>
      <c r="R35" s="1464" t="s">
        <v>11</v>
      </c>
      <c r="S35" s="1465">
        <f t="shared" si="12"/>
        <v>100</v>
      </c>
      <c r="T35" s="1464" t="s">
        <v>11</v>
      </c>
      <c r="U35" s="1465">
        <f t="shared" si="13"/>
        <v>100</v>
      </c>
      <c r="V35" s="1464" t="s">
        <v>11</v>
      </c>
      <c r="W35" s="1465">
        <f t="shared" si="14"/>
        <v>100</v>
      </c>
      <c r="X35" s="1458"/>
      <c r="Y35" s="3662"/>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9"/>
      <c r="M36" s="1971"/>
      <c r="N36" s="1971"/>
      <c r="O36" s="1978"/>
      <c r="P36" s="3662"/>
      <c r="Q36" s="1463" t="str">
        <f t="shared" si="11"/>
        <v>公共部分装修</v>
      </c>
      <c r="R36" s="1464" t="s">
        <v>11</v>
      </c>
      <c r="S36" s="1465">
        <f t="shared" si="12"/>
        <v>100</v>
      </c>
      <c r="T36" s="1464" t="s">
        <v>11</v>
      </c>
      <c r="U36" s="1465">
        <f t="shared" si="13"/>
        <v>100</v>
      </c>
      <c r="V36" s="1464" t="s">
        <v>11</v>
      </c>
      <c r="W36" s="1465">
        <f t="shared" si="14"/>
        <v>100</v>
      </c>
      <c r="X36" s="1458"/>
      <c r="Y36" s="3662"/>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2"/>
      <c r="M37" s="1973"/>
      <c r="N37" s="1973"/>
      <c r="O37" s="1974"/>
      <c r="P37" s="3662"/>
      <c r="Q37" s="1098" t="str">
        <f t="shared" si="11"/>
        <v>成新度</v>
      </c>
      <c r="R37" s="1459" t="s">
        <v>11</v>
      </c>
      <c r="S37" s="1460" t="e">
        <f t="shared" si="12"/>
        <v>#N/A</v>
      </c>
      <c r="T37" s="1459" t="s">
        <v>11</v>
      </c>
      <c r="U37" s="1460" t="e">
        <f t="shared" si="13"/>
        <v>#N/A</v>
      </c>
      <c r="V37" s="1459" t="s">
        <v>11</v>
      </c>
      <c r="W37" s="1460" t="e">
        <f t="shared" si="14"/>
        <v>#N/A</v>
      </c>
      <c r="X37" s="1461"/>
      <c r="Y37" s="3662"/>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9"/>
      <c r="M38" s="1971"/>
      <c r="N38" s="1971"/>
      <c r="O38" s="1978"/>
      <c r="P38" s="3662" t="s">
        <v>533</v>
      </c>
      <c r="Q38" s="1463" t="str">
        <f t="shared" si="11"/>
        <v>物业管理</v>
      </c>
      <c r="R38" s="1464" t="s">
        <v>11</v>
      </c>
      <c r="S38" s="1465">
        <f t="shared" si="12"/>
        <v>100</v>
      </c>
      <c r="T38" s="1464" t="s">
        <v>11</v>
      </c>
      <c r="U38" s="1465">
        <f t="shared" si="13"/>
        <v>100</v>
      </c>
      <c r="V38" s="1464" t="s">
        <v>11</v>
      </c>
      <c r="W38" s="1465">
        <f t="shared" si="14"/>
        <v>100</v>
      </c>
      <c r="X38" s="1458"/>
      <c r="Y38" s="3662" t="s">
        <v>533</v>
      </c>
      <c r="Z38" s="1466" t="str">
        <f t="shared" si="15"/>
        <v>物业管理</v>
      </c>
      <c r="AA38" s="1467">
        <f t="shared" si="3"/>
        <v>1</v>
      </c>
      <c r="AB38" s="1467">
        <f t="shared" si="4"/>
        <v>1</v>
      </c>
      <c r="AC38" s="1467">
        <f t="shared" si="5"/>
        <v>1</v>
      </c>
    </row>
    <row r="39" spans="1:29" ht="15">
      <c r="A39" s="571"/>
      <c r="B39" s="1765"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9"/>
      <c r="M39" s="1971"/>
      <c r="N39" s="1971"/>
      <c r="O39" s="1978"/>
      <c r="P39" s="3662"/>
      <c r="Q39" s="1463" t="str">
        <f t="shared" si="11"/>
        <v>市政基础设施</v>
      </c>
      <c r="R39" s="1464" t="s">
        <v>11</v>
      </c>
      <c r="S39" s="1465">
        <f t="shared" si="12"/>
        <v>100</v>
      </c>
      <c r="T39" s="1464" t="s">
        <v>11</v>
      </c>
      <c r="U39" s="1465">
        <f t="shared" si="13"/>
        <v>100</v>
      </c>
      <c r="V39" s="1464" t="s">
        <v>11</v>
      </c>
      <c r="W39" s="1465">
        <f t="shared" si="14"/>
        <v>100</v>
      </c>
      <c r="X39" s="1458"/>
      <c r="Y39" s="3662"/>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9"/>
      <c r="M40" s="1971"/>
      <c r="N40" s="1971"/>
      <c r="O40" s="1978"/>
      <c r="P40" s="3662"/>
      <c r="Q40" s="1463" t="str">
        <f t="shared" si="11"/>
        <v>房型</v>
      </c>
      <c r="R40" s="1464" t="s">
        <v>11</v>
      </c>
      <c r="S40" s="1465">
        <f t="shared" si="12"/>
        <v>100</v>
      </c>
      <c r="T40" s="1464" t="s">
        <v>11</v>
      </c>
      <c r="U40" s="1465">
        <f t="shared" si="13"/>
        <v>100</v>
      </c>
      <c r="V40" s="1464" t="s">
        <v>11</v>
      </c>
      <c r="W40" s="1465">
        <f t="shared" si="14"/>
        <v>100</v>
      </c>
      <c r="X40" s="1458"/>
      <c r="Y40" s="3662"/>
      <c r="Z40" s="1466" t="str">
        <f t="shared" si="15"/>
        <v>房型</v>
      </c>
      <c r="AA40" s="1467">
        <f t="shared" si="3"/>
        <v>1</v>
      </c>
      <c r="AB40" s="1467">
        <f t="shared" si="4"/>
        <v>1</v>
      </c>
      <c r="AC40" s="1467">
        <f t="shared" si="5"/>
        <v>1</v>
      </c>
    </row>
    <row r="41" spans="1:29" s="1249" customFormat="1" ht="28.8">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7"/>
      <c r="M41" s="2007"/>
      <c r="N41" s="2007"/>
      <c r="O41" s="1980"/>
      <c r="P41" s="3662"/>
      <c r="Q41" s="1492" t="str">
        <f t="shared" si="11"/>
        <v>单套/主力户型建筑面积</v>
      </c>
      <c r="R41" s="1468" t="s">
        <v>11</v>
      </c>
      <c r="S41" s="1469">
        <f t="shared" si="12"/>
        <v>100</v>
      </c>
      <c r="T41" s="1468" t="s">
        <v>11</v>
      </c>
      <c r="U41" s="1469">
        <f t="shared" si="13"/>
        <v>100</v>
      </c>
      <c r="V41" s="1468" t="s">
        <v>11</v>
      </c>
      <c r="W41" s="1469">
        <f t="shared" si="14"/>
        <v>100</v>
      </c>
      <c r="X41" s="1470"/>
      <c r="Y41" s="3662"/>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9"/>
      <c r="M42" s="1971"/>
      <c r="N42" s="1971"/>
      <c r="O42" s="1978"/>
      <c r="P42" s="3662"/>
      <c r="Q42" s="1463" t="str">
        <f t="shared" si="11"/>
        <v>内部装修</v>
      </c>
      <c r="R42" s="1464" t="s">
        <v>11</v>
      </c>
      <c r="S42" s="1465">
        <f t="shared" si="12"/>
        <v>100</v>
      </c>
      <c r="T42" s="1464" t="s">
        <v>11</v>
      </c>
      <c r="U42" s="1465">
        <f t="shared" si="13"/>
        <v>100</v>
      </c>
      <c r="V42" s="1464" t="s">
        <v>11</v>
      </c>
      <c r="W42" s="1465">
        <f t="shared" si="14"/>
        <v>100</v>
      </c>
      <c r="X42" s="1458"/>
      <c r="Y42" s="3662"/>
      <c r="Z42" s="1466" t="str">
        <f t="shared" si="15"/>
        <v>内部装修</v>
      </c>
      <c r="AA42" s="1467">
        <f t="shared" si="3"/>
        <v>1</v>
      </c>
      <c r="AB42" s="1467">
        <f t="shared" si="4"/>
        <v>1</v>
      </c>
      <c r="AC42" s="1467">
        <f t="shared" si="5"/>
        <v>1</v>
      </c>
    </row>
    <row r="43" spans="1:29" ht="28.8">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9"/>
      <c r="M43" s="1971"/>
      <c r="N43" s="1971"/>
      <c r="O43" s="1978"/>
      <c r="P43" s="3662"/>
      <c r="Q43" s="1463" t="str">
        <f t="shared" si="11"/>
        <v>内部装修维护情况</v>
      </c>
      <c r="R43" s="1464" t="s">
        <v>11</v>
      </c>
      <c r="S43" s="1465">
        <f t="shared" si="12"/>
        <v>100</v>
      </c>
      <c r="T43" s="1464" t="s">
        <v>11</v>
      </c>
      <c r="U43" s="1465">
        <f t="shared" si="13"/>
        <v>100</v>
      </c>
      <c r="V43" s="1464" t="s">
        <v>11</v>
      </c>
      <c r="W43" s="1465">
        <f t="shared" si="14"/>
        <v>100</v>
      </c>
      <c r="X43" s="1458"/>
      <c r="Y43" s="3662"/>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2"/>
      <c r="M44" s="1973"/>
      <c r="N44" s="1973"/>
      <c r="O44" s="1974"/>
      <c r="P44" s="3662"/>
      <c r="Q44" s="1098">
        <f t="shared" si="11"/>
        <v>111</v>
      </c>
      <c r="R44" s="1459" t="s">
        <v>11</v>
      </c>
      <c r="S44" s="1460">
        <f t="shared" si="12"/>
        <v>100</v>
      </c>
      <c r="T44" s="1459" t="s">
        <v>11</v>
      </c>
      <c r="U44" s="1460">
        <f t="shared" si="13"/>
        <v>100</v>
      </c>
      <c r="V44" s="1459" t="s">
        <v>11</v>
      </c>
      <c r="W44" s="1460">
        <f t="shared" si="14"/>
        <v>100</v>
      </c>
      <c r="X44" s="1461"/>
      <c r="Y44" s="3662"/>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62"/>
      <c r="Q45" s="1463">
        <f t="shared" si="11"/>
        <v>111</v>
      </c>
      <c r="R45" s="1464" t="s">
        <v>11</v>
      </c>
      <c r="S45" s="1465">
        <f t="shared" si="12"/>
        <v>100</v>
      </c>
      <c r="T45" s="1464" t="s">
        <v>11</v>
      </c>
      <c r="U45" s="1465">
        <f t="shared" si="13"/>
        <v>100</v>
      </c>
      <c r="V45" s="1464" t="s">
        <v>11</v>
      </c>
      <c r="W45" s="1465">
        <f t="shared" si="14"/>
        <v>100</v>
      </c>
      <c r="X45" s="1458"/>
      <c r="Y45" s="3662"/>
      <c r="Z45" s="1466">
        <f t="shared" si="15"/>
        <v>111</v>
      </c>
      <c r="AA45" s="1467">
        <f t="shared" si="3"/>
        <v>1</v>
      </c>
      <c r="AB45" s="1467">
        <f t="shared" si="4"/>
        <v>1</v>
      </c>
      <c r="AC45" s="1467">
        <f t="shared" si="5"/>
        <v>1</v>
      </c>
    </row>
    <row r="46" spans="1:29" ht="15.6"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55"/>
      <c r="Q46" s="1463">
        <f t="shared" si="11"/>
        <v>111</v>
      </c>
      <c r="R46" s="1464" t="s">
        <v>10</v>
      </c>
      <c r="S46" s="1465">
        <f t="shared" si="12"/>
        <v>100</v>
      </c>
      <c r="T46" s="1464" t="s">
        <v>10</v>
      </c>
      <c r="U46" s="1465">
        <f t="shared" si="13"/>
        <v>100</v>
      </c>
      <c r="V46" s="1464" t="s">
        <v>10</v>
      </c>
      <c r="W46" s="1465">
        <f t="shared" si="14"/>
        <v>100</v>
      </c>
      <c r="X46" s="1458"/>
      <c r="Y46" s="3755"/>
      <c r="Z46" s="1466">
        <f t="shared" si="15"/>
        <v>111</v>
      </c>
      <c r="AA46" s="1467">
        <f t="shared" si="3"/>
        <v>1</v>
      </c>
      <c r="AB46" s="1467">
        <f t="shared" si="4"/>
        <v>1</v>
      </c>
      <c r="AC46" s="1467">
        <f t="shared" si="5"/>
        <v>1</v>
      </c>
    </row>
    <row r="47" spans="1:29" ht="14.4">
      <c r="A47" s="584" t="s">
        <v>718</v>
      </c>
      <c r="B47" s="859"/>
      <c r="C47" s="2393" t="s">
        <v>9</v>
      </c>
      <c r="D47" s="2394"/>
      <c r="E47" s="2395"/>
      <c r="F47" s="2396"/>
      <c r="G47" s="2397"/>
      <c r="H47" s="2398"/>
      <c r="I47" s="2395"/>
      <c r="J47" s="2398"/>
      <c r="K47" s="1493"/>
      <c r="L47" s="1981"/>
      <c r="M47" s="1982"/>
      <c r="N47" s="1971"/>
      <c r="O47" s="1982"/>
      <c r="P47" s="3626" t="str">
        <f>A47</f>
        <v>成交单价（元/平方米）</v>
      </c>
      <c r="Q47" s="3626"/>
      <c r="R47" s="3754">
        <f>E47</f>
        <v>0</v>
      </c>
      <c r="S47" s="3754"/>
      <c r="T47" s="3754">
        <f>G47</f>
        <v>0</v>
      </c>
      <c r="U47" s="3754"/>
      <c r="V47" s="3754">
        <f>I47</f>
        <v>0</v>
      </c>
      <c r="W47" s="3754"/>
      <c r="X47" s="1453"/>
      <c r="Y47" s="1472"/>
      <c r="Z47" s="1453"/>
      <c r="AA47" s="1453"/>
      <c r="AB47" s="1453"/>
      <c r="AC47" s="1453"/>
    </row>
    <row r="48" spans="1:29" ht="1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82"/>
      <c r="O48" s="1982"/>
      <c r="P48" s="3626" t="str">
        <f>A48</f>
        <v>比较价格（元/平方米）</v>
      </c>
      <c r="Q48" s="3626"/>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1453"/>
      <c r="Y48" s="1453"/>
      <c r="Z48" s="1453"/>
      <c r="AA48" s="1453"/>
      <c r="AB48" s="1453"/>
      <c r="AC48" s="1453"/>
    </row>
    <row r="49" spans="1:29" ht="15" thickBot="1">
      <c r="A49" s="596" t="s">
        <v>2637</v>
      </c>
      <c r="B49" s="597"/>
      <c r="C49" s="2401" t="e">
        <f>R49</f>
        <v>#DIV/0!</v>
      </c>
      <c r="D49" s="2401"/>
      <c r="E49" s="2401"/>
      <c r="F49" s="2401"/>
      <c r="G49" s="2401"/>
      <c r="H49" s="2401"/>
      <c r="I49" s="2401"/>
      <c r="J49" s="2401"/>
      <c r="K49" s="1494"/>
      <c r="L49" s="1981"/>
      <c r="M49" s="1982"/>
      <c r="N49" s="1982"/>
      <c r="O49" s="1982"/>
      <c r="P49" s="3663" t="str">
        <f>A49</f>
        <v>估价对象XX用房的比较价格（楼面单价，元/平方米）</v>
      </c>
      <c r="Q49" s="3664"/>
      <c r="R49" s="3753" t="e">
        <f>IF(F1="售价",ROUND(IF(D48="简单平均",AVERAGE(R48:V48),R48*F48+T48*H48+V48*J48),0),ROUND(IF(D48="简单平均",AVERAGE(R48:V48),R48*F48+T48*H48+V48*J48),1))</f>
        <v>#DIV/0!</v>
      </c>
      <c r="S49" s="3753"/>
      <c r="T49" s="3753"/>
      <c r="U49" s="3753"/>
      <c r="V49" s="3753"/>
      <c r="W49" s="3753"/>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2.2"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4.4">
      <c r="A58" s="620" t="s">
        <v>512</v>
      </c>
      <c r="B58" s="621"/>
      <c r="C58" s="2444" t="str">
        <f>YEAR(C7)&amp;"-"&amp;MONTH(C7)</f>
        <v>1900-1</v>
      </c>
      <c r="D58" s="2444" t="e">
        <f>EDATE(C58,-1)</f>
        <v>#NUM!</v>
      </c>
      <c r="E58" s="2444" t="e">
        <f t="shared" ref="E58:O58" si="16">EDATE(D58,-1)</f>
        <v>#NUM!</v>
      </c>
      <c r="F58" s="2444" t="e">
        <f t="shared" si="16"/>
        <v>#NUM!</v>
      </c>
      <c r="G58" s="2444" t="e">
        <f t="shared" si="16"/>
        <v>#NUM!</v>
      </c>
      <c r="H58" s="2444" t="e">
        <f t="shared" si="16"/>
        <v>#NUM!</v>
      </c>
      <c r="I58" s="2444" t="e">
        <f t="shared" si="16"/>
        <v>#NUM!</v>
      </c>
      <c r="J58" s="2444" t="e">
        <f t="shared" si="16"/>
        <v>#NUM!</v>
      </c>
      <c r="K58" s="2444" t="e">
        <f t="shared" si="16"/>
        <v>#NUM!</v>
      </c>
      <c r="L58" s="2444" t="e">
        <f t="shared" si="16"/>
        <v>#NUM!</v>
      </c>
      <c r="M58" s="2444" t="e">
        <f t="shared" si="16"/>
        <v>#NUM!</v>
      </c>
      <c r="N58" s="2444" t="e">
        <f t="shared" si="16"/>
        <v>#NUM!</v>
      </c>
      <c r="O58" s="2444" t="e">
        <f t="shared" si="16"/>
        <v>#NUM!</v>
      </c>
      <c r="P58" s="1996"/>
      <c r="Q58" s="1997"/>
      <c r="R58" s="1997"/>
      <c r="S58" s="1997"/>
      <c r="T58" s="1997"/>
      <c r="U58" s="1997"/>
      <c r="V58" s="1997"/>
      <c r="W58" s="1997"/>
      <c r="X58" s="1997"/>
      <c r="Y58" s="1997"/>
      <c r="Z58" s="1997"/>
      <c r="AA58" s="1997"/>
      <c r="AB58" s="1997"/>
      <c r="AC58" s="1997"/>
    </row>
    <row r="59" spans="1:29" s="1167" customFormat="1">
      <c r="A59" s="622"/>
      <c r="B59" s="623"/>
      <c r="C59" s="624">
        <v>100</v>
      </c>
      <c r="D59" s="625"/>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4.4">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4.4"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ht="14.4">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4.4"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9.4"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4.4"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4.4"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2"/>
      <c r="O69" s="2002"/>
      <c r="P69" s="2001"/>
      <c r="Q69" s="1994"/>
      <c r="R69" s="1982"/>
      <c r="S69" s="1982"/>
      <c r="T69" s="1982"/>
      <c r="U69" s="1982"/>
      <c r="V69" s="1982"/>
      <c r="W69" s="1982"/>
      <c r="X69" s="1982"/>
      <c r="Y69" s="1982"/>
      <c r="Z69" s="1982"/>
      <c r="AA69" s="1982"/>
      <c r="AB69" s="1982"/>
      <c r="AC69" s="1982"/>
    </row>
    <row r="70" spans="1:29" s="1249" customFormat="1" ht="14.4"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4.4"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4.4"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4.4"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4.4"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4.4"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ht="14.4">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4.4"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4.4"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4.4"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4.4"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4.4"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 thickTop="1">
      <c r="A86" s="684"/>
      <c r="B86" s="1766" t="s">
        <v>2049</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4.4"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4.4"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4.4"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4.4"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4.4"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4.4"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4.4"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4.4"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4.4"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4.4"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4.4"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4.4"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ht="14.4">
      <c r="A100" s="639" t="s">
        <v>534</v>
      </c>
      <c r="B100" s="640" t="s">
        <v>729</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4.4"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2"/>
      <c r="O101" s="2002"/>
      <c r="P101" s="2001"/>
      <c r="Q101" s="1994"/>
      <c r="R101" s="1982"/>
      <c r="S101" s="1982"/>
      <c r="T101" s="1982"/>
      <c r="U101" s="1982"/>
      <c r="V101" s="1982"/>
      <c r="W101" s="1982"/>
      <c r="X101" s="1982"/>
      <c r="Y101" s="1982"/>
      <c r="Z101" s="1982"/>
      <c r="AA101" s="1982"/>
      <c r="AB101" s="1982"/>
      <c r="AC101" s="1982"/>
    </row>
    <row r="102" spans="1:29" ht="1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4.4" thickBot="1">
      <c r="A104" s="662"/>
      <c r="B104" s="653"/>
      <c r="C104" s="667"/>
      <c r="D104" s="646"/>
      <c r="E104" s="646"/>
      <c r="F104" s="646"/>
      <c r="G104" s="646"/>
      <c r="H104" s="646"/>
      <c r="I104" s="646"/>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4.4"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693"/>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4.4"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663"/>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4.4"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4.4"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2274</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693"/>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4.4"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2"/>
      <c r="O119" s="2002"/>
      <c r="P119" s="2001"/>
      <c r="Q119" s="1994"/>
      <c r="R119" s="1982"/>
      <c r="S119" s="1982"/>
      <c r="T119" s="1982"/>
      <c r="U119" s="1982"/>
      <c r="V119" s="1982"/>
      <c r="W119" s="1982"/>
      <c r="X119" s="1982"/>
      <c r="Y119" s="1982"/>
      <c r="Z119" s="1982"/>
      <c r="AA119" s="1982"/>
      <c r="AB119" s="1982"/>
      <c r="AC119" s="1982"/>
    </row>
    <row r="120" spans="1:29" s="1249" customFormat="1" ht="29.4"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4.4"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2"/>
      <c r="O123" s="2002"/>
      <c r="P123" s="2001"/>
      <c r="Q123" s="1994"/>
      <c r="R123" s="1982"/>
      <c r="S123" s="1982"/>
      <c r="T123" s="1982"/>
      <c r="U123" s="1982"/>
      <c r="V123" s="1982"/>
      <c r="W123" s="1982"/>
      <c r="X123" s="1982"/>
      <c r="Y123" s="1982"/>
      <c r="Z123" s="1982"/>
      <c r="AA123" s="1982"/>
      <c r="AB123" s="1982"/>
      <c r="AC123" s="1982"/>
    </row>
    <row r="124" spans="1:29" ht="29.4"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4.4"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4.4"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4.4"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4.4"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4.4"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4.4"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2050</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ht="15.6">
      <c r="A137" s="2015"/>
      <c r="B137" s="1788" t="s">
        <v>2051</v>
      </c>
      <c r="C137" s="1789"/>
      <c r="D137" s="1789"/>
      <c r="E137" s="1789"/>
      <c r="F137" s="1789"/>
      <c r="G137" s="1790"/>
      <c r="H137" s="1791"/>
      <c r="I137" s="1792" t="s">
        <v>2052</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ht="15.6">
      <c r="A138" s="2015"/>
      <c r="B138" s="1794"/>
      <c r="C138" s="1795" t="s">
        <v>2053</v>
      </c>
      <c r="D138" s="1795" t="s">
        <v>2054</v>
      </c>
      <c r="E138" s="1796" t="s">
        <v>2055</v>
      </c>
      <c r="F138" s="1797" t="s">
        <v>2056</v>
      </c>
      <c r="G138" s="1795" t="s">
        <v>2057</v>
      </c>
      <c r="H138" s="1798" t="s">
        <v>2058</v>
      </c>
      <c r="I138" s="1799"/>
      <c r="J138" s="1795" t="s">
        <v>2059</v>
      </c>
      <c r="K138" s="1798" t="s">
        <v>2060</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2061</v>
      </c>
      <c r="E139" s="1769">
        <v>100</v>
      </c>
      <c r="F139" s="1770">
        <v>102.5</v>
      </c>
      <c r="G139" s="1800" t="s">
        <v>2062</v>
      </c>
      <c r="H139" s="1771">
        <v>105</v>
      </c>
      <c r="I139" s="1801" t="s">
        <v>2063</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6">
      <c r="A140" s="2015"/>
      <c r="B140" s="1773">
        <v>5</v>
      </c>
      <c r="C140" s="1774">
        <v>100</v>
      </c>
      <c r="D140" s="1802"/>
      <c r="E140" s="1775"/>
      <c r="F140" s="1776">
        <v>102</v>
      </c>
      <c r="G140" s="1802"/>
      <c r="H140" s="1777"/>
      <c r="I140" s="1803" t="s">
        <v>2064</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6">
      <c r="A141" s="2015"/>
      <c r="B141" s="1773">
        <v>4</v>
      </c>
      <c r="C141" s="1774">
        <v>102</v>
      </c>
      <c r="D141" s="1802"/>
      <c r="E141" s="1775"/>
      <c r="F141" s="1776">
        <v>101.5</v>
      </c>
      <c r="G141" s="1802"/>
      <c r="H141" s="1777"/>
      <c r="I141" s="1803" t="s">
        <v>2065</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6">
      <c r="A142" s="2015"/>
      <c r="B142" s="1773">
        <v>3</v>
      </c>
      <c r="C142" s="1774">
        <v>103</v>
      </c>
      <c r="D142" s="1802"/>
      <c r="E142" s="1775"/>
      <c r="F142" s="1776">
        <v>101</v>
      </c>
      <c r="G142" s="1802"/>
      <c r="H142" s="1777"/>
      <c r="I142" s="1803" t="s">
        <v>2066</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6">
      <c r="A143" s="2015"/>
      <c r="B143" s="1773">
        <v>2</v>
      </c>
      <c r="C143" s="1774">
        <v>100</v>
      </c>
      <c r="D143" s="1802"/>
      <c r="E143" s="1775"/>
      <c r="F143" s="1776">
        <v>100.5</v>
      </c>
      <c r="G143" s="1802"/>
      <c r="H143" s="1777"/>
      <c r="I143" s="1803" t="s">
        <v>2067</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2068</v>
      </c>
      <c r="E144" s="1775">
        <v>102</v>
      </c>
      <c r="F144" s="1781">
        <v>100</v>
      </c>
      <c r="G144" s="1804" t="s">
        <v>2068</v>
      </c>
      <c r="H144" s="1777">
        <v>105</v>
      </c>
      <c r="I144" s="1803" t="s">
        <v>2067</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6.2" thickBot="1">
      <c r="A145" s="2015"/>
      <c r="B145" s="1805" t="s">
        <v>2069</v>
      </c>
      <c r="C145" s="1782">
        <f>ROUND(MAX(C139:C144)/MIN(C139:C144)-1,3)</f>
        <v>7.2999999999999995E-2</v>
      </c>
      <c r="D145" s="1806"/>
      <c r="E145" s="1806"/>
      <c r="F145" s="1807" t="s">
        <v>2070</v>
      </c>
      <c r="G145" s="1808"/>
      <c r="H145" s="1809"/>
      <c r="I145" s="1810" t="s">
        <v>2067</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ht="14.4">
      <c r="A147" s="2015"/>
      <c r="B147" s="1829" t="s">
        <v>2078</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ht="14.4">
      <c r="A148" s="2015"/>
      <c r="B148" s="1829" t="s">
        <v>2079</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4.4">
      <c r="A4" s="489" t="s">
        <v>504</v>
      </c>
      <c r="B4" s="490"/>
      <c r="C4" s="3632" t="s">
        <v>505</v>
      </c>
      <c r="D4" s="3633"/>
      <c r="E4" s="3667" t="s">
        <v>506</v>
      </c>
      <c r="F4" s="3668"/>
      <c r="G4" s="3632" t="s">
        <v>507</v>
      </c>
      <c r="H4" s="3633"/>
      <c r="I4" s="3632" t="s">
        <v>508</v>
      </c>
      <c r="J4" s="3633"/>
      <c r="K4" s="491" t="s">
        <v>509</v>
      </c>
      <c r="L4" s="1970"/>
      <c r="M4" s="1971"/>
      <c r="N4" s="1971"/>
      <c r="O4" s="1971"/>
      <c r="P4" s="3634" t="s">
        <v>510</v>
      </c>
      <c r="Q4" s="3635"/>
      <c r="R4" s="3640" t="s">
        <v>506</v>
      </c>
      <c r="S4" s="3641"/>
      <c r="T4" s="3640" t="s">
        <v>507</v>
      </c>
      <c r="U4" s="3641"/>
      <c r="V4" s="3627" t="s">
        <v>508</v>
      </c>
      <c r="W4" s="3627"/>
      <c r="X4" s="1458"/>
      <c r="Y4" s="3640" t="s">
        <v>510</v>
      </c>
      <c r="Z4" s="3641"/>
      <c r="AA4" s="3629" t="s">
        <v>506</v>
      </c>
      <c r="AB4" s="3627" t="s">
        <v>507</v>
      </c>
      <c r="AC4" s="3629" t="s">
        <v>508</v>
      </c>
    </row>
    <row r="5" spans="1:29">
      <c r="A5" s="492"/>
      <c r="B5" s="493"/>
      <c r="C5" s="3648" t="s">
        <v>2631</v>
      </c>
      <c r="D5" s="3649"/>
      <c r="E5" s="3669" t="s">
        <v>2632</v>
      </c>
      <c r="F5" s="3670"/>
      <c r="G5" s="3648" t="s">
        <v>2633</v>
      </c>
      <c r="H5" s="3649"/>
      <c r="I5" s="3648" t="s">
        <v>2634</v>
      </c>
      <c r="J5" s="3649"/>
      <c r="K5" s="491"/>
      <c r="L5" s="1970"/>
      <c r="M5" s="1971"/>
      <c r="N5" s="1971"/>
      <c r="O5" s="1971"/>
      <c r="P5" s="3636"/>
      <c r="Q5" s="3637"/>
      <c r="R5" s="3642"/>
      <c r="S5" s="3643"/>
      <c r="T5" s="3642"/>
      <c r="U5" s="3643"/>
      <c r="V5" s="3627"/>
      <c r="W5" s="3627"/>
      <c r="X5" s="1458"/>
      <c r="Y5" s="3642"/>
      <c r="Z5" s="3643"/>
      <c r="AA5" s="3630"/>
      <c r="AB5" s="3627"/>
      <c r="AC5" s="3630"/>
    </row>
    <row r="6" spans="1:29" ht="15" thickBot="1">
      <c r="A6" s="494"/>
      <c r="B6" s="495"/>
      <c r="C6" s="3646" t="s">
        <v>2635</v>
      </c>
      <c r="D6" s="3647"/>
      <c r="E6" s="3665" t="s">
        <v>2635</v>
      </c>
      <c r="F6" s="3666"/>
      <c r="G6" s="3646" t="s">
        <v>2635</v>
      </c>
      <c r="H6" s="3647"/>
      <c r="I6" s="3646" t="s">
        <v>2635</v>
      </c>
      <c r="J6" s="3647"/>
      <c r="K6" s="491" t="s">
        <v>511</v>
      </c>
      <c r="L6" s="1970"/>
      <c r="M6" s="1971"/>
      <c r="N6" s="1971"/>
      <c r="O6" s="1971"/>
      <c r="P6" s="3638"/>
      <c r="Q6" s="3639"/>
      <c r="R6" s="3642"/>
      <c r="S6" s="3643"/>
      <c r="T6" s="3644"/>
      <c r="U6" s="3645"/>
      <c r="V6" s="3627"/>
      <c r="W6" s="3627"/>
      <c r="X6" s="1458"/>
      <c r="Y6" s="3644"/>
      <c r="Z6" s="3645"/>
      <c r="AA6" s="3631"/>
      <c r="AB6" s="3627"/>
      <c r="AC6" s="3631"/>
    </row>
    <row r="7" spans="1:29" s="1167" customFormat="1" ht="15" thickBot="1">
      <c r="A7" s="2552"/>
      <c r="B7" s="2559" t="s">
        <v>512</v>
      </c>
      <c r="C7" s="496">
        <f>'数据-取费表'!B2</f>
        <v>0</v>
      </c>
      <c r="D7" s="497">
        <v>100</v>
      </c>
      <c r="E7" s="498"/>
      <c r="F7" s="499">
        <f>SUMIF(58:58,YEAR(E7)&amp;"-"&amp;MONTH(E7),59:59)</f>
        <v>100</v>
      </c>
      <c r="G7" s="498"/>
      <c r="H7" s="497">
        <f>SUMIF(58:58,YEAR(G7)&amp;"-"&amp;MONTH(G7),59:59)</f>
        <v>100</v>
      </c>
      <c r="I7" s="498"/>
      <c r="J7" s="497">
        <f>SUMIF(58:58,YEAR(I7)&amp;"-"&amp;MONTH(I7),59:59)</f>
        <v>100</v>
      </c>
      <c r="K7" s="501"/>
      <c r="L7" s="1972"/>
      <c r="M7" s="1973"/>
      <c r="N7" s="1973"/>
      <c r="O7" s="1973"/>
      <c r="P7" s="3656" t="s">
        <v>513</v>
      </c>
      <c r="Q7" s="3658"/>
      <c r="R7" s="1459" t="s">
        <v>8</v>
      </c>
      <c r="S7" s="1460">
        <f t="shared" ref="S7:S15" si="0">F7</f>
        <v>100</v>
      </c>
      <c r="T7" s="1459" t="s">
        <v>8</v>
      </c>
      <c r="U7" s="1460">
        <f t="shared" ref="U7:U15" si="1">H7</f>
        <v>100</v>
      </c>
      <c r="V7" s="1459" t="s">
        <v>8</v>
      </c>
      <c r="W7" s="1460">
        <f t="shared" ref="W7:W15" si="2">J7</f>
        <v>100</v>
      </c>
      <c r="X7" s="1461"/>
      <c r="Y7" s="3656" t="s">
        <v>513</v>
      </c>
      <c r="Z7" s="3657"/>
      <c r="AA7" s="1462">
        <f>D7/F7</f>
        <v>1</v>
      </c>
      <c r="AB7" s="1462">
        <f>D7/H7</f>
        <v>1</v>
      </c>
      <c r="AC7" s="1462">
        <f>D7/J7</f>
        <v>1</v>
      </c>
    </row>
    <row r="8" spans="1:29" s="1167" customFormat="1" ht="15" thickBot="1">
      <c r="A8" s="2553"/>
      <c r="B8" s="2560"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56" t="s">
        <v>516</v>
      </c>
      <c r="Q8" s="3657"/>
      <c r="R8" s="1459" t="s">
        <v>8</v>
      </c>
      <c r="S8" s="1460">
        <f t="shared" si="0"/>
        <v>0</v>
      </c>
      <c r="T8" s="1459" t="s">
        <v>8</v>
      </c>
      <c r="U8" s="1460">
        <f t="shared" si="1"/>
        <v>0</v>
      </c>
      <c r="V8" s="1459" t="s">
        <v>8</v>
      </c>
      <c r="W8" s="1460">
        <f t="shared" si="2"/>
        <v>0</v>
      </c>
      <c r="X8" s="1461"/>
      <c r="Y8" s="3656" t="s">
        <v>516</v>
      </c>
      <c r="Z8" s="3657"/>
      <c r="AA8" s="1462" t="e">
        <f t="shared" ref="AA8:AA46" si="3">D8/F8</f>
        <v>#DIV/0!</v>
      </c>
      <c r="AB8" s="1462" t="e">
        <f t="shared" ref="AB8:AB46" si="4">D8/H8</f>
        <v>#DIV/0!</v>
      </c>
      <c r="AC8" s="1462" t="e">
        <f t="shared" ref="AC8:AC46" si="5">D8/J8</f>
        <v>#DIV/0!</v>
      </c>
    </row>
    <row r="9" spans="1:29" s="1167" customFormat="1" ht="14.4">
      <c r="A9" s="2554"/>
      <c r="B9" s="2561" t="s">
        <v>2473</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26" t="s">
        <v>518</v>
      </c>
      <c r="Q9" s="1098" t="str">
        <f t="shared" ref="Q9:Q15" si="6">B9</f>
        <v>用途</v>
      </c>
      <c r="R9" s="1459" t="s">
        <v>8</v>
      </c>
      <c r="S9" s="1460">
        <f t="shared" si="0"/>
        <v>100</v>
      </c>
      <c r="T9" s="1459" t="s">
        <v>8</v>
      </c>
      <c r="U9" s="1460">
        <f t="shared" si="1"/>
        <v>100</v>
      </c>
      <c r="V9" s="1459" t="s">
        <v>8</v>
      </c>
      <c r="W9" s="1460">
        <f t="shared" si="2"/>
        <v>100</v>
      </c>
      <c r="X9" s="1461"/>
      <c r="Y9" s="3570" t="s">
        <v>519</v>
      </c>
      <c r="Z9" s="1097" t="str">
        <f t="shared" ref="Z9:Z15" si="7">Q9</f>
        <v>用途</v>
      </c>
      <c r="AA9" s="1462">
        <f t="shared" si="3"/>
        <v>1</v>
      </c>
      <c r="AB9" s="1462">
        <f t="shared" si="4"/>
        <v>1</v>
      </c>
      <c r="AC9" s="1462">
        <f t="shared" si="5"/>
        <v>1</v>
      </c>
    </row>
    <row r="10" spans="1:29" s="1248" customFormat="1" ht="28.8">
      <c r="A10" s="2555"/>
      <c r="B10" s="2560" t="s">
        <v>2474</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26"/>
      <c r="Q10" s="1098" t="str">
        <f t="shared" si="6"/>
        <v>土地使用年限（年）</v>
      </c>
      <c r="R10" s="1459" t="s">
        <v>8</v>
      </c>
      <c r="S10" s="1460">
        <f t="shared" si="0"/>
        <v>100</v>
      </c>
      <c r="T10" s="1459" t="s">
        <v>8</v>
      </c>
      <c r="U10" s="1460">
        <f t="shared" si="1"/>
        <v>100</v>
      </c>
      <c r="V10" s="1459" t="s">
        <v>8</v>
      </c>
      <c r="W10" s="1460">
        <f t="shared" si="2"/>
        <v>100</v>
      </c>
      <c r="X10" s="1461"/>
      <c r="Y10" s="357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26"/>
      <c r="Q11" s="1098" t="str">
        <f t="shared" si="6"/>
        <v>容积率</v>
      </c>
      <c r="R11" s="1459" t="s">
        <v>8</v>
      </c>
      <c r="S11" s="1460" t="e">
        <f t="shared" si="0"/>
        <v>#N/A</v>
      </c>
      <c r="T11" s="1459" t="s">
        <v>8</v>
      </c>
      <c r="U11" s="1460" t="e">
        <f t="shared" si="1"/>
        <v>#N/A</v>
      </c>
      <c r="V11" s="1459" t="s">
        <v>8</v>
      </c>
      <c r="W11" s="1460" t="e">
        <f t="shared" si="2"/>
        <v>#N/A</v>
      </c>
      <c r="X11" s="1461"/>
      <c r="Y11" s="357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26"/>
      <c r="Q12" s="1098">
        <f t="shared" si="6"/>
        <v>111</v>
      </c>
      <c r="R12" s="1459" t="s">
        <v>8</v>
      </c>
      <c r="S12" s="1460">
        <f t="shared" si="0"/>
        <v>100</v>
      </c>
      <c r="T12" s="1459" t="s">
        <v>8</v>
      </c>
      <c r="U12" s="1460">
        <f t="shared" si="1"/>
        <v>100</v>
      </c>
      <c r="V12" s="1459" t="s">
        <v>8</v>
      </c>
      <c r="W12" s="1460">
        <f t="shared" si="2"/>
        <v>100</v>
      </c>
      <c r="X12" s="1461"/>
      <c r="Y12" s="3570"/>
      <c r="Z12" s="1097">
        <f t="shared" si="7"/>
        <v>111</v>
      </c>
      <c r="AA12" s="1462">
        <f>D12/F12</f>
        <v>1</v>
      </c>
      <c r="AB12" s="1462">
        <f>D12/H12</f>
        <v>1</v>
      </c>
      <c r="AC12" s="1462">
        <f>D12/J12</f>
        <v>1</v>
      </c>
    </row>
    <row r="13" spans="1:29" ht="15">
      <c r="A13" s="2557"/>
      <c r="B13" s="2563">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26"/>
      <c r="Q13" s="1098">
        <f t="shared" si="6"/>
        <v>111</v>
      </c>
      <c r="R13" s="1459" t="s">
        <v>8</v>
      </c>
      <c r="S13" s="1460">
        <f t="shared" si="0"/>
        <v>100</v>
      </c>
      <c r="T13" s="1459" t="s">
        <v>8</v>
      </c>
      <c r="U13" s="1460">
        <f t="shared" si="1"/>
        <v>100</v>
      </c>
      <c r="V13" s="1459" t="s">
        <v>8</v>
      </c>
      <c r="W13" s="1460">
        <f t="shared" si="2"/>
        <v>100</v>
      </c>
      <c r="X13" s="1461"/>
      <c r="Y13" s="3570"/>
      <c r="Z13" s="1097">
        <f t="shared" si="7"/>
        <v>111</v>
      </c>
      <c r="AA13" s="1462">
        <f t="shared" si="3"/>
        <v>1</v>
      </c>
      <c r="AB13" s="1462">
        <f t="shared" si="4"/>
        <v>1</v>
      </c>
      <c r="AC13" s="1462">
        <f t="shared" si="5"/>
        <v>1</v>
      </c>
    </row>
    <row r="14" spans="1:29" ht="15.6" thickBot="1">
      <c r="A14" s="2558"/>
      <c r="B14" s="2564">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26"/>
      <c r="Q14" s="1098">
        <f t="shared" si="6"/>
        <v>111</v>
      </c>
      <c r="R14" s="1459" t="s">
        <v>8</v>
      </c>
      <c r="S14" s="1460">
        <f t="shared" si="0"/>
        <v>100</v>
      </c>
      <c r="T14" s="1459" t="s">
        <v>8</v>
      </c>
      <c r="U14" s="1460">
        <f t="shared" si="1"/>
        <v>100</v>
      </c>
      <c r="V14" s="1459" t="s">
        <v>8</v>
      </c>
      <c r="W14" s="1460">
        <f t="shared" si="2"/>
        <v>100</v>
      </c>
      <c r="X14" s="1461"/>
      <c r="Y14" s="3570"/>
      <c r="Z14" s="1097">
        <f t="shared" si="7"/>
        <v>111</v>
      </c>
      <c r="AA14" s="1462">
        <f t="shared" si="3"/>
        <v>1</v>
      </c>
      <c r="AB14" s="1462">
        <f t="shared" si="4"/>
        <v>1</v>
      </c>
      <c r="AC14" s="1462">
        <f t="shared" si="5"/>
        <v>1</v>
      </c>
    </row>
    <row r="15" spans="1:29" ht="82.8">
      <c r="A15" s="2550"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59" t="s">
        <v>523</v>
      </c>
      <c r="Q15" s="1463" t="str">
        <f t="shared" si="6"/>
        <v>商业繁华度</v>
      </c>
      <c r="R15" s="1464" t="s">
        <v>8</v>
      </c>
      <c r="S15" s="1465">
        <f t="shared" si="0"/>
        <v>100</v>
      </c>
      <c r="T15" s="1464" t="s">
        <v>8</v>
      </c>
      <c r="U15" s="1465">
        <f t="shared" si="1"/>
        <v>100</v>
      </c>
      <c r="V15" s="1464" t="s">
        <v>8</v>
      </c>
      <c r="W15" s="1465">
        <f t="shared" si="2"/>
        <v>100</v>
      </c>
      <c r="X15" s="1458"/>
      <c r="Y15" s="3659"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60"/>
      <c r="Q16" s="1463"/>
      <c r="R16" s="1464"/>
      <c r="S16" s="1465"/>
      <c r="T16" s="1464"/>
      <c r="U16" s="1465"/>
      <c r="V16" s="1464"/>
      <c r="W16" s="1465"/>
      <c r="X16" s="1458"/>
      <c r="Y16" s="3660"/>
      <c r="Z16" s="1466"/>
      <c r="AA16" s="1467">
        <v>1</v>
      </c>
      <c r="AB16" s="1467">
        <v>1</v>
      </c>
      <c r="AC16" s="1467">
        <v>1</v>
      </c>
    </row>
    <row r="17" spans="1:29" ht="96.6">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60"/>
      <c r="Q17" s="1463" t="str">
        <f>B17</f>
        <v>交通便捷度</v>
      </c>
      <c r="R17" s="1464" t="s">
        <v>8</v>
      </c>
      <c r="S17" s="1465">
        <f>F17</f>
        <v>100</v>
      </c>
      <c r="T17" s="1464" t="s">
        <v>8</v>
      </c>
      <c r="U17" s="1465">
        <f>H17</f>
        <v>100</v>
      </c>
      <c r="V17" s="1464" t="s">
        <v>8</v>
      </c>
      <c r="W17" s="1465">
        <f>J17</f>
        <v>100</v>
      </c>
      <c r="X17" s="1458"/>
      <c r="Y17" s="3660"/>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60"/>
      <c r="Q18" s="1463"/>
      <c r="R18" s="1464"/>
      <c r="S18" s="1465"/>
      <c r="T18" s="1464"/>
      <c r="U18" s="1465"/>
      <c r="V18" s="1464"/>
      <c r="W18" s="1465"/>
      <c r="X18" s="1458"/>
      <c r="Y18" s="3660"/>
      <c r="Z18" s="1466"/>
      <c r="AA18" s="1467">
        <v>1</v>
      </c>
      <c r="AB18" s="1467">
        <v>1</v>
      </c>
      <c r="AC18" s="1467">
        <v>1</v>
      </c>
    </row>
    <row r="19" spans="1:29" ht="41.4">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60"/>
      <c r="Q19" s="1463" t="str">
        <f>B19</f>
        <v>公共配套设施</v>
      </c>
      <c r="R19" s="1464" t="s">
        <v>8</v>
      </c>
      <c r="S19" s="1465">
        <f>F19</f>
        <v>100</v>
      </c>
      <c r="T19" s="1464" t="s">
        <v>8</v>
      </c>
      <c r="U19" s="1465">
        <f>H19</f>
        <v>100</v>
      </c>
      <c r="V19" s="1464" t="s">
        <v>8</v>
      </c>
      <c r="W19" s="1465">
        <f>J19</f>
        <v>100</v>
      </c>
      <c r="X19" s="1458"/>
      <c r="Y19" s="3660"/>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60"/>
      <c r="Q20" s="1463"/>
      <c r="R20" s="1464"/>
      <c r="S20" s="1465"/>
      <c r="T20" s="1464"/>
      <c r="U20" s="1465"/>
      <c r="V20" s="1464"/>
      <c r="W20" s="1465"/>
      <c r="X20" s="1458"/>
      <c r="Y20" s="3660"/>
      <c r="Z20" s="1466"/>
      <c r="AA20" s="1467">
        <v>1</v>
      </c>
      <c r="AB20" s="1467">
        <v>1</v>
      </c>
      <c r="AC20" s="1467">
        <v>1</v>
      </c>
    </row>
    <row r="21" spans="1:29" ht="41.4">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60"/>
      <c r="Q21" s="2352" t="str">
        <f>B21</f>
        <v>基础设施水平</v>
      </c>
      <c r="R21" s="1464" t="s">
        <v>8</v>
      </c>
      <c r="S21" s="1465">
        <f>F21</f>
        <v>100</v>
      </c>
      <c r="T21" s="1464" t="s">
        <v>8</v>
      </c>
      <c r="U21" s="1465">
        <f>H21</f>
        <v>100</v>
      </c>
      <c r="V21" s="1464" t="s">
        <v>8</v>
      </c>
      <c r="W21" s="1465">
        <f>J21</f>
        <v>100</v>
      </c>
      <c r="X21" s="2354"/>
      <c r="Y21" s="3660"/>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60"/>
      <c r="Q22" s="2352"/>
      <c r="R22" s="1464"/>
      <c r="S22" s="1465"/>
      <c r="T22" s="1464"/>
      <c r="U22" s="1465"/>
      <c r="V22" s="1464"/>
      <c r="W22" s="1465"/>
      <c r="X22" s="2354"/>
      <c r="Y22" s="3660"/>
      <c r="Z22" s="2353"/>
      <c r="AA22" s="1467">
        <v>1</v>
      </c>
      <c r="AB22" s="1467">
        <v>1</v>
      </c>
      <c r="AC22" s="1467">
        <v>1</v>
      </c>
    </row>
    <row r="23" spans="1:29" ht="55.2">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60"/>
      <c r="Q23" s="1463" t="str">
        <f>B23</f>
        <v>自然及人文环境</v>
      </c>
      <c r="R23" s="1464" t="s">
        <v>8</v>
      </c>
      <c r="S23" s="1465">
        <f>F23</f>
        <v>100</v>
      </c>
      <c r="T23" s="1464" t="s">
        <v>8</v>
      </c>
      <c r="U23" s="1465">
        <f>H23</f>
        <v>100</v>
      </c>
      <c r="V23" s="1464" t="s">
        <v>8</v>
      </c>
      <c r="W23" s="1465">
        <f>J23</f>
        <v>100</v>
      </c>
      <c r="X23" s="1458"/>
      <c r="Y23" s="3660"/>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60"/>
      <c r="Q24" s="1463"/>
      <c r="R24" s="1464"/>
      <c r="S24" s="1465"/>
      <c r="T24" s="1464"/>
      <c r="U24" s="1465"/>
      <c r="V24" s="1464"/>
      <c r="W24" s="1465"/>
      <c r="X24" s="1458"/>
      <c r="Y24" s="3660"/>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60"/>
      <c r="Q25" s="1463" t="str">
        <f t="shared" ref="Q25:Q46" si="11">B25</f>
        <v>临街状况</v>
      </c>
      <c r="R25" s="1464" t="s">
        <v>8</v>
      </c>
      <c r="S25" s="1465">
        <f>F25</f>
        <v>100</v>
      </c>
      <c r="T25" s="1464" t="s">
        <v>8</v>
      </c>
      <c r="U25" s="1465">
        <f>H25</f>
        <v>100</v>
      </c>
      <c r="V25" s="1464" t="s">
        <v>8</v>
      </c>
      <c r="W25" s="1465">
        <f>J25</f>
        <v>100</v>
      </c>
      <c r="X25" s="1458"/>
      <c r="Y25" s="3660"/>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60"/>
      <c r="Q26" s="1463" t="str">
        <f t="shared" si="11"/>
        <v>平面位置/可视性</v>
      </c>
      <c r="R26" s="1464" t="s">
        <v>8</v>
      </c>
      <c r="S26" s="1465">
        <f>F26</f>
        <v>100</v>
      </c>
      <c r="T26" s="1464" t="s">
        <v>8</v>
      </c>
      <c r="U26" s="1465">
        <f>H26</f>
        <v>100</v>
      </c>
      <c r="V26" s="1464" t="s">
        <v>8</v>
      </c>
      <c r="W26" s="1465">
        <f>J26</f>
        <v>100</v>
      </c>
      <c r="X26" s="1458"/>
      <c r="Y26" s="3660"/>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60"/>
      <c r="Q27" s="1098" t="str">
        <f t="shared" si="11"/>
        <v>人流量</v>
      </c>
      <c r="R27" s="1459" t="s">
        <v>8</v>
      </c>
      <c r="S27" s="1460">
        <f>F27</f>
        <v>100</v>
      </c>
      <c r="T27" s="1459" t="s">
        <v>8</v>
      </c>
      <c r="U27" s="1460">
        <f>H27</f>
        <v>100</v>
      </c>
      <c r="V27" s="1459" t="s">
        <v>8</v>
      </c>
      <c r="W27" s="1460">
        <f>J27</f>
        <v>100</v>
      </c>
      <c r="X27" s="1461"/>
      <c r="Y27" s="3660"/>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60"/>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60"/>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60"/>
      <c r="Q29" s="1463">
        <f t="shared" si="11"/>
        <v>111</v>
      </c>
      <c r="R29" s="1464" t="s">
        <v>8</v>
      </c>
      <c r="S29" s="1465">
        <f t="shared" si="12"/>
        <v>100</v>
      </c>
      <c r="T29" s="1464" t="s">
        <v>8</v>
      </c>
      <c r="U29" s="1465">
        <f t="shared" si="13"/>
        <v>100</v>
      </c>
      <c r="V29" s="1464" t="s">
        <v>8</v>
      </c>
      <c r="W29" s="1465">
        <f t="shared" si="14"/>
        <v>100</v>
      </c>
      <c r="X29" s="1458"/>
      <c r="Y29" s="3660"/>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60"/>
      <c r="Q30" s="1463">
        <f t="shared" si="11"/>
        <v>111</v>
      </c>
      <c r="R30" s="1464" t="s">
        <v>8</v>
      </c>
      <c r="S30" s="1465">
        <f t="shared" si="12"/>
        <v>100</v>
      </c>
      <c r="T30" s="1464" t="s">
        <v>8</v>
      </c>
      <c r="U30" s="1465">
        <f t="shared" si="13"/>
        <v>100</v>
      </c>
      <c r="V30" s="1464" t="s">
        <v>8</v>
      </c>
      <c r="W30" s="1465">
        <f t="shared" si="14"/>
        <v>100</v>
      </c>
      <c r="X30" s="1458"/>
      <c r="Y30" s="3660"/>
      <c r="Z30" s="1466">
        <f t="shared" si="15"/>
        <v>111</v>
      </c>
      <c r="AA30" s="1467">
        <f t="shared" si="3"/>
        <v>1</v>
      </c>
      <c r="AB30" s="1467">
        <f t="shared" si="4"/>
        <v>1</v>
      </c>
      <c r="AC30" s="1467">
        <f t="shared" si="5"/>
        <v>1</v>
      </c>
    </row>
    <row r="31" spans="1:29" ht="15.6"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60"/>
      <c r="Q31" s="1463">
        <f t="shared" si="11"/>
        <v>111</v>
      </c>
      <c r="R31" s="1464" t="s">
        <v>8</v>
      </c>
      <c r="S31" s="1465">
        <f t="shared" si="12"/>
        <v>100</v>
      </c>
      <c r="T31" s="1464" t="s">
        <v>8</v>
      </c>
      <c r="U31" s="1465">
        <f t="shared" si="13"/>
        <v>100</v>
      </c>
      <c r="V31" s="1464" t="s">
        <v>8</v>
      </c>
      <c r="W31" s="1465">
        <f t="shared" si="14"/>
        <v>100</v>
      </c>
      <c r="X31" s="1458"/>
      <c r="Y31" s="3660"/>
      <c r="Z31" s="1466">
        <f t="shared" si="15"/>
        <v>111</v>
      </c>
      <c r="AA31" s="1467">
        <f t="shared" si="3"/>
        <v>1</v>
      </c>
      <c r="AB31" s="1467">
        <f t="shared" si="4"/>
        <v>1</v>
      </c>
      <c r="AC31" s="1467">
        <f t="shared" si="5"/>
        <v>1</v>
      </c>
    </row>
    <row r="32" spans="1:29" ht="15">
      <c r="A32" s="2547"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61" t="s">
        <v>533</v>
      </c>
      <c r="Q32" s="1463" t="str">
        <f t="shared" si="11"/>
        <v>商业类型</v>
      </c>
      <c r="R32" s="1464" t="s">
        <v>8</v>
      </c>
      <c r="S32" s="1465">
        <f t="shared" si="12"/>
        <v>100</v>
      </c>
      <c r="T32" s="1464" t="s">
        <v>8</v>
      </c>
      <c r="U32" s="1465">
        <f t="shared" si="13"/>
        <v>100</v>
      </c>
      <c r="V32" s="1464" t="s">
        <v>8</v>
      </c>
      <c r="W32" s="1465">
        <f t="shared" si="14"/>
        <v>100</v>
      </c>
      <c r="X32" s="1458"/>
      <c r="Y32" s="3662"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62"/>
      <c r="Q33" s="1492" t="str">
        <f t="shared" si="11"/>
        <v>项目建筑规模</v>
      </c>
      <c r="R33" s="1468" t="s">
        <v>8</v>
      </c>
      <c r="S33" s="1469" t="e">
        <f t="shared" si="12"/>
        <v>#N/A</v>
      </c>
      <c r="T33" s="1468" t="s">
        <v>8</v>
      </c>
      <c r="U33" s="1469" t="e">
        <f t="shared" si="13"/>
        <v>#N/A</v>
      </c>
      <c r="V33" s="1468" t="s">
        <v>8</v>
      </c>
      <c r="W33" s="1469" t="e">
        <f t="shared" si="14"/>
        <v>#N/A</v>
      </c>
      <c r="X33" s="1470"/>
      <c r="Y33" s="3662"/>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62"/>
      <c r="Q34" s="1463" t="str">
        <f t="shared" si="11"/>
        <v>建筑结构</v>
      </c>
      <c r="R34" s="1464" t="s">
        <v>8</v>
      </c>
      <c r="S34" s="1465">
        <f t="shared" si="12"/>
        <v>100</v>
      </c>
      <c r="T34" s="1464" t="s">
        <v>8</v>
      </c>
      <c r="U34" s="1465">
        <f t="shared" si="13"/>
        <v>100</v>
      </c>
      <c r="V34" s="1464" t="s">
        <v>8</v>
      </c>
      <c r="W34" s="1465">
        <f t="shared" si="14"/>
        <v>100</v>
      </c>
      <c r="X34" s="1458"/>
      <c r="Y34" s="3662"/>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62"/>
      <c r="Q35" s="1463" t="str">
        <f t="shared" si="11"/>
        <v>公共部分装修</v>
      </c>
      <c r="R35" s="1464" t="s">
        <v>8</v>
      </c>
      <c r="S35" s="1465">
        <f t="shared" si="12"/>
        <v>100</v>
      </c>
      <c r="T35" s="1464" t="s">
        <v>8</v>
      </c>
      <c r="U35" s="1465">
        <f t="shared" si="13"/>
        <v>100</v>
      </c>
      <c r="V35" s="1464" t="s">
        <v>8</v>
      </c>
      <c r="W35" s="1465">
        <f t="shared" si="14"/>
        <v>100</v>
      </c>
      <c r="X35" s="1458"/>
      <c r="Y35" s="3662"/>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62"/>
      <c r="Q36" s="1463" t="str">
        <f t="shared" si="11"/>
        <v>成新度</v>
      </c>
      <c r="R36" s="1464" t="s">
        <v>8</v>
      </c>
      <c r="S36" s="1465" t="e">
        <f t="shared" si="12"/>
        <v>#N/A</v>
      </c>
      <c r="T36" s="1464" t="s">
        <v>8</v>
      </c>
      <c r="U36" s="1465" t="e">
        <f t="shared" si="13"/>
        <v>#N/A</v>
      </c>
      <c r="V36" s="1464" t="s">
        <v>8</v>
      </c>
      <c r="W36" s="1465" t="e">
        <f t="shared" si="14"/>
        <v>#N/A</v>
      </c>
      <c r="X36" s="1458"/>
      <c r="Y36" s="3662"/>
      <c r="Z36" s="1466" t="str">
        <f t="shared" si="15"/>
        <v>成新度</v>
      </c>
      <c r="AA36" s="1467" t="e">
        <f t="shared" si="3"/>
        <v>#N/A</v>
      </c>
      <c r="AB36" s="1467" t="e">
        <f t="shared" si="4"/>
        <v>#N/A</v>
      </c>
      <c r="AC36" s="1467" t="e">
        <f t="shared" si="5"/>
        <v>#N/A</v>
      </c>
    </row>
    <row r="37" spans="1:29" s="1167" customFormat="1" ht="15">
      <c r="A37" s="577"/>
      <c r="B37" s="1765"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62"/>
      <c r="Q37" s="1098" t="str">
        <f t="shared" si="11"/>
        <v>市政基础设施</v>
      </c>
      <c r="R37" s="1459" t="s">
        <v>8</v>
      </c>
      <c r="S37" s="1460">
        <f t="shared" si="12"/>
        <v>100</v>
      </c>
      <c r="T37" s="1459" t="s">
        <v>8</v>
      </c>
      <c r="U37" s="1460">
        <f t="shared" si="13"/>
        <v>100</v>
      </c>
      <c r="V37" s="1459" t="s">
        <v>8</v>
      </c>
      <c r="W37" s="1460">
        <f t="shared" si="14"/>
        <v>100</v>
      </c>
      <c r="X37" s="1461"/>
      <c r="Y37" s="3662"/>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62" t="s">
        <v>748</v>
      </c>
      <c r="Q38" s="1463" t="str">
        <f t="shared" si="11"/>
        <v>业态</v>
      </c>
      <c r="R38" s="1464" t="s">
        <v>8</v>
      </c>
      <c r="S38" s="1465">
        <f t="shared" si="12"/>
        <v>100</v>
      </c>
      <c r="T38" s="1464" t="s">
        <v>8</v>
      </c>
      <c r="U38" s="1465">
        <f t="shared" si="13"/>
        <v>100</v>
      </c>
      <c r="V38" s="1464" t="s">
        <v>8</v>
      </c>
      <c r="W38" s="1465">
        <f t="shared" si="14"/>
        <v>100</v>
      </c>
      <c r="X38" s="1458"/>
      <c r="Y38" s="3662"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62"/>
      <c r="Q39" s="1463" t="str">
        <f t="shared" si="11"/>
        <v>层高</v>
      </c>
      <c r="R39" s="1464" t="s">
        <v>8</v>
      </c>
      <c r="S39" s="1465">
        <f t="shared" si="12"/>
        <v>100</v>
      </c>
      <c r="T39" s="1464" t="s">
        <v>8</v>
      </c>
      <c r="U39" s="1465">
        <f t="shared" si="13"/>
        <v>100</v>
      </c>
      <c r="V39" s="1464" t="s">
        <v>8</v>
      </c>
      <c r="W39" s="1465">
        <f t="shared" si="14"/>
        <v>100</v>
      </c>
      <c r="X39" s="1458"/>
      <c r="Y39" s="3662"/>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62"/>
      <c r="Q40" s="1463" t="str">
        <f t="shared" si="11"/>
        <v>单套建筑面积</v>
      </c>
      <c r="R40" s="1464" t="s">
        <v>8</v>
      </c>
      <c r="S40" s="1465">
        <f t="shared" si="12"/>
        <v>100</v>
      </c>
      <c r="T40" s="1464" t="s">
        <v>8</v>
      </c>
      <c r="U40" s="1465">
        <f t="shared" si="13"/>
        <v>100</v>
      </c>
      <c r="V40" s="1464" t="s">
        <v>8</v>
      </c>
      <c r="W40" s="1465">
        <f t="shared" si="14"/>
        <v>100</v>
      </c>
      <c r="X40" s="1458"/>
      <c r="Y40" s="3662"/>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62"/>
      <c r="Q41" s="1492" t="str">
        <f t="shared" si="11"/>
        <v>进深比</v>
      </c>
      <c r="R41" s="1468" t="s">
        <v>8</v>
      </c>
      <c r="S41" s="1469">
        <f t="shared" si="12"/>
        <v>100</v>
      </c>
      <c r="T41" s="1468" t="s">
        <v>8</v>
      </c>
      <c r="U41" s="1469">
        <f t="shared" si="13"/>
        <v>100</v>
      </c>
      <c r="V41" s="1468" t="s">
        <v>8</v>
      </c>
      <c r="W41" s="1469">
        <f t="shared" si="14"/>
        <v>100</v>
      </c>
      <c r="X41" s="1470"/>
      <c r="Y41" s="3662"/>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62"/>
      <c r="Q42" s="1463" t="str">
        <f t="shared" si="11"/>
        <v>内部装修</v>
      </c>
      <c r="R42" s="1464" t="s">
        <v>8</v>
      </c>
      <c r="S42" s="1465">
        <f t="shared" si="12"/>
        <v>100</v>
      </c>
      <c r="T42" s="1464" t="s">
        <v>8</v>
      </c>
      <c r="U42" s="1465">
        <f t="shared" si="13"/>
        <v>100</v>
      </c>
      <c r="V42" s="1464" t="s">
        <v>8</v>
      </c>
      <c r="W42" s="1465">
        <f t="shared" si="14"/>
        <v>100</v>
      </c>
      <c r="X42" s="1458"/>
      <c r="Y42" s="3662"/>
      <c r="Z42" s="1466" t="str">
        <f t="shared" si="15"/>
        <v>内部装修</v>
      </c>
      <c r="AA42" s="1467">
        <f t="shared" si="3"/>
        <v>1</v>
      </c>
      <c r="AB42" s="1467">
        <f t="shared" si="4"/>
        <v>1</v>
      </c>
      <c r="AC42" s="1467">
        <f t="shared" si="5"/>
        <v>1</v>
      </c>
    </row>
    <row r="43" spans="1:29" ht="28.8">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62"/>
      <c r="Q43" s="1463" t="str">
        <f t="shared" si="11"/>
        <v>内部装修维护情况</v>
      </c>
      <c r="R43" s="1464" t="s">
        <v>8</v>
      </c>
      <c r="S43" s="1465">
        <f t="shared" si="12"/>
        <v>100</v>
      </c>
      <c r="T43" s="1464" t="s">
        <v>8</v>
      </c>
      <c r="U43" s="1465">
        <f t="shared" si="13"/>
        <v>100</v>
      </c>
      <c r="V43" s="1464" t="s">
        <v>8</v>
      </c>
      <c r="W43" s="1465">
        <f t="shared" si="14"/>
        <v>100</v>
      </c>
      <c r="X43" s="1458"/>
      <c r="Y43" s="3662"/>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62"/>
      <c r="Q44" s="1098">
        <f t="shared" si="11"/>
        <v>111</v>
      </c>
      <c r="R44" s="1459" t="s">
        <v>8</v>
      </c>
      <c r="S44" s="1460">
        <f t="shared" si="12"/>
        <v>100</v>
      </c>
      <c r="T44" s="1459" t="s">
        <v>8</v>
      </c>
      <c r="U44" s="1460">
        <f t="shared" si="13"/>
        <v>100</v>
      </c>
      <c r="V44" s="1459" t="s">
        <v>8</v>
      </c>
      <c r="W44" s="1460">
        <f t="shared" si="14"/>
        <v>100</v>
      </c>
      <c r="X44" s="1461"/>
      <c r="Y44" s="3662"/>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62"/>
      <c r="Q45" s="1463">
        <f t="shared" si="11"/>
        <v>111</v>
      </c>
      <c r="R45" s="1464" t="s">
        <v>8</v>
      </c>
      <c r="S45" s="1465">
        <f t="shared" si="12"/>
        <v>100</v>
      </c>
      <c r="T45" s="1464" t="s">
        <v>8</v>
      </c>
      <c r="U45" s="1465">
        <f t="shared" si="13"/>
        <v>100</v>
      </c>
      <c r="V45" s="1464" t="s">
        <v>8</v>
      </c>
      <c r="W45" s="1465">
        <f t="shared" si="14"/>
        <v>100</v>
      </c>
      <c r="X45" s="1458"/>
      <c r="Y45" s="3662"/>
      <c r="Z45" s="1466">
        <f t="shared" si="15"/>
        <v>111</v>
      </c>
      <c r="AA45" s="1467">
        <f t="shared" si="3"/>
        <v>1</v>
      </c>
      <c r="AB45" s="1467">
        <f t="shared" si="4"/>
        <v>1</v>
      </c>
      <c r="AC45" s="1467">
        <f t="shared" si="5"/>
        <v>1</v>
      </c>
    </row>
    <row r="46" spans="1:29" ht="15.6"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55"/>
      <c r="Q46" s="1463">
        <f t="shared" si="11"/>
        <v>111</v>
      </c>
      <c r="R46" s="1464" t="s">
        <v>8</v>
      </c>
      <c r="S46" s="1465">
        <f t="shared" si="12"/>
        <v>100</v>
      </c>
      <c r="T46" s="1464" t="s">
        <v>8</v>
      </c>
      <c r="U46" s="1465">
        <f t="shared" si="13"/>
        <v>100</v>
      </c>
      <c r="V46" s="1464" t="s">
        <v>8</v>
      </c>
      <c r="W46" s="1465">
        <f t="shared" si="14"/>
        <v>100</v>
      </c>
      <c r="X46" s="1458"/>
      <c r="Y46" s="3755"/>
      <c r="Z46" s="1466">
        <f t="shared" si="15"/>
        <v>111</v>
      </c>
      <c r="AA46" s="1467">
        <f t="shared" si="3"/>
        <v>1</v>
      </c>
      <c r="AB46" s="1467">
        <f t="shared" si="4"/>
        <v>1</v>
      </c>
      <c r="AC46" s="1467">
        <f t="shared" si="5"/>
        <v>1</v>
      </c>
    </row>
    <row r="47" spans="1:29" ht="14.4">
      <c r="A47" s="584" t="s">
        <v>718</v>
      </c>
      <c r="B47" s="859"/>
      <c r="C47" s="2393" t="s">
        <v>1</v>
      </c>
      <c r="D47" s="2394"/>
      <c r="E47" s="2395"/>
      <c r="F47" s="2396"/>
      <c r="G47" s="2397"/>
      <c r="H47" s="2398"/>
      <c r="I47" s="2395"/>
      <c r="J47" s="2398"/>
      <c r="K47" s="1497"/>
      <c r="L47" s="1981"/>
      <c r="M47" s="1982"/>
      <c r="N47" s="1971"/>
      <c r="O47" s="1982"/>
      <c r="P47" s="3626" t="str">
        <f>A47</f>
        <v>成交单价（元/平方米）</v>
      </c>
      <c r="Q47" s="3626"/>
      <c r="R47" s="3754">
        <f>E47</f>
        <v>0</v>
      </c>
      <c r="S47" s="3754"/>
      <c r="T47" s="3754">
        <f>G47</f>
        <v>0</v>
      </c>
      <c r="U47" s="3754"/>
      <c r="V47" s="3754">
        <f>I47</f>
        <v>0</v>
      </c>
      <c r="W47" s="3754"/>
      <c r="X47" s="1453"/>
      <c r="Y47" s="1472"/>
      <c r="Z47" s="1453"/>
      <c r="AA47" s="1453"/>
      <c r="AB47" s="1453"/>
      <c r="AC47" s="1453"/>
    </row>
    <row r="48" spans="1:29" ht="1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71"/>
      <c r="O48" s="1982"/>
      <c r="P48" s="3626" t="str">
        <f>A48</f>
        <v>比较价格（元/平方米）</v>
      </c>
      <c r="Q48" s="3626"/>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1453"/>
      <c r="Y48" s="1453"/>
      <c r="Z48" s="1453"/>
      <c r="AA48" s="1453"/>
      <c r="AB48" s="1453"/>
      <c r="AC48" s="1453"/>
    </row>
    <row r="49" spans="1:29" ht="15" thickBot="1">
      <c r="A49" s="596" t="s">
        <v>2637</v>
      </c>
      <c r="B49" s="597"/>
      <c r="C49" s="2401" t="e">
        <f>R49</f>
        <v>#DIV/0!</v>
      </c>
      <c r="D49" s="2401"/>
      <c r="E49" s="2401"/>
      <c r="F49" s="2401"/>
      <c r="G49" s="2401"/>
      <c r="H49" s="2401"/>
      <c r="I49" s="2401"/>
      <c r="J49" s="2401"/>
      <c r="K49" s="1498"/>
      <c r="L49" s="1981"/>
      <c r="M49" s="1982"/>
      <c r="N49" s="1971"/>
      <c r="O49" s="1982"/>
      <c r="P49" s="3663" t="str">
        <f>A49</f>
        <v>估价对象XX用房的比较价格（楼面单价，元/平方米）</v>
      </c>
      <c r="Q49" s="3664"/>
      <c r="R49" s="3753" t="e">
        <f>IF(F1="售价",ROUND(IF(D48="简单平均",AVERAGE(R48:V48),R48*F48+T48*H48+V48*J48),0),ROUND(IF(D48="简单平均",AVERAGE(R48:V48),R48*F48+T48*H48+V48*J48),1))</f>
        <v>#DIV/0!</v>
      </c>
      <c r="S49" s="3753"/>
      <c r="T49" s="3753"/>
      <c r="U49" s="3753"/>
      <c r="V49" s="3753"/>
      <c r="W49" s="3753"/>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2.2"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4.4">
      <c r="A58" s="620" t="s">
        <v>512</v>
      </c>
      <c r="B58" s="621"/>
      <c r="C58" s="2442" t="str">
        <f>YEAR(C7)&amp;"-"&amp;MONTH(C7)</f>
        <v>1900-1</v>
      </c>
      <c r="D58" s="2444" t="e">
        <f>EDATE(C58,-1)</f>
        <v>#NUM!</v>
      </c>
      <c r="E58" s="2444" t="e">
        <f t="shared" ref="E58:O58" si="16">EDATE(D58,-1)</f>
        <v>#NUM!</v>
      </c>
      <c r="F58" s="2444" t="e">
        <f t="shared" si="16"/>
        <v>#NUM!</v>
      </c>
      <c r="G58" s="2444" t="e">
        <f t="shared" si="16"/>
        <v>#NUM!</v>
      </c>
      <c r="H58" s="2444" t="e">
        <f t="shared" si="16"/>
        <v>#NUM!</v>
      </c>
      <c r="I58" s="2444" t="e">
        <f t="shared" si="16"/>
        <v>#NUM!</v>
      </c>
      <c r="J58" s="2444" t="e">
        <f t="shared" si="16"/>
        <v>#NUM!</v>
      </c>
      <c r="K58" s="2444" t="e">
        <f t="shared" si="16"/>
        <v>#NUM!</v>
      </c>
      <c r="L58" s="2444" t="e">
        <f t="shared" si="16"/>
        <v>#NUM!</v>
      </c>
      <c r="M58" s="2444" t="e">
        <f t="shared" si="16"/>
        <v>#NUM!</v>
      </c>
      <c r="N58" s="2444" t="e">
        <f t="shared" si="16"/>
        <v>#NUM!</v>
      </c>
      <c r="O58" s="2444" t="e">
        <f t="shared" si="16"/>
        <v>#NUM!</v>
      </c>
      <c r="P58" s="1996"/>
      <c r="Q58" s="1997"/>
      <c r="R58" s="1997"/>
      <c r="S58" s="1997"/>
      <c r="T58" s="1997"/>
      <c r="U58" s="1997"/>
      <c r="V58" s="1997"/>
      <c r="W58" s="1997"/>
      <c r="X58" s="1997"/>
      <c r="Y58" s="1997"/>
      <c r="Z58" s="1997"/>
      <c r="AA58" s="1997"/>
      <c r="AB58" s="1997"/>
      <c r="AC58" s="1997"/>
    </row>
    <row r="59" spans="1:29" s="1167" customFormat="1">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4.4">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4.4"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ht="14.4">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4.4"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9.4"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4.4"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4.4"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4.4"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4.4"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4.4"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4.4"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4.4"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4.4"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ht="14.4">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4.4"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4.4"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4.4"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4.4"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4.4"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4.4"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4.4"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4.4"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4.4"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4.4"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4.4"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4.4"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4.4"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4.4"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4.4"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4.4"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4.4"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4.4"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ht="14.4">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4.4"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4.4"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4.4"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4.4"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4.4"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2274</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4.4"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4.4"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4.4"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9.4"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4.4"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4.4"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4.4"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4.4"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4.4"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4.4"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2056"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9"/>
      <c r="M1" s="3120"/>
      <c r="N1" s="3120"/>
      <c r="O1" s="3120"/>
      <c r="P1" s="3183"/>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83"/>
      <c r="Q2" s="1969"/>
      <c r="R2" s="1969"/>
      <c r="S2" s="1969"/>
      <c r="T2" s="1969"/>
      <c r="U2" s="1969"/>
      <c r="V2" s="1969"/>
      <c r="W2" s="1969"/>
      <c r="X2" s="1969"/>
      <c r="Y2" s="1969"/>
      <c r="Z2" s="1969"/>
      <c r="AA2" s="1969"/>
      <c r="AB2" s="1969"/>
      <c r="AC2" s="3121"/>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83"/>
      <c r="Q3" s="1969"/>
      <c r="R3" s="1969"/>
      <c r="S3" s="1969"/>
      <c r="T3" s="1969"/>
      <c r="U3" s="1969"/>
      <c r="V3" s="1969"/>
      <c r="W3" s="1969"/>
      <c r="X3" s="1969"/>
      <c r="Y3" s="1969"/>
      <c r="Z3" s="1969"/>
      <c r="AA3" s="1969"/>
      <c r="AB3" s="1969"/>
      <c r="AC3" s="3121"/>
    </row>
    <row r="4" spans="1:29" ht="14.4">
      <c r="A4" s="489" t="s">
        <v>504</v>
      </c>
      <c r="B4" s="490"/>
      <c r="C4" s="3632" t="s">
        <v>505</v>
      </c>
      <c r="D4" s="3633"/>
      <c r="E4" s="3667" t="s">
        <v>506</v>
      </c>
      <c r="F4" s="3668"/>
      <c r="G4" s="3632" t="s">
        <v>507</v>
      </c>
      <c r="H4" s="3633"/>
      <c r="I4" s="3632" t="s">
        <v>508</v>
      </c>
      <c r="J4" s="3633"/>
      <c r="K4" s="491" t="s">
        <v>509</v>
      </c>
      <c r="L4" s="1970"/>
      <c r="M4" s="1971"/>
      <c r="N4" s="1971"/>
      <c r="O4" s="1971"/>
      <c r="P4" s="3757" t="s">
        <v>510</v>
      </c>
      <c r="Q4" s="3635"/>
      <c r="R4" s="3640" t="s">
        <v>506</v>
      </c>
      <c r="S4" s="3641"/>
      <c r="T4" s="3640" t="s">
        <v>507</v>
      </c>
      <c r="U4" s="3641"/>
      <c r="V4" s="3627" t="s">
        <v>508</v>
      </c>
      <c r="W4" s="3627"/>
      <c r="X4" s="1458"/>
      <c r="Y4" s="3640" t="s">
        <v>510</v>
      </c>
      <c r="Z4" s="3641"/>
      <c r="AA4" s="3629" t="s">
        <v>506</v>
      </c>
      <c r="AB4" s="3629" t="s">
        <v>507</v>
      </c>
      <c r="AC4" s="3629" t="s">
        <v>508</v>
      </c>
    </row>
    <row r="5" spans="1:29">
      <c r="A5" s="492"/>
      <c r="B5" s="493"/>
      <c r="C5" s="3648" t="s">
        <v>2631</v>
      </c>
      <c r="D5" s="3649"/>
      <c r="E5" s="3669" t="s">
        <v>2632</v>
      </c>
      <c r="F5" s="3670"/>
      <c r="G5" s="3648" t="s">
        <v>2633</v>
      </c>
      <c r="H5" s="3649"/>
      <c r="I5" s="3648" t="s">
        <v>2634</v>
      </c>
      <c r="J5" s="3649"/>
      <c r="K5" s="491"/>
      <c r="L5" s="1970"/>
      <c r="M5" s="1971"/>
      <c r="N5" s="1971"/>
      <c r="O5" s="1971"/>
      <c r="P5" s="3758"/>
      <c r="Q5" s="3637"/>
      <c r="R5" s="3642"/>
      <c r="S5" s="3643"/>
      <c r="T5" s="3642"/>
      <c r="U5" s="3643"/>
      <c r="V5" s="3627"/>
      <c r="W5" s="3627"/>
      <c r="X5" s="1458"/>
      <c r="Y5" s="3642"/>
      <c r="Z5" s="3643"/>
      <c r="AA5" s="3630"/>
      <c r="AB5" s="3630"/>
      <c r="AC5" s="3630"/>
    </row>
    <row r="6" spans="1:29" ht="15" thickBot="1">
      <c r="A6" s="494"/>
      <c r="B6" s="495"/>
      <c r="C6" s="3646" t="s">
        <v>2635</v>
      </c>
      <c r="D6" s="3647"/>
      <c r="E6" s="3665" t="s">
        <v>2635</v>
      </c>
      <c r="F6" s="3666"/>
      <c r="G6" s="3646" t="s">
        <v>2635</v>
      </c>
      <c r="H6" s="3647"/>
      <c r="I6" s="3646" t="s">
        <v>2635</v>
      </c>
      <c r="J6" s="3647"/>
      <c r="K6" s="491" t="s">
        <v>511</v>
      </c>
      <c r="L6" s="1970"/>
      <c r="M6" s="1971"/>
      <c r="N6" s="1971"/>
      <c r="O6" s="1971"/>
      <c r="P6" s="3759"/>
      <c r="Q6" s="3639"/>
      <c r="R6" s="3642"/>
      <c r="S6" s="3643"/>
      <c r="T6" s="3644"/>
      <c r="U6" s="3645"/>
      <c r="V6" s="3627"/>
      <c r="W6" s="3627"/>
      <c r="X6" s="1458"/>
      <c r="Y6" s="3644"/>
      <c r="Z6" s="3645"/>
      <c r="AA6" s="3631"/>
      <c r="AB6" s="3631"/>
      <c r="AC6" s="3631"/>
    </row>
    <row r="7" spans="1:29" s="1167" customFormat="1" ht="15" thickBot="1">
      <c r="A7" s="2552"/>
      <c r="B7" s="2559" t="s">
        <v>512</v>
      </c>
      <c r="C7" s="496">
        <f>'数据-取费表'!B2</f>
        <v>0</v>
      </c>
      <c r="D7" s="497">
        <v>100</v>
      </c>
      <c r="E7" s="498"/>
      <c r="F7" s="499">
        <f>SUMIF(59:59,YEAR(E7)&amp;"-"&amp;MONTH(E7),60:60)</f>
        <v>100</v>
      </c>
      <c r="G7" s="498"/>
      <c r="H7" s="497">
        <f>SUMIF(59:59,YEAR(G7)&amp;"-"&amp;MONTH(G7),60:60)</f>
        <v>100</v>
      </c>
      <c r="I7" s="498"/>
      <c r="J7" s="497">
        <f>SUMIF(59:59,YEAR(I7)&amp;"-"&amp;MONTH(I7),60:60)</f>
        <v>100</v>
      </c>
      <c r="K7" s="501"/>
      <c r="L7" s="1972"/>
      <c r="M7" s="1973"/>
      <c r="N7" s="1973"/>
      <c r="O7" s="1973"/>
      <c r="P7" s="3658" t="s">
        <v>513</v>
      </c>
      <c r="Q7" s="3658"/>
      <c r="R7" s="1459" t="s">
        <v>8</v>
      </c>
      <c r="S7" s="1460">
        <f t="shared" ref="S7:S15" si="0">F7</f>
        <v>100</v>
      </c>
      <c r="T7" s="1459" t="s">
        <v>8</v>
      </c>
      <c r="U7" s="1460">
        <f t="shared" ref="U7:U15" si="1">H7</f>
        <v>100</v>
      </c>
      <c r="V7" s="1459" t="s">
        <v>8</v>
      </c>
      <c r="W7" s="1460">
        <f t="shared" ref="W7:W15" si="2">J7</f>
        <v>100</v>
      </c>
      <c r="X7" s="1461"/>
      <c r="Y7" s="3656" t="s">
        <v>513</v>
      </c>
      <c r="Z7" s="3657"/>
      <c r="AA7" s="1462">
        <f>D7/F7</f>
        <v>1</v>
      </c>
      <c r="AB7" s="1462">
        <f>D7/H7</f>
        <v>1</v>
      </c>
      <c r="AC7" s="1462">
        <f>D7/J7</f>
        <v>1</v>
      </c>
    </row>
    <row r="8" spans="1:29" s="1167" customFormat="1" ht="15" thickBot="1">
      <c r="A8" s="2553"/>
      <c r="B8" s="2560"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58" t="s">
        <v>516</v>
      </c>
      <c r="Q8" s="3657"/>
      <c r="R8" s="1459" t="s">
        <v>8</v>
      </c>
      <c r="S8" s="1460">
        <f t="shared" si="0"/>
        <v>0</v>
      </c>
      <c r="T8" s="1459" t="s">
        <v>8</v>
      </c>
      <c r="U8" s="1460">
        <f t="shared" si="1"/>
        <v>0</v>
      </c>
      <c r="V8" s="1459" t="s">
        <v>8</v>
      </c>
      <c r="W8" s="1460">
        <f t="shared" si="2"/>
        <v>0</v>
      </c>
      <c r="X8" s="1461"/>
      <c r="Y8" s="3656" t="s">
        <v>516</v>
      </c>
      <c r="Z8" s="3657"/>
      <c r="AA8" s="1462" t="e">
        <f t="shared" ref="AA8:AA47" si="3">D8/F8</f>
        <v>#DIV/0!</v>
      </c>
      <c r="AB8" s="1462" t="e">
        <f t="shared" ref="AB8:AB47" si="4">D8/H8</f>
        <v>#DIV/0!</v>
      </c>
      <c r="AC8" s="1462" t="e">
        <f t="shared" ref="AC8:AC47" si="5">D8/J8</f>
        <v>#DIV/0!</v>
      </c>
    </row>
    <row r="9" spans="1:29" s="1167" customFormat="1" ht="14.4">
      <c r="A9" s="2554"/>
      <c r="B9" s="2561" t="s">
        <v>2473</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26" t="s">
        <v>518</v>
      </c>
      <c r="Q9" s="1098" t="str">
        <f t="shared" ref="Q9:Q15" si="6">B9</f>
        <v>用途</v>
      </c>
      <c r="R9" s="1459" t="s">
        <v>8</v>
      </c>
      <c r="S9" s="1460">
        <f t="shared" si="0"/>
        <v>100</v>
      </c>
      <c r="T9" s="1459" t="s">
        <v>8</v>
      </c>
      <c r="U9" s="1460">
        <f t="shared" si="1"/>
        <v>100</v>
      </c>
      <c r="V9" s="1459" t="s">
        <v>8</v>
      </c>
      <c r="W9" s="1460">
        <f t="shared" si="2"/>
        <v>100</v>
      </c>
      <c r="X9" s="1461"/>
      <c r="Y9" s="3570" t="s">
        <v>519</v>
      </c>
      <c r="Z9" s="1097" t="str">
        <f t="shared" ref="Z9:Z15" si="7">Q9</f>
        <v>用途</v>
      </c>
      <c r="AA9" s="1462">
        <f t="shared" si="3"/>
        <v>1</v>
      </c>
      <c r="AB9" s="1462">
        <f t="shared" si="4"/>
        <v>1</v>
      </c>
      <c r="AC9" s="1462">
        <f t="shared" si="5"/>
        <v>1</v>
      </c>
    </row>
    <row r="10" spans="1:29" s="1248" customFormat="1" ht="28.8">
      <c r="A10" s="2555"/>
      <c r="B10" s="2560" t="s">
        <v>2474</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26"/>
      <c r="Q10" s="1098" t="str">
        <f t="shared" si="6"/>
        <v>土地使用年限（年）</v>
      </c>
      <c r="R10" s="1459" t="s">
        <v>8</v>
      </c>
      <c r="S10" s="1460">
        <f t="shared" si="0"/>
        <v>100</v>
      </c>
      <c r="T10" s="1459" t="s">
        <v>8</v>
      </c>
      <c r="U10" s="1460">
        <f t="shared" si="1"/>
        <v>100</v>
      </c>
      <c r="V10" s="1459" t="s">
        <v>8</v>
      </c>
      <c r="W10" s="1460">
        <f t="shared" si="2"/>
        <v>100</v>
      </c>
      <c r="X10" s="1461"/>
      <c r="Y10" s="357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26"/>
      <c r="Q11" s="1098" t="str">
        <f t="shared" si="6"/>
        <v>容积率</v>
      </c>
      <c r="R11" s="1459" t="s">
        <v>8</v>
      </c>
      <c r="S11" s="1460" t="e">
        <f t="shared" si="0"/>
        <v>#N/A</v>
      </c>
      <c r="T11" s="1459" t="s">
        <v>8</v>
      </c>
      <c r="U11" s="1460" t="e">
        <f t="shared" si="1"/>
        <v>#N/A</v>
      </c>
      <c r="V11" s="1459" t="s">
        <v>8</v>
      </c>
      <c r="W11" s="1460" t="e">
        <f t="shared" si="2"/>
        <v>#N/A</v>
      </c>
      <c r="X11" s="1461"/>
      <c r="Y11" s="357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26"/>
      <c r="Q12" s="1098">
        <f t="shared" si="6"/>
        <v>111</v>
      </c>
      <c r="R12" s="1459" t="s">
        <v>8</v>
      </c>
      <c r="S12" s="1460">
        <f t="shared" si="0"/>
        <v>100</v>
      </c>
      <c r="T12" s="1459" t="s">
        <v>8</v>
      </c>
      <c r="U12" s="1460">
        <f t="shared" si="1"/>
        <v>100</v>
      </c>
      <c r="V12" s="1459" t="s">
        <v>8</v>
      </c>
      <c r="W12" s="1460">
        <f t="shared" si="2"/>
        <v>100</v>
      </c>
      <c r="X12" s="1461"/>
      <c r="Y12" s="3570"/>
      <c r="Z12" s="1097">
        <f t="shared" si="7"/>
        <v>111</v>
      </c>
      <c r="AA12" s="1462">
        <f>D12/F12</f>
        <v>1</v>
      </c>
      <c r="AB12" s="1462">
        <f>D12/H12</f>
        <v>1</v>
      </c>
      <c r="AC12" s="1462">
        <f>D12/J12</f>
        <v>1</v>
      </c>
    </row>
    <row r="13" spans="1:29" ht="15">
      <c r="A13" s="2557"/>
      <c r="B13" s="2563">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26"/>
      <c r="Q13" s="1098">
        <f t="shared" si="6"/>
        <v>111</v>
      </c>
      <c r="R13" s="1459" t="s">
        <v>8</v>
      </c>
      <c r="S13" s="1460">
        <f t="shared" si="0"/>
        <v>100</v>
      </c>
      <c r="T13" s="1459" t="s">
        <v>8</v>
      </c>
      <c r="U13" s="1460">
        <f t="shared" si="1"/>
        <v>100</v>
      </c>
      <c r="V13" s="1459" t="s">
        <v>8</v>
      </c>
      <c r="W13" s="1460">
        <f t="shared" si="2"/>
        <v>100</v>
      </c>
      <c r="X13" s="1461"/>
      <c r="Y13" s="3570"/>
      <c r="Z13" s="1097">
        <f t="shared" si="7"/>
        <v>111</v>
      </c>
      <c r="AA13" s="1462">
        <f t="shared" si="3"/>
        <v>1</v>
      </c>
      <c r="AB13" s="1462">
        <f t="shared" si="4"/>
        <v>1</v>
      </c>
      <c r="AC13" s="1462">
        <f t="shared" si="5"/>
        <v>1</v>
      </c>
    </row>
    <row r="14" spans="1:29" ht="15.6" thickBot="1">
      <c r="A14" s="2558"/>
      <c r="B14" s="2564">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26"/>
      <c r="Q14" s="1098">
        <f t="shared" si="6"/>
        <v>111</v>
      </c>
      <c r="R14" s="1459" t="s">
        <v>8</v>
      </c>
      <c r="S14" s="1460">
        <f t="shared" si="0"/>
        <v>100</v>
      </c>
      <c r="T14" s="1459" t="s">
        <v>8</v>
      </c>
      <c r="U14" s="1460">
        <f t="shared" si="1"/>
        <v>100</v>
      </c>
      <c r="V14" s="1459" t="s">
        <v>8</v>
      </c>
      <c r="W14" s="1460">
        <f t="shared" si="2"/>
        <v>100</v>
      </c>
      <c r="X14" s="1461"/>
      <c r="Y14" s="3570"/>
      <c r="Z14" s="1097">
        <f t="shared" si="7"/>
        <v>111</v>
      </c>
      <c r="AA14" s="1462">
        <f t="shared" si="3"/>
        <v>1</v>
      </c>
      <c r="AB14" s="1462">
        <f t="shared" si="4"/>
        <v>1</v>
      </c>
      <c r="AC14" s="1462">
        <f t="shared" si="5"/>
        <v>1</v>
      </c>
    </row>
    <row r="15" spans="1:29" ht="82.8">
      <c r="A15" s="2550"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59" t="s">
        <v>523</v>
      </c>
      <c r="Q15" s="1463" t="str">
        <f t="shared" si="6"/>
        <v>办公集聚程度</v>
      </c>
      <c r="R15" s="1464" t="s">
        <v>8</v>
      </c>
      <c r="S15" s="1465">
        <f t="shared" si="0"/>
        <v>100</v>
      </c>
      <c r="T15" s="1464" t="s">
        <v>8</v>
      </c>
      <c r="U15" s="1465">
        <f t="shared" si="1"/>
        <v>100</v>
      </c>
      <c r="V15" s="1464" t="s">
        <v>8</v>
      </c>
      <c r="W15" s="1465">
        <f t="shared" si="2"/>
        <v>100</v>
      </c>
      <c r="X15" s="1458"/>
      <c r="Y15" s="3659"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60"/>
      <c r="Q16" s="1463"/>
      <c r="R16" s="1464"/>
      <c r="S16" s="1465"/>
      <c r="T16" s="1464"/>
      <c r="U16" s="1465"/>
      <c r="V16" s="1464"/>
      <c r="W16" s="1465"/>
      <c r="X16" s="1458"/>
      <c r="Y16" s="3660"/>
      <c r="Z16" s="1466"/>
      <c r="AA16" s="1467">
        <v>1</v>
      </c>
      <c r="AB16" s="1467">
        <v>1</v>
      </c>
      <c r="AC16" s="1467">
        <v>1</v>
      </c>
    </row>
    <row r="17" spans="1:29" ht="96.6">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60"/>
      <c r="Q17" s="1463" t="str">
        <f>B17</f>
        <v>交通便捷度</v>
      </c>
      <c r="R17" s="1464" t="s">
        <v>8</v>
      </c>
      <c r="S17" s="1465">
        <f>F17</f>
        <v>100</v>
      </c>
      <c r="T17" s="1464" t="s">
        <v>8</v>
      </c>
      <c r="U17" s="1465">
        <f>H17</f>
        <v>100</v>
      </c>
      <c r="V17" s="1464" t="s">
        <v>8</v>
      </c>
      <c r="W17" s="1465">
        <f>J17</f>
        <v>100</v>
      </c>
      <c r="X17" s="1458"/>
      <c r="Y17" s="3660"/>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60"/>
      <c r="Q18" s="1463"/>
      <c r="R18" s="1464"/>
      <c r="S18" s="1465"/>
      <c r="T18" s="1464"/>
      <c r="U18" s="1465"/>
      <c r="V18" s="1464"/>
      <c r="W18" s="1465"/>
      <c r="X18" s="1458"/>
      <c r="Y18" s="3660"/>
      <c r="Z18" s="1466"/>
      <c r="AA18" s="1467">
        <v>1</v>
      </c>
      <c r="AB18" s="1467">
        <v>1</v>
      </c>
      <c r="AC18" s="1467">
        <v>1</v>
      </c>
    </row>
    <row r="19" spans="1:29" ht="41.4">
      <c r="A19" s="509"/>
      <c r="B19" s="2370"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60"/>
      <c r="Q19" s="1463" t="str">
        <f>B19</f>
        <v>公共配套设施</v>
      </c>
      <c r="R19" s="1464" t="s">
        <v>8</v>
      </c>
      <c r="S19" s="1465">
        <f>F19</f>
        <v>100</v>
      </c>
      <c r="T19" s="1464" t="s">
        <v>8</v>
      </c>
      <c r="U19" s="1465">
        <f>H19</f>
        <v>100</v>
      </c>
      <c r="V19" s="1464" t="s">
        <v>8</v>
      </c>
      <c r="W19" s="1465">
        <f>J19</f>
        <v>100</v>
      </c>
      <c r="X19" s="1458"/>
      <c r="Y19" s="3660"/>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60"/>
      <c r="Q20" s="1463"/>
      <c r="R20" s="1464"/>
      <c r="S20" s="1465"/>
      <c r="T20" s="1464"/>
      <c r="U20" s="1465"/>
      <c r="V20" s="1464"/>
      <c r="W20" s="1465"/>
      <c r="X20" s="1458"/>
      <c r="Y20" s="3660"/>
      <c r="Z20" s="1466"/>
      <c r="AA20" s="1467">
        <v>1</v>
      </c>
      <c r="AB20" s="1467">
        <v>1</v>
      </c>
      <c r="AC20" s="1467">
        <v>1</v>
      </c>
    </row>
    <row r="21" spans="1:29" ht="41.4">
      <c r="A21" s="509"/>
      <c r="B21" s="2358"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60"/>
      <c r="Q21" s="2352" t="str">
        <f>B21</f>
        <v>基础设施水平</v>
      </c>
      <c r="R21" s="1464" t="s">
        <v>8</v>
      </c>
      <c r="S21" s="1465">
        <f>F21</f>
        <v>100</v>
      </c>
      <c r="T21" s="1464" t="s">
        <v>8</v>
      </c>
      <c r="U21" s="1465">
        <f>H21</f>
        <v>100</v>
      </c>
      <c r="V21" s="1464" t="s">
        <v>8</v>
      </c>
      <c r="W21" s="1465">
        <f>J21</f>
        <v>100</v>
      </c>
      <c r="X21" s="2354"/>
      <c r="Y21" s="3660"/>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60"/>
      <c r="Q22" s="2352"/>
      <c r="R22" s="1464"/>
      <c r="S22" s="1465"/>
      <c r="T22" s="1464"/>
      <c r="U22" s="1465"/>
      <c r="V22" s="1464"/>
      <c r="W22" s="1465"/>
      <c r="X22" s="2354"/>
      <c r="Y22" s="3660"/>
      <c r="Z22" s="2353"/>
      <c r="AA22" s="1467">
        <v>1</v>
      </c>
      <c r="AB22" s="1467">
        <v>1</v>
      </c>
      <c r="AC22" s="1467">
        <v>1</v>
      </c>
    </row>
    <row r="23" spans="1:29" ht="55.2">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60"/>
      <c r="Q23" s="1463" t="str">
        <f>B23</f>
        <v>环境质量</v>
      </c>
      <c r="R23" s="1464" t="s">
        <v>8</v>
      </c>
      <c r="S23" s="1465">
        <f>F23</f>
        <v>100</v>
      </c>
      <c r="T23" s="1464" t="s">
        <v>8</v>
      </c>
      <c r="U23" s="1465">
        <f>H23</f>
        <v>100</v>
      </c>
      <c r="V23" s="1464" t="s">
        <v>8</v>
      </c>
      <c r="W23" s="1465">
        <f>J23</f>
        <v>100</v>
      </c>
      <c r="X23" s="1458"/>
      <c r="Y23" s="3660"/>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60"/>
      <c r="Q24" s="1463"/>
      <c r="R24" s="1464"/>
      <c r="S24" s="1465"/>
      <c r="T24" s="1464"/>
      <c r="U24" s="1465"/>
      <c r="V24" s="1464"/>
      <c r="W24" s="1465"/>
      <c r="X24" s="1458"/>
      <c r="Y24" s="3660"/>
      <c r="Z24" s="1466"/>
      <c r="AA24" s="1467">
        <v>1</v>
      </c>
      <c r="AB24" s="1467">
        <v>1</v>
      </c>
      <c r="AC24" s="1467">
        <v>1</v>
      </c>
    </row>
    <row r="25" spans="1:29" ht="28.8">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60"/>
      <c r="Q25" s="1463" t="str">
        <f>B25</f>
        <v>毗邻道路的类型与等级</v>
      </c>
      <c r="R25" s="1464" t="s">
        <v>8</v>
      </c>
      <c r="S25" s="1465">
        <f>F25</f>
        <v>100</v>
      </c>
      <c r="T25" s="1464" t="s">
        <v>8</v>
      </c>
      <c r="U25" s="1465">
        <f>H25</f>
        <v>100</v>
      </c>
      <c r="V25" s="1464" t="s">
        <v>8</v>
      </c>
      <c r="W25" s="1465">
        <f>J25</f>
        <v>100</v>
      </c>
      <c r="X25" s="1458"/>
      <c r="Y25" s="3660"/>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60"/>
      <c r="Q26" s="1463"/>
      <c r="R26" s="1464"/>
      <c r="S26" s="1465"/>
      <c r="T26" s="1464"/>
      <c r="U26" s="1465"/>
      <c r="V26" s="1464"/>
      <c r="W26" s="1465"/>
      <c r="X26" s="1458"/>
      <c r="Y26" s="3660"/>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60"/>
      <c r="Q27" s="1463" t="str">
        <f t="shared" ref="Q27:Q47" si="11">B27</f>
        <v>楼层</v>
      </c>
      <c r="R27" s="1464" t="s">
        <v>8</v>
      </c>
      <c r="S27" s="1465">
        <f>F27</f>
        <v>100</v>
      </c>
      <c r="T27" s="1464" t="s">
        <v>8</v>
      </c>
      <c r="U27" s="1465">
        <f>H27</f>
        <v>100</v>
      </c>
      <c r="V27" s="1464" t="s">
        <v>8</v>
      </c>
      <c r="W27" s="1465">
        <f>J27</f>
        <v>100</v>
      </c>
      <c r="X27" s="1458"/>
      <c r="Y27" s="3660"/>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60"/>
      <c r="Q28" s="1098" t="str">
        <f t="shared" si="11"/>
        <v>朝向</v>
      </c>
      <c r="R28" s="1459" t="s">
        <v>8</v>
      </c>
      <c r="S28" s="1460">
        <f>F28</f>
        <v>100</v>
      </c>
      <c r="T28" s="1459" t="s">
        <v>8</v>
      </c>
      <c r="U28" s="1460">
        <f>H28</f>
        <v>100</v>
      </c>
      <c r="V28" s="1459" t="s">
        <v>8</v>
      </c>
      <c r="W28" s="1460">
        <f>J28</f>
        <v>100</v>
      </c>
      <c r="X28" s="1461"/>
      <c r="Y28" s="3660"/>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60"/>
      <c r="Q29" s="1463">
        <f t="shared" si="11"/>
        <v>111</v>
      </c>
      <c r="R29" s="1464" t="s">
        <v>8</v>
      </c>
      <c r="S29" s="1465">
        <f t="shared" ref="S29:S47" si="12">F29</f>
        <v>100</v>
      </c>
      <c r="T29" s="1464" t="s">
        <v>8</v>
      </c>
      <c r="U29" s="1465">
        <f t="shared" ref="U29:U47" si="13">H29</f>
        <v>100</v>
      </c>
      <c r="V29" s="1464" t="s">
        <v>8</v>
      </c>
      <c r="W29" s="1465">
        <f t="shared" ref="W29:W47" si="14">J29</f>
        <v>100</v>
      </c>
      <c r="X29" s="1458"/>
      <c r="Y29" s="3660"/>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60"/>
      <c r="Q30" s="1463">
        <f t="shared" si="11"/>
        <v>111</v>
      </c>
      <c r="R30" s="1464" t="s">
        <v>8</v>
      </c>
      <c r="S30" s="1465">
        <f t="shared" si="12"/>
        <v>100</v>
      </c>
      <c r="T30" s="1464" t="s">
        <v>8</v>
      </c>
      <c r="U30" s="1465">
        <f t="shared" si="13"/>
        <v>100</v>
      </c>
      <c r="V30" s="1464" t="s">
        <v>8</v>
      </c>
      <c r="W30" s="1465">
        <f t="shared" si="14"/>
        <v>100</v>
      </c>
      <c r="X30" s="1458"/>
      <c r="Y30" s="3660"/>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60"/>
      <c r="Q31" s="1463">
        <f t="shared" si="11"/>
        <v>111</v>
      </c>
      <c r="R31" s="1464" t="s">
        <v>8</v>
      </c>
      <c r="S31" s="1465">
        <f t="shared" si="12"/>
        <v>100</v>
      </c>
      <c r="T31" s="1464" t="s">
        <v>8</v>
      </c>
      <c r="U31" s="1465">
        <f t="shared" si="13"/>
        <v>100</v>
      </c>
      <c r="V31" s="1464" t="s">
        <v>8</v>
      </c>
      <c r="W31" s="1465">
        <f t="shared" si="14"/>
        <v>100</v>
      </c>
      <c r="X31" s="1458"/>
      <c r="Y31" s="3660"/>
      <c r="Z31" s="1466">
        <f t="shared" si="15"/>
        <v>111</v>
      </c>
      <c r="AA31" s="1467">
        <f t="shared" si="3"/>
        <v>1</v>
      </c>
      <c r="AB31" s="1467">
        <f t="shared" si="4"/>
        <v>1</v>
      </c>
      <c r="AC31" s="1467">
        <f t="shared" si="5"/>
        <v>1</v>
      </c>
    </row>
    <row r="32" spans="1:29" ht="15.6"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60"/>
      <c r="Q32" s="1463">
        <f t="shared" si="11"/>
        <v>111</v>
      </c>
      <c r="R32" s="1464" t="s">
        <v>8</v>
      </c>
      <c r="S32" s="1465">
        <f t="shared" si="12"/>
        <v>100</v>
      </c>
      <c r="T32" s="1464" t="s">
        <v>8</v>
      </c>
      <c r="U32" s="1465">
        <f t="shared" si="13"/>
        <v>100</v>
      </c>
      <c r="V32" s="1464" t="s">
        <v>8</v>
      </c>
      <c r="W32" s="1465">
        <f t="shared" si="14"/>
        <v>100</v>
      </c>
      <c r="X32" s="1458"/>
      <c r="Y32" s="3660"/>
      <c r="Z32" s="1466">
        <f t="shared" si="15"/>
        <v>111</v>
      </c>
      <c r="AA32" s="1467">
        <f t="shared" si="3"/>
        <v>1</v>
      </c>
      <c r="AB32" s="1467">
        <f t="shared" si="4"/>
        <v>1</v>
      </c>
      <c r="AC32" s="1467">
        <f t="shared" si="5"/>
        <v>1</v>
      </c>
    </row>
    <row r="33" spans="1:29" ht="15">
      <c r="A33" s="2547"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61" t="s">
        <v>533</v>
      </c>
      <c r="Q33" s="1463" t="str">
        <f t="shared" si="11"/>
        <v>建筑类型</v>
      </c>
      <c r="R33" s="1464" t="s">
        <v>8</v>
      </c>
      <c r="S33" s="1465">
        <f t="shared" si="12"/>
        <v>100</v>
      </c>
      <c r="T33" s="1464" t="s">
        <v>8</v>
      </c>
      <c r="U33" s="1465">
        <f t="shared" si="13"/>
        <v>100</v>
      </c>
      <c r="V33" s="1464" t="s">
        <v>8</v>
      </c>
      <c r="W33" s="1465">
        <f t="shared" si="14"/>
        <v>100</v>
      </c>
      <c r="X33" s="1458"/>
      <c r="Y33" s="3662"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62"/>
      <c r="Q34" s="1492" t="str">
        <f t="shared" si="11"/>
        <v>项目建筑规模</v>
      </c>
      <c r="R34" s="1468" t="s">
        <v>8</v>
      </c>
      <c r="S34" s="1469" t="e">
        <f t="shared" si="12"/>
        <v>#N/A</v>
      </c>
      <c r="T34" s="1468" t="s">
        <v>8</v>
      </c>
      <c r="U34" s="1469" t="e">
        <f t="shared" si="13"/>
        <v>#N/A</v>
      </c>
      <c r="V34" s="1468" t="s">
        <v>8</v>
      </c>
      <c r="W34" s="1469" t="e">
        <f t="shared" si="14"/>
        <v>#N/A</v>
      </c>
      <c r="X34" s="1470"/>
      <c r="Y34" s="3662"/>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62"/>
      <c r="Q35" s="1463" t="str">
        <f t="shared" si="11"/>
        <v>建筑结构</v>
      </c>
      <c r="R35" s="1464" t="s">
        <v>8</v>
      </c>
      <c r="S35" s="1465">
        <f t="shared" si="12"/>
        <v>100</v>
      </c>
      <c r="T35" s="1464" t="s">
        <v>8</v>
      </c>
      <c r="U35" s="1465">
        <f t="shared" si="13"/>
        <v>100</v>
      </c>
      <c r="V35" s="1464" t="s">
        <v>8</v>
      </c>
      <c r="W35" s="1465">
        <f t="shared" si="14"/>
        <v>100</v>
      </c>
      <c r="X35" s="1458"/>
      <c r="Y35" s="3662"/>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62"/>
      <c r="Q36" s="1463" t="str">
        <f t="shared" si="11"/>
        <v>公共部分装修</v>
      </c>
      <c r="R36" s="1464" t="s">
        <v>8</v>
      </c>
      <c r="S36" s="1465">
        <f t="shared" si="12"/>
        <v>100</v>
      </c>
      <c r="T36" s="1464" t="s">
        <v>8</v>
      </c>
      <c r="U36" s="1465">
        <f t="shared" si="13"/>
        <v>100</v>
      </c>
      <c r="V36" s="1464" t="s">
        <v>8</v>
      </c>
      <c r="W36" s="1465">
        <f t="shared" si="14"/>
        <v>100</v>
      </c>
      <c r="X36" s="1458"/>
      <c r="Y36" s="3662"/>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62"/>
      <c r="Q37" s="1463" t="str">
        <f t="shared" si="11"/>
        <v>成新度</v>
      </c>
      <c r="R37" s="1464" t="s">
        <v>8</v>
      </c>
      <c r="S37" s="1465" t="e">
        <f t="shared" si="12"/>
        <v>#N/A</v>
      </c>
      <c r="T37" s="1464" t="s">
        <v>8</v>
      </c>
      <c r="U37" s="1465" t="e">
        <f t="shared" si="13"/>
        <v>#N/A</v>
      </c>
      <c r="V37" s="1464" t="s">
        <v>8</v>
      </c>
      <c r="W37" s="1465" t="e">
        <f t="shared" si="14"/>
        <v>#N/A</v>
      </c>
      <c r="X37" s="1458"/>
      <c r="Y37" s="3662"/>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62"/>
      <c r="Q38" s="1098" t="str">
        <f t="shared" si="11"/>
        <v>写字楼等级</v>
      </c>
      <c r="R38" s="1459" t="s">
        <v>8</v>
      </c>
      <c r="S38" s="1460">
        <f t="shared" si="12"/>
        <v>100</v>
      </c>
      <c r="T38" s="1459" t="s">
        <v>8</v>
      </c>
      <c r="U38" s="1460">
        <f t="shared" si="13"/>
        <v>100</v>
      </c>
      <c r="V38" s="1459" t="s">
        <v>8</v>
      </c>
      <c r="W38" s="1460">
        <f t="shared" si="14"/>
        <v>100</v>
      </c>
      <c r="X38" s="1461"/>
      <c r="Y38" s="3662"/>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62" t="s">
        <v>533</v>
      </c>
      <c r="Q39" s="1463" t="str">
        <f t="shared" si="11"/>
        <v>物业管理</v>
      </c>
      <c r="R39" s="1464" t="s">
        <v>8</v>
      </c>
      <c r="S39" s="1465">
        <f t="shared" si="12"/>
        <v>100</v>
      </c>
      <c r="T39" s="1464" t="s">
        <v>8</v>
      </c>
      <c r="U39" s="1465">
        <f t="shared" si="13"/>
        <v>100</v>
      </c>
      <c r="V39" s="1464" t="s">
        <v>8</v>
      </c>
      <c r="W39" s="1465">
        <f t="shared" si="14"/>
        <v>100</v>
      </c>
      <c r="X39" s="1458"/>
      <c r="Y39" s="3662" t="s">
        <v>533</v>
      </c>
      <c r="Z39" s="1466" t="str">
        <f t="shared" si="15"/>
        <v>物业管理</v>
      </c>
      <c r="AA39" s="1467">
        <f t="shared" si="3"/>
        <v>1</v>
      </c>
      <c r="AB39" s="1467">
        <f t="shared" si="4"/>
        <v>1</v>
      </c>
      <c r="AC39" s="1467">
        <f t="shared" si="5"/>
        <v>1</v>
      </c>
    </row>
    <row r="40" spans="1:29" ht="15">
      <c r="A40" s="571"/>
      <c r="B40" s="1765"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62"/>
      <c r="Q40" s="1463" t="str">
        <f t="shared" si="11"/>
        <v>市政基础设施</v>
      </c>
      <c r="R40" s="1464" t="s">
        <v>8</v>
      </c>
      <c r="S40" s="1465">
        <f t="shared" si="12"/>
        <v>100</v>
      </c>
      <c r="T40" s="1464" t="s">
        <v>8</v>
      </c>
      <c r="U40" s="1465">
        <f t="shared" si="13"/>
        <v>100</v>
      </c>
      <c r="V40" s="1464" t="s">
        <v>8</v>
      </c>
      <c r="W40" s="1465">
        <f t="shared" si="14"/>
        <v>100</v>
      </c>
      <c r="X40" s="1458"/>
      <c r="Y40" s="3662"/>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62"/>
      <c r="Q41" s="1463" t="str">
        <f t="shared" si="11"/>
        <v>层高</v>
      </c>
      <c r="R41" s="1464" t="s">
        <v>8</v>
      </c>
      <c r="S41" s="1465">
        <f t="shared" si="12"/>
        <v>100</v>
      </c>
      <c r="T41" s="1464" t="s">
        <v>8</v>
      </c>
      <c r="U41" s="1465">
        <f t="shared" si="13"/>
        <v>100</v>
      </c>
      <c r="V41" s="1464" t="s">
        <v>8</v>
      </c>
      <c r="W41" s="1465">
        <f t="shared" si="14"/>
        <v>100</v>
      </c>
      <c r="X41" s="1458"/>
      <c r="Y41" s="3662"/>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62"/>
      <c r="Q42" s="1492" t="str">
        <f t="shared" si="11"/>
        <v>单套建筑面积</v>
      </c>
      <c r="R42" s="1468" t="s">
        <v>8</v>
      </c>
      <c r="S42" s="1469">
        <f t="shared" si="12"/>
        <v>100</v>
      </c>
      <c r="T42" s="1468" t="s">
        <v>8</v>
      </c>
      <c r="U42" s="1469">
        <f t="shared" si="13"/>
        <v>100</v>
      </c>
      <c r="V42" s="1468" t="s">
        <v>8</v>
      </c>
      <c r="W42" s="1469">
        <f t="shared" si="14"/>
        <v>100</v>
      </c>
      <c r="X42" s="1470"/>
      <c r="Y42" s="3662"/>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62"/>
      <c r="Q43" s="1463" t="str">
        <f t="shared" si="11"/>
        <v>内部装修</v>
      </c>
      <c r="R43" s="1464" t="s">
        <v>8</v>
      </c>
      <c r="S43" s="1465">
        <f t="shared" si="12"/>
        <v>100</v>
      </c>
      <c r="T43" s="1464" t="s">
        <v>8</v>
      </c>
      <c r="U43" s="1465">
        <f t="shared" si="13"/>
        <v>100</v>
      </c>
      <c r="V43" s="1464" t="s">
        <v>8</v>
      </c>
      <c r="W43" s="1465">
        <f t="shared" si="14"/>
        <v>100</v>
      </c>
      <c r="X43" s="1458"/>
      <c r="Y43" s="3662"/>
      <c r="Z43" s="1466" t="str">
        <f t="shared" si="15"/>
        <v>内部装修</v>
      </c>
      <c r="AA43" s="1467">
        <f t="shared" si="3"/>
        <v>1</v>
      </c>
      <c r="AB43" s="1467">
        <f t="shared" si="4"/>
        <v>1</v>
      </c>
      <c r="AC43" s="1467">
        <f t="shared" si="5"/>
        <v>1</v>
      </c>
    </row>
    <row r="44" spans="1:29" ht="28.8">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62"/>
      <c r="Q44" s="1463" t="str">
        <f t="shared" si="11"/>
        <v>内部装修维护情况</v>
      </c>
      <c r="R44" s="1464" t="s">
        <v>8</v>
      </c>
      <c r="S44" s="1465">
        <f t="shared" si="12"/>
        <v>100</v>
      </c>
      <c r="T44" s="1464" t="s">
        <v>8</v>
      </c>
      <c r="U44" s="1465">
        <f t="shared" si="13"/>
        <v>100</v>
      </c>
      <c r="V44" s="1464" t="s">
        <v>8</v>
      </c>
      <c r="W44" s="1465">
        <f t="shared" si="14"/>
        <v>100</v>
      </c>
      <c r="X44" s="1458"/>
      <c r="Y44" s="3662"/>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62"/>
      <c r="Q45" s="1098">
        <f t="shared" si="11"/>
        <v>111</v>
      </c>
      <c r="R45" s="1459" t="s">
        <v>8</v>
      </c>
      <c r="S45" s="1460">
        <f t="shared" si="12"/>
        <v>100</v>
      </c>
      <c r="T45" s="1459" t="s">
        <v>8</v>
      </c>
      <c r="U45" s="1460">
        <f t="shared" si="13"/>
        <v>100</v>
      </c>
      <c r="V45" s="1459" t="s">
        <v>8</v>
      </c>
      <c r="W45" s="1460">
        <f t="shared" si="14"/>
        <v>100</v>
      </c>
      <c r="X45" s="1461"/>
      <c r="Y45" s="3662"/>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62"/>
      <c r="Q46" s="1463">
        <f t="shared" si="11"/>
        <v>111</v>
      </c>
      <c r="R46" s="1464" t="s">
        <v>8</v>
      </c>
      <c r="S46" s="1465">
        <f t="shared" si="12"/>
        <v>100</v>
      </c>
      <c r="T46" s="1464" t="s">
        <v>8</v>
      </c>
      <c r="U46" s="1465">
        <f t="shared" si="13"/>
        <v>100</v>
      </c>
      <c r="V46" s="1464" t="s">
        <v>8</v>
      </c>
      <c r="W46" s="1465">
        <f t="shared" si="14"/>
        <v>100</v>
      </c>
      <c r="X46" s="1458"/>
      <c r="Y46" s="3662"/>
      <c r="Z46" s="1466">
        <f t="shared" si="15"/>
        <v>111</v>
      </c>
      <c r="AA46" s="1467">
        <f t="shared" si="3"/>
        <v>1</v>
      </c>
      <c r="AB46" s="1467">
        <f t="shared" si="4"/>
        <v>1</v>
      </c>
      <c r="AC46" s="1467">
        <f t="shared" si="5"/>
        <v>1</v>
      </c>
    </row>
    <row r="47" spans="1:29" ht="15.6"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55"/>
      <c r="Q47" s="1463">
        <f t="shared" si="11"/>
        <v>111</v>
      </c>
      <c r="R47" s="1464" t="s">
        <v>8</v>
      </c>
      <c r="S47" s="1465">
        <f t="shared" si="12"/>
        <v>100</v>
      </c>
      <c r="T47" s="1464" t="s">
        <v>8</v>
      </c>
      <c r="U47" s="1465">
        <f t="shared" si="13"/>
        <v>100</v>
      </c>
      <c r="V47" s="1464" t="s">
        <v>8</v>
      </c>
      <c r="W47" s="1465">
        <f t="shared" si="14"/>
        <v>100</v>
      </c>
      <c r="X47" s="1458"/>
      <c r="Y47" s="3755"/>
      <c r="Z47" s="1466">
        <f t="shared" si="15"/>
        <v>111</v>
      </c>
      <c r="AA47" s="1467">
        <f t="shared" si="3"/>
        <v>1</v>
      </c>
      <c r="AB47" s="1467">
        <f t="shared" si="4"/>
        <v>1</v>
      </c>
      <c r="AC47" s="1467">
        <f t="shared" si="5"/>
        <v>1</v>
      </c>
    </row>
    <row r="48" spans="1:29" ht="14.4">
      <c r="A48" s="584" t="s">
        <v>718</v>
      </c>
      <c r="B48" s="859"/>
      <c r="C48" s="2393" t="s">
        <v>1</v>
      </c>
      <c r="D48" s="2394"/>
      <c r="E48" s="2395"/>
      <c r="F48" s="2396"/>
      <c r="G48" s="2397"/>
      <c r="H48" s="2398"/>
      <c r="I48" s="2395"/>
      <c r="J48" s="2398"/>
      <c r="K48" s="1497"/>
      <c r="L48" s="1981"/>
      <c r="M48" s="1971"/>
      <c r="N48" s="1971"/>
      <c r="O48" s="1971"/>
      <c r="P48" s="3664" t="str">
        <f>A48</f>
        <v>成交单价（元/平方米）</v>
      </c>
      <c r="Q48" s="3626"/>
      <c r="R48" s="3754">
        <f>E48</f>
        <v>0</v>
      </c>
      <c r="S48" s="3754"/>
      <c r="T48" s="3754">
        <f>G48</f>
        <v>0</v>
      </c>
      <c r="U48" s="3754"/>
      <c r="V48" s="3754">
        <f>I48</f>
        <v>0</v>
      </c>
      <c r="W48" s="3754"/>
      <c r="X48" s="1453"/>
      <c r="Y48" s="1472"/>
      <c r="Z48" s="1453"/>
      <c r="AA48" s="1453"/>
      <c r="AB48" s="1453"/>
      <c r="AC48" s="1453"/>
    </row>
    <row r="49" spans="1:29" ht="15" thickBot="1">
      <c r="A49" s="592" t="s">
        <v>2477</v>
      </c>
      <c r="B49" s="860"/>
      <c r="C49" s="2399" t="e">
        <f>R50</f>
        <v>#DIV/0!</v>
      </c>
      <c r="D49" s="2923" t="s">
        <v>2702</v>
      </c>
      <c r="E49" s="2400" t="e">
        <f>R49</f>
        <v>#DIV/0!</v>
      </c>
      <c r="F49" s="2924"/>
      <c r="G49" s="2399" t="e">
        <f>T49</f>
        <v>#DIV/0!</v>
      </c>
      <c r="H49" s="2924"/>
      <c r="I49" s="2400" t="e">
        <f>V49</f>
        <v>#DIV/0!</v>
      </c>
      <c r="J49" s="2924"/>
      <c r="K49" s="2932">
        <f>F49+H49+J49</f>
        <v>0</v>
      </c>
      <c r="L49" s="1981"/>
      <c r="M49" s="1971"/>
      <c r="N49" s="1971"/>
      <c r="O49" s="1971"/>
      <c r="P49" s="3664" t="str">
        <f>A49</f>
        <v>比较价格（元/平方米）</v>
      </c>
      <c r="Q49" s="3626"/>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1453"/>
      <c r="Y49" s="1453"/>
      <c r="Z49" s="1453"/>
      <c r="AA49" s="1453"/>
      <c r="AB49" s="1453"/>
      <c r="AC49" s="1453"/>
    </row>
    <row r="50" spans="1:29" ht="15" thickBot="1">
      <c r="A50" s="596" t="s">
        <v>2637</v>
      </c>
      <c r="B50" s="597"/>
      <c r="C50" s="2401" t="e">
        <f>R50</f>
        <v>#DIV/0!</v>
      </c>
      <c r="D50" s="2401"/>
      <c r="E50" s="2401"/>
      <c r="F50" s="2401"/>
      <c r="G50" s="2401"/>
      <c r="H50" s="2401"/>
      <c r="I50" s="2401"/>
      <c r="J50" s="2401"/>
      <c r="K50" s="1498"/>
      <c r="L50" s="1981"/>
      <c r="M50" s="1971"/>
      <c r="N50" s="1971"/>
      <c r="O50" s="1971"/>
      <c r="P50" s="3756" t="str">
        <f>A50</f>
        <v>估价对象XX用房的比较价格（楼面单价，元/平方米）</v>
      </c>
      <c r="Q50" s="3664"/>
      <c r="R50" s="3753" t="e">
        <f>IF(F1="售价",ROUND(IF(D49="简单平均",AVERAGE(R49:V49),R49*F49+T49*H49+V49*J49),0),ROUND(IF(D49="简单平均",AVERAGE(R49:V49),R49*F49+T49*H49+V49*J49),1))</f>
        <v>#DIV/0!</v>
      </c>
      <c r="S50" s="3753"/>
      <c r="T50" s="3753"/>
      <c r="U50" s="3753"/>
      <c r="V50" s="3753"/>
      <c r="W50" s="3753"/>
      <c r="X50" s="1453"/>
      <c r="Y50" s="1453"/>
      <c r="Z50" s="1453"/>
      <c r="AA50" s="1453"/>
      <c r="AB50" s="1453"/>
      <c r="AC50" s="1453"/>
    </row>
    <row r="51" spans="1:29">
      <c r="A51" s="3123"/>
      <c r="B51" s="3123"/>
      <c r="C51" s="3123"/>
      <c r="D51" s="3123"/>
      <c r="E51" s="3123"/>
      <c r="F51" s="3123"/>
      <c r="G51" s="3125"/>
      <c r="H51" s="3123"/>
      <c r="I51" s="3123"/>
      <c r="J51" s="3123"/>
      <c r="K51" s="3126"/>
      <c r="L51" s="1986"/>
      <c r="M51" s="1982"/>
      <c r="N51" s="1982"/>
      <c r="O51" s="1982"/>
      <c r="P51" s="2043"/>
      <c r="Q51" s="1982"/>
      <c r="R51" s="1982"/>
      <c r="S51" s="1982"/>
      <c r="T51" s="1982"/>
      <c r="U51" s="1982"/>
      <c r="V51" s="1982"/>
      <c r="W51" s="1982"/>
      <c r="X51" s="1982"/>
      <c r="Y51" s="1982"/>
      <c r="Z51" s="1982"/>
      <c r="AA51" s="1982"/>
      <c r="AB51" s="1982"/>
      <c r="AC51" s="1982"/>
    </row>
    <row r="52" spans="1:29">
      <c r="A52" s="3123"/>
      <c r="B52" s="3123"/>
      <c r="C52" s="3123"/>
      <c r="D52" s="3123"/>
      <c r="E52" s="3123"/>
      <c r="F52" s="3123"/>
      <c r="G52" s="3123"/>
      <c r="H52" s="3123"/>
      <c r="I52" s="3123"/>
      <c r="J52" s="3123"/>
      <c r="K52" s="3126"/>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2.2"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4.4">
      <c r="A59" s="620" t="s">
        <v>512</v>
      </c>
      <c r="B59" s="621"/>
      <c r="C59" s="2442" t="str">
        <f>YEAR(C7)&amp;"-"&amp;MONTH(C7)</f>
        <v>1900-1</v>
      </c>
      <c r="D59" s="2444" t="e">
        <f>EDATE(C59,-1)</f>
        <v>#NUM!</v>
      </c>
      <c r="E59" s="2444" t="e">
        <f t="shared" ref="E59:O59" si="16">EDATE(D59,-1)</f>
        <v>#NUM!</v>
      </c>
      <c r="F59" s="2444" t="e">
        <f t="shared" si="16"/>
        <v>#NUM!</v>
      </c>
      <c r="G59" s="2444" t="e">
        <f t="shared" si="16"/>
        <v>#NUM!</v>
      </c>
      <c r="H59" s="2444" t="e">
        <f t="shared" si="16"/>
        <v>#NUM!</v>
      </c>
      <c r="I59" s="2444" t="e">
        <f t="shared" si="16"/>
        <v>#NUM!</v>
      </c>
      <c r="J59" s="2444" t="e">
        <f t="shared" si="16"/>
        <v>#NUM!</v>
      </c>
      <c r="K59" s="2444" t="e">
        <f t="shared" si="16"/>
        <v>#NUM!</v>
      </c>
      <c r="L59" s="2444" t="e">
        <f t="shared" si="16"/>
        <v>#NUM!</v>
      </c>
      <c r="M59" s="2444" t="e">
        <f t="shared" si="16"/>
        <v>#NUM!</v>
      </c>
      <c r="N59" s="2444" t="e">
        <f t="shared" si="16"/>
        <v>#NUM!</v>
      </c>
      <c r="O59" s="2444" t="e">
        <f t="shared" si="16"/>
        <v>#NUM!</v>
      </c>
      <c r="P59" s="2046"/>
      <c r="Q59" s="1997"/>
      <c r="R59" s="1997"/>
      <c r="S59" s="1997"/>
      <c r="T59" s="1997"/>
      <c r="U59" s="1997"/>
      <c r="V59" s="1997"/>
      <c r="W59" s="1997"/>
      <c r="X59" s="1997"/>
      <c r="Y59" s="1997"/>
      <c r="Z59" s="1997"/>
      <c r="AA59" s="1997"/>
      <c r="AB59" s="1997"/>
      <c r="AC59" s="1997"/>
    </row>
    <row r="60" spans="1:29" s="1167" customFormat="1">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4.4">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4.4"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ht="14.4">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4.4"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9.4"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4.4"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4.4"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4.4"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4.4"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4.4"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4.4"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4.4"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4.4"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ht="14.4">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4.4"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4.4"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 thickTop="1">
      <c r="A81" s="644"/>
      <c r="B81" s="1766" t="s">
        <v>2275</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4.4"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 thickTop="1">
      <c r="A83" s="644"/>
      <c r="B83" s="2364" t="s">
        <v>2276</v>
      </c>
      <c r="C83" s="2365" t="s">
        <v>2277</v>
      </c>
      <c r="D83" s="2365" t="s">
        <v>2278</v>
      </c>
      <c r="E83" s="2365" t="s">
        <v>2279</v>
      </c>
      <c r="F83" s="2365" t="s">
        <v>2280</v>
      </c>
      <c r="G83" s="2365" t="s">
        <v>2281</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4.4"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4.4"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9.4"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4.4"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4.4"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4.4"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4.4"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4.4"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4.4"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4.4"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4.4"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4.4"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4.4"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4.4"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4.4"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4.4"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ht="14.4">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4.4"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4.4"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4.4"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4.4"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4.4"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4.4"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4.4"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2274</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4.4"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4.4"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4.4"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4.4"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9.4"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4.4"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4.4"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4.4"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4.4"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4.4"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4.4"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4.4"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3.8"/>
  <cols>
    <col min="1" max="1" width="10.441406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4.4">
      <c r="A4" s="489" t="s">
        <v>504</v>
      </c>
      <c r="B4" s="490"/>
      <c r="C4" s="3632" t="s">
        <v>505</v>
      </c>
      <c r="D4" s="3633"/>
      <c r="E4" s="3667" t="s">
        <v>506</v>
      </c>
      <c r="F4" s="3668"/>
      <c r="G4" s="3632" t="s">
        <v>507</v>
      </c>
      <c r="H4" s="3633"/>
      <c r="I4" s="3632" t="s">
        <v>508</v>
      </c>
      <c r="J4" s="3633"/>
      <c r="K4" s="491" t="s">
        <v>509</v>
      </c>
      <c r="L4" s="1970"/>
      <c r="M4" s="1971"/>
      <c r="N4" s="1971"/>
      <c r="O4" s="1971"/>
      <c r="P4" s="3634" t="s">
        <v>510</v>
      </c>
      <c r="Q4" s="3635"/>
      <c r="R4" s="3640" t="s">
        <v>506</v>
      </c>
      <c r="S4" s="3641"/>
      <c r="T4" s="3640" t="s">
        <v>507</v>
      </c>
      <c r="U4" s="3641"/>
      <c r="V4" s="3627" t="s">
        <v>508</v>
      </c>
      <c r="W4" s="3627"/>
      <c r="X4" s="1458"/>
      <c r="Y4" s="3640" t="s">
        <v>510</v>
      </c>
      <c r="Z4" s="3641"/>
      <c r="AA4" s="3629" t="s">
        <v>506</v>
      </c>
      <c r="AB4" s="3630" t="s">
        <v>507</v>
      </c>
      <c r="AC4" s="3629" t="s">
        <v>508</v>
      </c>
    </row>
    <row r="5" spans="1:29">
      <c r="A5" s="492"/>
      <c r="B5" s="493"/>
      <c r="C5" s="3648" t="s">
        <v>2631</v>
      </c>
      <c r="D5" s="3649"/>
      <c r="E5" s="3669" t="s">
        <v>2632</v>
      </c>
      <c r="F5" s="3670"/>
      <c r="G5" s="3648" t="s">
        <v>2633</v>
      </c>
      <c r="H5" s="3649"/>
      <c r="I5" s="3648" t="s">
        <v>2634</v>
      </c>
      <c r="J5" s="3649"/>
      <c r="K5" s="491"/>
      <c r="L5" s="1970"/>
      <c r="M5" s="1971"/>
      <c r="N5" s="1971"/>
      <c r="O5" s="1971"/>
      <c r="P5" s="3636"/>
      <c r="Q5" s="3637"/>
      <c r="R5" s="3642"/>
      <c r="S5" s="3643"/>
      <c r="T5" s="3642"/>
      <c r="U5" s="3643"/>
      <c r="V5" s="3627"/>
      <c r="W5" s="3627"/>
      <c r="X5" s="1458"/>
      <c r="Y5" s="3642"/>
      <c r="Z5" s="3643"/>
      <c r="AA5" s="3630"/>
      <c r="AB5" s="3630"/>
      <c r="AC5" s="3630"/>
    </row>
    <row r="6" spans="1:29" ht="15" thickBot="1">
      <c r="A6" s="494"/>
      <c r="B6" s="495"/>
      <c r="C6" s="3646" t="s">
        <v>2635</v>
      </c>
      <c r="D6" s="3647"/>
      <c r="E6" s="3665" t="s">
        <v>2635</v>
      </c>
      <c r="F6" s="3666"/>
      <c r="G6" s="3646" t="s">
        <v>2635</v>
      </c>
      <c r="H6" s="3647"/>
      <c r="I6" s="3646" t="s">
        <v>2635</v>
      </c>
      <c r="J6" s="3647"/>
      <c r="K6" s="491" t="s">
        <v>511</v>
      </c>
      <c r="L6" s="1970"/>
      <c r="M6" s="1971"/>
      <c r="N6" s="1971"/>
      <c r="O6" s="1971"/>
      <c r="P6" s="3638"/>
      <c r="Q6" s="3639"/>
      <c r="R6" s="3642"/>
      <c r="S6" s="3643"/>
      <c r="T6" s="3644"/>
      <c r="U6" s="3645"/>
      <c r="V6" s="3627"/>
      <c r="W6" s="3627"/>
      <c r="X6" s="1458"/>
      <c r="Y6" s="3644"/>
      <c r="Z6" s="3645"/>
      <c r="AA6" s="3631"/>
      <c r="AB6" s="3631"/>
      <c r="AC6" s="3631"/>
    </row>
    <row r="7" spans="1:29" s="1167" customFormat="1" ht="15" thickBot="1">
      <c r="A7" s="2552"/>
      <c r="B7" s="2559" t="s">
        <v>512</v>
      </c>
      <c r="C7" s="496">
        <f>'数据-取费表'!B2</f>
        <v>0</v>
      </c>
      <c r="D7" s="497">
        <v>100</v>
      </c>
      <c r="E7" s="498"/>
      <c r="F7" s="499">
        <f>SUMIF(52:52,YEAR(E7)&amp;"-"&amp;MONTH(E7),53:53)</f>
        <v>100</v>
      </c>
      <c r="G7" s="498"/>
      <c r="H7" s="497">
        <f>SUMIF(52:52,YEAR(G7)&amp;"-"&amp;MONTH(G7),53:53)</f>
        <v>100</v>
      </c>
      <c r="I7" s="498"/>
      <c r="J7" s="497">
        <f>SUMIF(52:52,YEAR(I7)&amp;"-"&amp;MONTH(I7),53:53)</f>
        <v>100</v>
      </c>
      <c r="K7" s="501"/>
      <c r="L7" s="1972"/>
      <c r="M7" s="1973"/>
      <c r="N7" s="1973"/>
      <c r="O7" s="1973"/>
      <c r="P7" s="3656" t="s">
        <v>513</v>
      </c>
      <c r="Q7" s="3658"/>
      <c r="R7" s="1459" t="s">
        <v>8</v>
      </c>
      <c r="S7" s="1460">
        <f t="shared" ref="S7:S15" si="0">F7</f>
        <v>100</v>
      </c>
      <c r="T7" s="1459" t="s">
        <v>8</v>
      </c>
      <c r="U7" s="1460">
        <f t="shared" ref="U7:U15" si="1">H7</f>
        <v>100</v>
      </c>
      <c r="V7" s="1459" t="s">
        <v>8</v>
      </c>
      <c r="W7" s="1460">
        <f t="shared" ref="W7:W15" si="2">J7</f>
        <v>100</v>
      </c>
      <c r="X7" s="1461"/>
      <c r="Y7" s="3656" t="s">
        <v>513</v>
      </c>
      <c r="Z7" s="3657"/>
      <c r="AA7" s="1462">
        <f>D7/F7</f>
        <v>1</v>
      </c>
      <c r="AB7" s="1462">
        <f>D7/H7</f>
        <v>1</v>
      </c>
      <c r="AC7" s="1462">
        <f>D7/J7</f>
        <v>1</v>
      </c>
    </row>
    <row r="8" spans="1:29" s="1167" customFormat="1" ht="15" thickBot="1">
      <c r="A8" s="2553"/>
      <c r="B8" s="2560"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56" t="s">
        <v>516</v>
      </c>
      <c r="Q8" s="3657"/>
      <c r="R8" s="1459" t="s">
        <v>8</v>
      </c>
      <c r="S8" s="1460">
        <f t="shared" si="0"/>
        <v>0</v>
      </c>
      <c r="T8" s="1459" t="s">
        <v>8</v>
      </c>
      <c r="U8" s="1460">
        <f t="shared" si="1"/>
        <v>0</v>
      </c>
      <c r="V8" s="1459" t="s">
        <v>8</v>
      </c>
      <c r="W8" s="1460">
        <f t="shared" si="2"/>
        <v>0</v>
      </c>
      <c r="X8" s="1461"/>
      <c r="Y8" s="3656" t="s">
        <v>516</v>
      </c>
      <c r="Z8" s="3657"/>
      <c r="AA8" s="1462" t="e">
        <f t="shared" ref="AA8:AA40" si="3">D8/F8</f>
        <v>#DIV/0!</v>
      </c>
      <c r="AB8" s="1462" t="e">
        <f t="shared" ref="AB8:AB40" si="4">D8/H8</f>
        <v>#DIV/0!</v>
      </c>
      <c r="AC8" s="1462" t="e">
        <f t="shared" ref="AC8:AC40" si="5">D8/J8</f>
        <v>#DIV/0!</v>
      </c>
    </row>
    <row r="9" spans="1:29" s="1167" customFormat="1" ht="14.4">
      <c r="A9" s="2554"/>
      <c r="B9" s="2561" t="s">
        <v>2473</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26" t="s">
        <v>518</v>
      </c>
      <c r="Q9" s="1098" t="str">
        <f t="shared" ref="Q9:Q15" si="6">B9</f>
        <v>用途</v>
      </c>
      <c r="R9" s="1459" t="s">
        <v>8</v>
      </c>
      <c r="S9" s="1460">
        <f t="shared" si="0"/>
        <v>100</v>
      </c>
      <c r="T9" s="1459" t="s">
        <v>8</v>
      </c>
      <c r="U9" s="1460">
        <f t="shared" si="1"/>
        <v>100</v>
      </c>
      <c r="V9" s="1459" t="s">
        <v>8</v>
      </c>
      <c r="W9" s="1460">
        <f t="shared" si="2"/>
        <v>100</v>
      </c>
      <c r="X9" s="1461"/>
      <c r="Y9" s="3570" t="s">
        <v>519</v>
      </c>
      <c r="Z9" s="1097" t="str">
        <f t="shared" ref="Z9:Z15" si="7">Q9</f>
        <v>用途</v>
      </c>
      <c r="AA9" s="1462">
        <f t="shared" si="3"/>
        <v>1</v>
      </c>
      <c r="AB9" s="1462">
        <f t="shared" si="4"/>
        <v>1</v>
      </c>
      <c r="AC9" s="1462">
        <f t="shared" si="5"/>
        <v>1</v>
      </c>
    </row>
    <row r="10" spans="1:29" s="1248" customFormat="1" ht="28.8">
      <c r="A10" s="2555"/>
      <c r="B10" s="2560" t="s">
        <v>2474</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26"/>
      <c r="Q10" s="1098" t="str">
        <f t="shared" si="6"/>
        <v>土地使用年限（年）</v>
      </c>
      <c r="R10" s="1459" t="s">
        <v>8</v>
      </c>
      <c r="S10" s="1460">
        <f t="shared" si="0"/>
        <v>100</v>
      </c>
      <c r="T10" s="1459" t="s">
        <v>8</v>
      </c>
      <c r="U10" s="1460">
        <f t="shared" si="1"/>
        <v>100</v>
      </c>
      <c r="V10" s="1459" t="s">
        <v>8</v>
      </c>
      <c r="W10" s="1460">
        <f t="shared" si="2"/>
        <v>100</v>
      </c>
      <c r="X10" s="1461"/>
      <c r="Y10" s="357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26"/>
      <c r="Q11" s="1098" t="str">
        <f t="shared" si="6"/>
        <v>容积率</v>
      </c>
      <c r="R11" s="1459" t="s">
        <v>8</v>
      </c>
      <c r="S11" s="1460" t="e">
        <f t="shared" si="0"/>
        <v>#N/A</v>
      </c>
      <c r="T11" s="1459" t="s">
        <v>8</v>
      </c>
      <c r="U11" s="1460" t="e">
        <f t="shared" si="1"/>
        <v>#N/A</v>
      </c>
      <c r="V11" s="1459" t="s">
        <v>8</v>
      </c>
      <c r="W11" s="1460" t="e">
        <f t="shared" si="2"/>
        <v>#N/A</v>
      </c>
      <c r="X11" s="1461"/>
      <c r="Y11" s="357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26"/>
      <c r="Q12" s="1098">
        <f t="shared" si="6"/>
        <v>111</v>
      </c>
      <c r="R12" s="1459" t="s">
        <v>8</v>
      </c>
      <c r="S12" s="1460">
        <f t="shared" si="0"/>
        <v>100</v>
      </c>
      <c r="T12" s="1459" t="s">
        <v>8</v>
      </c>
      <c r="U12" s="1460">
        <f t="shared" si="1"/>
        <v>100</v>
      </c>
      <c r="V12" s="1459" t="s">
        <v>8</v>
      </c>
      <c r="W12" s="1460">
        <f t="shared" si="2"/>
        <v>100</v>
      </c>
      <c r="X12" s="1461"/>
      <c r="Y12" s="3570"/>
      <c r="Z12" s="1097">
        <f t="shared" si="7"/>
        <v>111</v>
      </c>
      <c r="AA12" s="1462">
        <f>D12/F12</f>
        <v>1</v>
      </c>
      <c r="AB12" s="1462">
        <f>D12/H12</f>
        <v>1</v>
      </c>
      <c r="AC12" s="1462">
        <f>D12/J12</f>
        <v>1</v>
      </c>
    </row>
    <row r="13" spans="1:29" ht="15">
      <c r="A13" s="2557"/>
      <c r="B13" s="2563">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26"/>
      <c r="Q13" s="1098">
        <f t="shared" si="6"/>
        <v>111</v>
      </c>
      <c r="R13" s="1459" t="s">
        <v>8</v>
      </c>
      <c r="S13" s="1460">
        <f t="shared" si="0"/>
        <v>100</v>
      </c>
      <c r="T13" s="1459" t="s">
        <v>8</v>
      </c>
      <c r="U13" s="1460">
        <f t="shared" si="1"/>
        <v>100</v>
      </c>
      <c r="V13" s="1459" t="s">
        <v>8</v>
      </c>
      <c r="W13" s="1460">
        <f t="shared" si="2"/>
        <v>100</v>
      </c>
      <c r="X13" s="1461"/>
      <c r="Y13" s="3570"/>
      <c r="Z13" s="1097">
        <f t="shared" si="7"/>
        <v>111</v>
      </c>
      <c r="AA13" s="1462">
        <f t="shared" si="3"/>
        <v>1</v>
      </c>
      <c r="AB13" s="1462">
        <f t="shared" si="4"/>
        <v>1</v>
      </c>
      <c r="AC13" s="1462">
        <f t="shared" si="5"/>
        <v>1</v>
      </c>
    </row>
    <row r="14" spans="1:29" ht="15.6" thickBot="1">
      <c r="A14" s="2558"/>
      <c r="B14" s="2564">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26"/>
      <c r="Q14" s="1098">
        <f t="shared" si="6"/>
        <v>111</v>
      </c>
      <c r="R14" s="1459" t="s">
        <v>8</v>
      </c>
      <c r="S14" s="1460">
        <f t="shared" si="0"/>
        <v>100</v>
      </c>
      <c r="T14" s="1459" t="s">
        <v>8</v>
      </c>
      <c r="U14" s="1460">
        <f t="shared" si="1"/>
        <v>100</v>
      </c>
      <c r="V14" s="1459" t="s">
        <v>8</v>
      </c>
      <c r="W14" s="1460">
        <f t="shared" si="2"/>
        <v>100</v>
      </c>
      <c r="X14" s="1461"/>
      <c r="Y14" s="3570"/>
      <c r="Z14" s="1097">
        <f t="shared" si="7"/>
        <v>111</v>
      </c>
      <c r="AA14" s="1462">
        <f t="shared" si="3"/>
        <v>1</v>
      </c>
      <c r="AB14" s="1462">
        <f t="shared" si="4"/>
        <v>1</v>
      </c>
      <c r="AC14" s="1462">
        <f t="shared" si="5"/>
        <v>1</v>
      </c>
    </row>
    <row r="15" spans="1:29" ht="69">
      <c r="A15" s="2550"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59" t="s">
        <v>523</v>
      </c>
      <c r="Q15" s="1463" t="str">
        <f t="shared" si="6"/>
        <v>产业集聚程度</v>
      </c>
      <c r="R15" s="1464" t="s">
        <v>8</v>
      </c>
      <c r="S15" s="1465">
        <f t="shared" si="0"/>
        <v>100</v>
      </c>
      <c r="T15" s="1464" t="s">
        <v>8</v>
      </c>
      <c r="U15" s="1465">
        <f t="shared" si="1"/>
        <v>100</v>
      </c>
      <c r="V15" s="1464" t="s">
        <v>8</v>
      </c>
      <c r="W15" s="1465">
        <f t="shared" si="2"/>
        <v>100</v>
      </c>
      <c r="X15" s="1458"/>
      <c r="Y15" s="3659"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60"/>
      <c r="Q16" s="1463"/>
      <c r="R16" s="1464"/>
      <c r="S16" s="1465"/>
      <c r="T16" s="1464"/>
      <c r="U16" s="1465"/>
      <c r="V16" s="1464"/>
      <c r="W16" s="1465"/>
      <c r="X16" s="1458"/>
      <c r="Y16" s="3660"/>
      <c r="Z16" s="1466"/>
      <c r="AA16" s="1467">
        <v>1</v>
      </c>
      <c r="AB16" s="1467">
        <v>1</v>
      </c>
      <c r="AC16" s="1467">
        <v>1</v>
      </c>
    </row>
    <row r="17" spans="1:29" ht="96.6">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60"/>
      <c r="Q17" s="1463" t="str">
        <f>B17</f>
        <v>交通便捷度</v>
      </c>
      <c r="R17" s="1464" t="s">
        <v>8</v>
      </c>
      <c r="S17" s="1465">
        <f>F17</f>
        <v>100</v>
      </c>
      <c r="T17" s="1464" t="s">
        <v>8</v>
      </c>
      <c r="U17" s="1465">
        <f>H17</f>
        <v>100</v>
      </c>
      <c r="V17" s="1464" t="s">
        <v>8</v>
      </c>
      <c r="W17" s="1465">
        <f>J17</f>
        <v>100</v>
      </c>
      <c r="X17" s="1458"/>
      <c r="Y17" s="3660"/>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60"/>
      <c r="Q18" s="1463"/>
      <c r="R18" s="1464"/>
      <c r="S18" s="1465"/>
      <c r="T18" s="1464"/>
      <c r="U18" s="1465"/>
      <c r="V18" s="1464"/>
      <c r="W18" s="1465"/>
      <c r="X18" s="1458"/>
      <c r="Y18" s="3660"/>
      <c r="Z18" s="1466"/>
      <c r="AA18" s="1467">
        <v>1</v>
      </c>
      <c r="AB18" s="1467">
        <v>1</v>
      </c>
      <c r="AC18" s="1467">
        <v>1</v>
      </c>
    </row>
    <row r="19" spans="1:29" ht="41.4">
      <c r="A19" s="509"/>
      <c r="B19" s="2370"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60"/>
      <c r="Q19" s="1463" t="str">
        <f>B19</f>
        <v>公共配套设施</v>
      </c>
      <c r="R19" s="1464" t="s">
        <v>8</v>
      </c>
      <c r="S19" s="1465">
        <f>F19</f>
        <v>100</v>
      </c>
      <c r="T19" s="1464" t="s">
        <v>8</v>
      </c>
      <c r="U19" s="1465">
        <f>H19</f>
        <v>100</v>
      </c>
      <c r="V19" s="1464" t="s">
        <v>8</v>
      </c>
      <c r="W19" s="1465">
        <f>J19</f>
        <v>100</v>
      </c>
      <c r="X19" s="1458"/>
      <c r="Y19" s="3660"/>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60"/>
      <c r="Q20" s="1463"/>
      <c r="R20" s="1464"/>
      <c r="S20" s="1465"/>
      <c r="T20" s="1464"/>
      <c r="U20" s="1465"/>
      <c r="V20" s="1464"/>
      <c r="W20" s="1465"/>
      <c r="X20" s="1458"/>
      <c r="Y20" s="3660"/>
      <c r="Z20" s="1466"/>
      <c r="AA20" s="1467">
        <v>1</v>
      </c>
      <c r="AB20" s="1467">
        <v>1</v>
      </c>
      <c r="AC20" s="1467">
        <v>1</v>
      </c>
    </row>
    <row r="21" spans="1:29" ht="41.4">
      <c r="A21" s="509"/>
      <c r="B21" s="2358"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60"/>
      <c r="Q21" s="2352" t="str">
        <f>B21</f>
        <v>基础设施水平</v>
      </c>
      <c r="R21" s="1464" t="s">
        <v>8</v>
      </c>
      <c r="S21" s="1465">
        <f>F21</f>
        <v>100</v>
      </c>
      <c r="T21" s="1464" t="s">
        <v>8</v>
      </c>
      <c r="U21" s="1465">
        <f>H21</f>
        <v>100</v>
      </c>
      <c r="V21" s="1464" t="s">
        <v>8</v>
      </c>
      <c r="W21" s="1465">
        <f>J21</f>
        <v>100</v>
      </c>
      <c r="X21" s="2354"/>
      <c r="Y21" s="3660"/>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60"/>
      <c r="Q22" s="2352"/>
      <c r="R22" s="1464"/>
      <c r="S22" s="1465"/>
      <c r="T22" s="1464"/>
      <c r="U22" s="1465"/>
      <c r="V22" s="1464"/>
      <c r="W22" s="1465"/>
      <c r="X22" s="2354"/>
      <c r="Y22" s="3660"/>
      <c r="Z22" s="2353"/>
      <c r="AA22" s="1467">
        <v>1</v>
      </c>
      <c r="AB22" s="1467">
        <v>1</v>
      </c>
      <c r="AC22" s="1467">
        <v>1</v>
      </c>
    </row>
    <row r="23" spans="1:29" ht="82.8">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60"/>
      <c r="Q23" s="1463" t="str">
        <f>B23</f>
        <v>环境质量</v>
      </c>
      <c r="R23" s="1464" t="s">
        <v>8</v>
      </c>
      <c r="S23" s="1465">
        <f>F23</f>
        <v>100</v>
      </c>
      <c r="T23" s="1464" t="s">
        <v>8</v>
      </c>
      <c r="U23" s="1465">
        <f>H23</f>
        <v>100</v>
      </c>
      <c r="V23" s="1464" t="s">
        <v>8</v>
      </c>
      <c r="W23" s="1465">
        <f>J23</f>
        <v>100</v>
      </c>
      <c r="X23" s="1458"/>
      <c r="Y23" s="3660"/>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60"/>
      <c r="Q24" s="1463"/>
      <c r="R24" s="1464"/>
      <c r="S24" s="1465"/>
      <c r="T24" s="1464"/>
      <c r="U24" s="1465"/>
      <c r="V24" s="1464"/>
      <c r="W24" s="1465"/>
      <c r="X24" s="1458"/>
      <c r="Y24" s="3660"/>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60"/>
      <c r="Q25" s="1463">
        <f>B25</f>
        <v>111</v>
      </c>
      <c r="R25" s="1464" t="s">
        <v>8</v>
      </c>
      <c r="S25" s="1465">
        <f>F25</f>
        <v>100</v>
      </c>
      <c r="T25" s="1464" t="s">
        <v>8</v>
      </c>
      <c r="U25" s="1465">
        <f>H25</f>
        <v>100</v>
      </c>
      <c r="V25" s="1464" t="s">
        <v>8</v>
      </c>
      <c r="W25" s="1465">
        <f>J25</f>
        <v>100</v>
      </c>
      <c r="X25" s="1458"/>
      <c r="Y25" s="3660"/>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60"/>
      <c r="Q26" s="1463">
        <f t="shared" ref="Q26:Q40" si="11">B26</f>
        <v>111</v>
      </c>
      <c r="R26" s="1464" t="s">
        <v>8</v>
      </c>
      <c r="S26" s="1465">
        <f>F26</f>
        <v>100</v>
      </c>
      <c r="T26" s="1464" t="s">
        <v>8</v>
      </c>
      <c r="U26" s="1465">
        <f>H26</f>
        <v>100</v>
      </c>
      <c r="V26" s="1464" t="s">
        <v>8</v>
      </c>
      <c r="W26" s="1465">
        <f>J26</f>
        <v>100</v>
      </c>
      <c r="X26" s="1458"/>
      <c r="Y26" s="3660"/>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60"/>
      <c r="Q27" s="1098">
        <f t="shared" si="11"/>
        <v>111</v>
      </c>
      <c r="R27" s="1459" t="s">
        <v>8</v>
      </c>
      <c r="S27" s="1460">
        <f>F27</f>
        <v>100</v>
      </c>
      <c r="T27" s="1459" t="s">
        <v>8</v>
      </c>
      <c r="U27" s="1460">
        <f>H27</f>
        <v>100</v>
      </c>
      <c r="V27" s="1459" t="s">
        <v>8</v>
      </c>
      <c r="W27" s="1460">
        <f>J27</f>
        <v>100</v>
      </c>
      <c r="X27" s="1461"/>
      <c r="Y27" s="3660"/>
      <c r="Z27" s="1097">
        <f>Q27</f>
        <v>111</v>
      </c>
      <c r="AA27" s="1467">
        <f>D27/F27</f>
        <v>1</v>
      </c>
      <c r="AB27" s="1467">
        <f>D27/H27</f>
        <v>1</v>
      </c>
      <c r="AC27" s="1467">
        <f>D27/J27</f>
        <v>1</v>
      </c>
    </row>
    <row r="28" spans="1:29" ht="15.6"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60"/>
      <c r="Q28" s="1463">
        <f t="shared" si="11"/>
        <v>111</v>
      </c>
      <c r="R28" s="1464" t="s">
        <v>8</v>
      </c>
      <c r="S28" s="1465">
        <f t="shared" ref="S28:S40" si="12">F28</f>
        <v>100</v>
      </c>
      <c r="T28" s="1464" t="s">
        <v>8</v>
      </c>
      <c r="U28" s="1465">
        <f t="shared" ref="U28:U40" si="13">H28</f>
        <v>100</v>
      </c>
      <c r="V28" s="1464" t="s">
        <v>8</v>
      </c>
      <c r="W28" s="1465">
        <f t="shared" ref="W28:W40" si="14">J28</f>
        <v>100</v>
      </c>
      <c r="X28" s="1458"/>
      <c r="Y28" s="3660"/>
      <c r="Z28" s="1466">
        <f t="shared" ref="Z28:Z40" si="15">Q28</f>
        <v>111</v>
      </c>
      <c r="AA28" s="1467">
        <f t="shared" si="3"/>
        <v>1</v>
      </c>
      <c r="AB28" s="1467">
        <f t="shared" si="4"/>
        <v>1</v>
      </c>
      <c r="AC28" s="1467">
        <f t="shared" si="5"/>
        <v>1</v>
      </c>
    </row>
    <row r="29" spans="1:29" ht="15">
      <c r="A29" s="2547"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61" t="s">
        <v>533</v>
      </c>
      <c r="Q29" s="1463" t="str">
        <f t="shared" si="11"/>
        <v>建筑类型</v>
      </c>
      <c r="R29" s="1464" t="s">
        <v>8</v>
      </c>
      <c r="S29" s="1465">
        <f t="shared" si="12"/>
        <v>100</v>
      </c>
      <c r="T29" s="1464" t="s">
        <v>8</v>
      </c>
      <c r="U29" s="1465">
        <f t="shared" si="13"/>
        <v>100</v>
      </c>
      <c r="V29" s="1464" t="s">
        <v>8</v>
      </c>
      <c r="W29" s="1465">
        <f t="shared" si="14"/>
        <v>100</v>
      </c>
      <c r="X29" s="1458"/>
      <c r="Y29" s="3662"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62"/>
      <c r="Q30" s="1492" t="str">
        <f t="shared" si="11"/>
        <v>项目建筑规模</v>
      </c>
      <c r="R30" s="1468" t="s">
        <v>8</v>
      </c>
      <c r="S30" s="1469" t="e">
        <f t="shared" si="12"/>
        <v>#N/A</v>
      </c>
      <c r="T30" s="1468" t="s">
        <v>8</v>
      </c>
      <c r="U30" s="1469" t="e">
        <f t="shared" si="13"/>
        <v>#N/A</v>
      </c>
      <c r="V30" s="1468" t="s">
        <v>8</v>
      </c>
      <c r="W30" s="1469" t="e">
        <f t="shared" si="14"/>
        <v>#N/A</v>
      </c>
      <c r="X30" s="1470"/>
      <c r="Y30" s="3662"/>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62"/>
      <c r="Q31" s="1463" t="str">
        <f t="shared" si="11"/>
        <v>建筑结构</v>
      </c>
      <c r="R31" s="1464" t="s">
        <v>8</v>
      </c>
      <c r="S31" s="1465">
        <f t="shared" si="12"/>
        <v>100</v>
      </c>
      <c r="T31" s="1464" t="s">
        <v>8</v>
      </c>
      <c r="U31" s="1465">
        <f t="shared" si="13"/>
        <v>100</v>
      </c>
      <c r="V31" s="1464" t="s">
        <v>8</v>
      </c>
      <c r="W31" s="1465">
        <f t="shared" si="14"/>
        <v>100</v>
      </c>
      <c r="X31" s="1458"/>
      <c r="Y31" s="3662"/>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62"/>
      <c r="Q32" s="1463" t="str">
        <f t="shared" si="11"/>
        <v>公共部分装修</v>
      </c>
      <c r="R32" s="1464" t="s">
        <v>8</v>
      </c>
      <c r="S32" s="1465">
        <f t="shared" si="12"/>
        <v>100</v>
      </c>
      <c r="T32" s="1464" t="s">
        <v>8</v>
      </c>
      <c r="U32" s="1465">
        <f t="shared" si="13"/>
        <v>100</v>
      </c>
      <c r="V32" s="1464" t="s">
        <v>8</v>
      </c>
      <c r="W32" s="1465">
        <f t="shared" si="14"/>
        <v>100</v>
      </c>
      <c r="X32" s="1458"/>
      <c r="Y32" s="3662"/>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62"/>
      <c r="Q33" s="1463" t="str">
        <f t="shared" si="11"/>
        <v>成新度</v>
      </c>
      <c r="R33" s="1464" t="s">
        <v>8</v>
      </c>
      <c r="S33" s="1465" t="e">
        <f t="shared" si="12"/>
        <v>#N/A</v>
      </c>
      <c r="T33" s="1464" t="s">
        <v>8</v>
      </c>
      <c r="U33" s="1465" t="e">
        <f t="shared" si="13"/>
        <v>#N/A</v>
      </c>
      <c r="V33" s="1464" t="s">
        <v>8</v>
      </c>
      <c r="W33" s="1465" t="e">
        <f t="shared" si="14"/>
        <v>#N/A</v>
      </c>
      <c r="X33" s="1458"/>
      <c r="Y33" s="3662"/>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62"/>
      <c r="Q34" s="1098" t="str">
        <f t="shared" si="11"/>
        <v>物业管理</v>
      </c>
      <c r="R34" s="1459" t="s">
        <v>8</v>
      </c>
      <c r="S34" s="1460">
        <f t="shared" si="12"/>
        <v>100</v>
      </c>
      <c r="T34" s="1459" t="s">
        <v>8</v>
      </c>
      <c r="U34" s="1460">
        <f t="shared" si="13"/>
        <v>100</v>
      </c>
      <c r="V34" s="1459" t="s">
        <v>8</v>
      </c>
      <c r="W34" s="1460">
        <f t="shared" si="14"/>
        <v>100</v>
      </c>
      <c r="X34" s="1461"/>
      <c r="Y34" s="3662"/>
      <c r="Z34" s="1097" t="str">
        <f t="shared" si="15"/>
        <v>物业管理</v>
      </c>
      <c r="AA34" s="1462">
        <f t="shared" si="3"/>
        <v>1</v>
      </c>
      <c r="AB34" s="1462">
        <f t="shared" si="4"/>
        <v>1</v>
      </c>
      <c r="AC34" s="1462">
        <f t="shared" si="5"/>
        <v>1</v>
      </c>
    </row>
    <row r="35" spans="1:29" ht="15">
      <c r="A35" s="571"/>
      <c r="B35" s="1765"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62" t="s">
        <v>533</v>
      </c>
      <c r="Q35" s="1463" t="str">
        <f t="shared" si="11"/>
        <v>市政基础设施</v>
      </c>
      <c r="R35" s="1464" t="s">
        <v>8</v>
      </c>
      <c r="S35" s="1465">
        <f t="shared" si="12"/>
        <v>100</v>
      </c>
      <c r="T35" s="1464" t="s">
        <v>8</v>
      </c>
      <c r="U35" s="1465">
        <f t="shared" si="13"/>
        <v>100</v>
      </c>
      <c r="V35" s="1464" t="s">
        <v>8</v>
      </c>
      <c r="W35" s="1465">
        <f t="shared" si="14"/>
        <v>100</v>
      </c>
      <c r="X35" s="1458"/>
      <c r="Y35" s="3662"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62"/>
      <c r="Q36" s="1463" t="str">
        <f t="shared" si="11"/>
        <v>内部装修</v>
      </c>
      <c r="R36" s="1464" t="s">
        <v>8</v>
      </c>
      <c r="S36" s="1465">
        <f t="shared" si="12"/>
        <v>100</v>
      </c>
      <c r="T36" s="1464" t="s">
        <v>8</v>
      </c>
      <c r="U36" s="1465">
        <f t="shared" si="13"/>
        <v>100</v>
      </c>
      <c r="V36" s="1464" t="s">
        <v>8</v>
      </c>
      <c r="W36" s="1465">
        <f t="shared" si="14"/>
        <v>100</v>
      </c>
      <c r="X36" s="1458"/>
      <c r="Y36" s="3662"/>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62"/>
      <c r="Q37" s="1463" t="str">
        <f t="shared" si="11"/>
        <v>内部装修状况</v>
      </c>
      <c r="R37" s="1464" t="s">
        <v>8</v>
      </c>
      <c r="S37" s="1465">
        <f t="shared" si="12"/>
        <v>100</v>
      </c>
      <c r="T37" s="1464" t="s">
        <v>8</v>
      </c>
      <c r="U37" s="1465">
        <f t="shared" si="13"/>
        <v>100</v>
      </c>
      <c r="V37" s="1464" t="s">
        <v>8</v>
      </c>
      <c r="W37" s="1465">
        <f t="shared" si="14"/>
        <v>100</v>
      </c>
      <c r="X37" s="1458"/>
      <c r="Y37" s="3662"/>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62"/>
      <c r="Q38" s="1492">
        <f t="shared" si="11"/>
        <v>111</v>
      </c>
      <c r="R38" s="1468" t="s">
        <v>8</v>
      </c>
      <c r="S38" s="1469">
        <f t="shared" si="12"/>
        <v>100</v>
      </c>
      <c r="T38" s="1468" t="s">
        <v>8</v>
      </c>
      <c r="U38" s="1469">
        <f t="shared" si="13"/>
        <v>100</v>
      </c>
      <c r="V38" s="1468" t="s">
        <v>8</v>
      </c>
      <c r="W38" s="1469">
        <f t="shared" si="14"/>
        <v>100</v>
      </c>
      <c r="X38" s="1470"/>
      <c r="Y38" s="3662"/>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62"/>
      <c r="Q39" s="1463">
        <f t="shared" si="11"/>
        <v>111</v>
      </c>
      <c r="R39" s="1464" t="s">
        <v>8</v>
      </c>
      <c r="S39" s="1465">
        <f t="shared" si="12"/>
        <v>100</v>
      </c>
      <c r="T39" s="1464" t="s">
        <v>8</v>
      </c>
      <c r="U39" s="1465">
        <f t="shared" si="13"/>
        <v>100</v>
      </c>
      <c r="V39" s="1464" t="s">
        <v>8</v>
      </c>
      <c r="W39" s="1465">
        <f t="shared" si="14"/>
        <v>100</v>
      </c>
      <c r="X39" s="1458"/>
      <c r="Y39" s="3662"/>
      <c r="Z39" s="1466">
        <f t="shared" si="15"/>
        <v>111</v>
      </c>
      <c r="AA39" s="1467">
        <f t="shared" si="3"/>
        <v>1</v>
      </c>
      <c r="AB39" s="1467">
        <f t="shared" si="4"/>
        <v>1</v>
      </c>
      <c r="AC39" s="1467">
        <f t="shared" si="5"/>
        <v>1</v>
      </c>
    </row>
    <row r="40" spans="1:29" ht="15.6"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55"/>
      <c r="Q40" s="1463">
        <f t="shared" si="11"/>
        <v>111</v>
      </c>
      <c r="R40" s="1464" t="s">
        <v>8</v>
      </c>
      <c r="S40" s="1465">
        <f t="shared" si="12"/>
        <v>100</v>
      </c>
      <c r="T40" s="1464" t="s">
        <v>8</v>
      </c>
      <c r="U40" s="1465">
        <f t="shared" si="13"/>
        <v>100</v>
      </c>
      <c r="V40" s="1464" t="s">
        <v>8</v>
      </c>
      <c r="W40" s="1465">
        <f t="shared" si="14"/>
        <v>100</v>
      </c>
      <c r="X40" s="1458"/>
      <c r="Y40" s="3755"/>
      <c r="Z40" s="1466">
        <f t="shared" si="15"/>
        <v>111</v>
      </c>
      <c r="AA40" s="1467">
        <f t="shared" si="3"/>
        <v>1</v>
      </c>
      <c r="AB40" s="1467">
        <f t="shared" si="4"/>
        <v>1</v>
      </c>
      <c r="AC40" s="1467">
        <f t="shared" si="5"/>
        <v>1</v>
      </c>
    </row>
    <row r="41" spans="1:29" ht="14.4">
      <c r="A41" s="584" t="s">
        <v>718</v>
      </c>
      <c r="B41" s="859"/>
      <c r="C41" s="2393" t="s">
        <v>1</v>
      </c>
      <c r="D41" s="2394"/>
      <c r="E41" s="2395"/>
      <c r="F41" s="2396"/>
      <c r="G41" s="2397"/>
      <c r="H41" s="2398"/>
      <c r="I41" s="2395"/>
      <c r="J41" s="2398"/>
      <c r="K41" s="1497"/>
      <c r="L41" s="1981"/>
      <c r="M41" s="1982"/>
      <c r="N41" s="1971"/>
      <c r="O41" s="1982"/>
      <c r="P41" s="3626" t="str">
        <f>A41</f>
        <v>成交单价（元/平方米）</v>
      </c>
      <c r="Q41" s="3626"/>
      <c r="R41" s="3754">
        <f>E41</f>
        <v>0</v>
      </c>
      <c r="S41" s="3754"/>
      <c r="T41" s="3754">
        <f>G41</f>
        <v>0</v>
      </c>
      <c r="U41" s="3754"/>
      <c r="V41" s="3754">
        <f>I41</f>
        <v>0</v>
      </c>
      <c r="W41" s="3754"/>
      <c r="X41" s="1453"/>
      <c r="Y41" s="1472"/>
      <c r="Z41" s="1453"/>
      <c r="AA41" s="1453"/>
      <c r="AB41" s="1453"/>
      <c r="AC41" s="1453"/>
    </row>
    <row r="42" spans="1:29" ht="15" thickBot="1">
      <c r="A42" s="592" t="s">
        <v>2477</v>
      </c>
      <c r="B42" s="860"/>
      <c r="C42" s="2399" t="e">
        <f>R43</f>
        <v>#DIV/0!</v>
      </c>
      <c r="D42" s="2923" t="s">
        <v>2702</v>
      </c>
      <c r="E42" s="2400" t="e">
        <f>R42</f>
        <v>#DIV/0!</v>
      </c>
      <c r="F42" s="2924"/>
      <c r="G42" s="2399" t="e">
        <f>T42</f>
        <v>#DIV/0!</v>
      </c>
      <c r="H42" s="2924"/>
      <c r="I42" s="2400" t="e">
        <f>V42</f>
        <v>#DIV/0!</v>
      </c>
      <c r="J42" s="2924"/>
      <c r="K42" s="2932">
        <f>F42+H42+J42</f>
        <v>0</v>
      </c>
      <c r="L42" s="1981"/>
      <c r="M42" s="1982"/>
      <c r="N42" s="1971"/>
      <c r="O42" s="1982"/>
      <c r="P42" s="3626" t="str">
        <f>A42</f>
        <v>比较价格（元/平方米）</v>
      </c>
      <c r="Q42" s="3626"/>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1453"/>
      <c r="Y42" s="1453"/>
      <c r="Z42" s="1453"/>
      <c r="AA42" s="1453"/>
      <c r="AB42" s="1453"/>
      <c r="AC42" s="1453"/>
    </row>
    <row r="43" spans="1:29" ht="15" thickBot="1">
      <c r="A43" s="596" t="s">
        <v>2637</v>
      </c>
      <c r="B43" s="597"/>
      <c r="C43" s="2401" t="e">
        <f>R43</f>
        <v>#DIV/0!</v>
      </c>
      <c r="D43" s="2401"/>
      <c r="E43" s="2401"/>
      <c r="F43" s="2401"/>
      <c r="G43" s="2401"/>
      <c r="H43" s="2401"/>
      <c r="I43" s="2401"/>
      <c r="J43" s="2401"/>
      <c r="K43" s="1498"/>
      <c r="L43" s="1981"/>
      <c r="M43" s="1982"/>
      <c r="N43" s="1982"/>
      <c r="O43" s="1982"/>
      <c r="P43" s="3663" t="str">
        <f>A43</f>
        <v>估价对象XX用房的比较价格（楼面单价，元/平方米）</v>
      </c>
      <c r="Q43" s="3664"/>
      <c r="R43" s="3753" t="e">
        <f>IF(F1="售价",ROUND(IF(D42="简单平均",AVERAGE(R42:V42),R42*F42+T42*H42+V42*J42),0),ROUND(IF(D42="简单平均",AVERAGE(R42:V42),R42*F42+T42*H42+V42*J42),1))</f>
        <v>#DIV/0!</v>
      </c>
      <c r="S43" s="3753"/>
      <c r="T43" s="3753"/>
      <c r="U43" s="3753"/>
      <c r="V43" s="3753"/>
      <c r="W43" s="3753"/>
      <c r="X43" s="1453"/>
      <c r="Y43" s="1453"/>
      <c r="Z43" s="1453"/>
      <c r="AA43" s="1453"/>
      <c r="AB43" s="1453"/>
      <c r="AC43" s="1453"/>
    </row>
    <row r="44" spans="1:29">
      <c r="A44" s="3123"/>
      <c r="B44" s="3123"/>
      <c r="C44" s="3123"/>
      <c r="D44" s="3123"/>
      <c r="E44" s="3123"/>
      <c r="F44" s="3123"/>
      <c r="G44" s="3125"/>
      <c r="H44" s="3123"/>
      <c r="I44" s="3123"/>
      <c r="J44" s="3123"/>
      <c r="K44" s="3126"/>
      <c r="L44" s="1986"/>
      <c r="M44" s="1982"/>
      <c r="N44" s="1982"/>
      <c r="O44" s="1982"/>
      <c r="P44" s="1982"/>
      <c r="Q44" s="1982"/>
      <c r="R44" s="1982"/>
      <c r="S44" s="1982"/>
      <c r="T44" s="1982"/>
      <c r="U44" s="1982"/>
      <c r="V44" s="1982"/>
      <c r="W44" s="1982"/>
      <c r="X44" s="1982"/>
      <c r="Y44" s="1982"/>
      <c r="Z44" s="1982"/>
      <c r="AA44" s="1982"/>
      <c r="AB44" s="1982"/>
      <c r="AC44" s="1982"/>
    </row>
    <row r="45" spans="1:29">
      <c r="A45" s="3123"/>
      <c r="B45" s="3123"/>
      <c r="C45" s="3123"/>
      <c r="D45" s="3123"/>
      <c r="E45" s="3123"/>
      <c r="F45" s="3123"/>
      <c r="G45" s="3123"/>
      <c r="H45" s="3123"/>
      <c r="I45" s="3123"/>
      <c r="J45" s="3123"/>
      <c r="K45" s="3126"/>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23"/>
      <c r="B46" s="3123"/>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6"/>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23"/>
      <c r="B47" s="3123"/>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6"/>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4"/>
      <c r="B48" s="3124"/>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7"/>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2.2"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4.4">
      <c r="A52" s="620" t="s">
        <v>512</v>
      </c>
      <c r="B52" s="621"/>
      <c r="C52" s="2442" t="str">
        <f>YEAR(C7)&amp;"-"&amp;MONTH(C7)</f>
        <v>1900-1</v>
      </c>
      <c r="D52" s="2444" t="e">
        <f>EDATE(C52,-1)</f>
        <v>#NUM!</v>
      </c>
      <c r="E52" s="2444" t="e">
        <f t="shared" ref="E52:O52" si="16">EDATE(D52,-1)</f>
        <v>#NUM!</v>
      </c>
      <c r="F52" s="2444" t="e">
        <f t="shared" si="16"/>
        <v>#NUM!</v>
      </c>
      <c r="G52" s="2444" t="e">
        <f t="shared" si="16"/>
        <v>#NUM!</v>
      </c>
      <c r="H52" s="2444" t="e">
        <f t="shared" si="16"/>
        <v>#NUM!</v>
      </c>
      <c r="I52" s="2444" t="e">
        <f t="shared" si="16"/>
        <v>#NUM!</v>
      </c>
      <c r="J52" s="2444" t="e">
        <f t="shared" si="16"/>
        <v>#NUM!</v>
      </c>
      <c r="K52" s="2444" t="e">
        <f t="shared" si="16"/>
        <v>#NUM!</v>
      </c>
      <c r="L52" s="2444" t="e">
        <f t="shared" si="16"/>
        <v>#NUM!</v>
      </c>
      <c r="M52" s="2444" t="e">
        <f t="shared" si="16"/>
        <v>#NUM!</v>
      </c>
      <c r="N52" s="2444" t="e">
        <f t="shared" si="16"/>
        <v>#NUM!</v>
      </c>
      <c r="O52" s="2444" t="e">
        <f t="shared" si="16"/>
        <v>#NUM!</v>
      </c>
      <c r="P52" s="1996"/>
      <c r="Q52" s="1997"/>
      <c r="R52" s="1997"/>
      <c r="S52" s="1997"/>
      <c r="T52" s="1997"/>
      <c r="U52" s="1997"/>
      <c r="V52" s="1997"/>
      <c r="W52" s="1997"/>
      <c r="X52" s="1997"/>
      <c r="Y52" s="1997"/>
      <c r="Z52" s="1997"/>
      <c r="AA52" s="1997"/>
      <c r="AB52" s="1997"/>
      <c r="AC52" s="1997"/>
    </row>
    <row r="53" spans="1:29" s="1167" customFormat="1">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4.4">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4.4"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ht="14.4">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4.4"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9.4"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4.4"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4.4"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4.4"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4.4"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4.4"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4.4"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4.4"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4.4"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ht="14.4">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4.4"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4.4"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 thickTop="1">
      <c r="A74" s="644"/>
      <c r="B74" s="1766" t="s">
        <v>2275</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4.4"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 thickTop="1">
      <c r="A76" s="644"/>
      <c r="B76" s="2364" t="s">
        <v>2276</v>
      </c>
      <c r="C76" s="2365" t="s">
        <v>2277</v>
      </c>
      <c r="D76" s="2365" t="s">
        <v>2278</v>
      </c>
      <c r="E76" s="2365" t="s">
        <v>2279</v>
      </c>
      <c r="F76" s="2365" t="s">
        <v>2280</v>
      </c>
      <c r="G76" s="2365" t="s">
        <v>2281</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4.4"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4.4"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4.4"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4.4"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4.4"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4.4"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4.4"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4.4"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4.4"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4.4"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ht="14.4">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4.4"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4.4"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4.4"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4.4"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4.4"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4.4"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2274</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4.4"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4.4"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9.4"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4.4"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4.4"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4.4"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4.4"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4.4"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4.4"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4.4"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3.8"/>
  <cols>
    <col min="1" max="1" width="10.441406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IF(B37="元/平方米",ROUND(B3*D3/10000,0),ROUND(F3*C39/10000,0))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IF(B37="元/平方米",C39,ROUND(B2*10000/D3,0))</f>
        <v>#DIV/0!</v>
      </c>
      <c r="C3" s="824" t="s">
        <v>778</v>
      </c>
      <c r="D3" s="823">
        <f>SUMIF('数据-汇总表'!$C19:$C33,D1,'数据-汇总表'!$E19:$E33)</f>
        <v>0</v>
      </c>
      <c r="E3" s="1718" t="s">
        <v>1868</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4.4">
      <c r="A4" s="489" t="s">
        <v>779</v>
      </c>
      <c r="B4" s="490"/>
      <c r="C4" s="3632" t="s">
        <v>780</v>
      </c>
      <c r="D4" s="3633"/>
      <c r="E4" s="3632" t="s">
        <v>781</v>
      </c>
      <c r="F4" s="3633"/>
      <c r="G4" s="3632" t="s">
        <v>782</v>
      </c>
      <c r="H4" s="3633"/>
      <c r="I4" s="3632" t="s">
        <v>783</v>
      </c>
      <c r="J4" s="3633"/>
      <c r="K4" s="491" t="s">
        <v>784</v>
      </c>
      <c r="L4" s="1970"/>
      <c r="M4" s="1971"/>
      <c r="N4" s="1971"/>
      <c r="O4" s="1971"/>
      <c r="P4" s="3634" t="s">
        <v>785</v>
      </c>
      <c r="Q4" s="3635"/>
      <c r="R4" s="3640" t="s">
        <v>781</v>
      </c>
      <c r="S4" s="3641"/>
      <c r="T4" s="3640" t="s">
        <v>782</v>
      </c>
      <c r="U4" s="3641"/>
      <c r="V4" s="3627" t="s">
        <v>783</v>
      </c>
      <c r="W4" s="3627"/>
      <c r="X4" s="1458"/>
      <c r="Y4" s="3640" t="s">
        <v>785</v>
      </c>
      <c r="Z4" s="3641"/>
      <c r="AA4" s="3629" t="s">
        <v>781</v>
      </c>
      <c r="AB4" s="3630" t="s">
        <v>782</v>
      </c>
      <c r="AC4" s="3629" t="s">
        <v>783</v>
      </c>
    </row>
    <row r="5" spans="1:29">
      <c r="A5" s="492"/>
      <c r="B5" s="493"/>
      <c r="C5" s="3648" t="s">
        <v>2631</v>
      </c>
      <c r="D5" s="3649"/>
      <c r="E5" s="3648" t="s">
        <v>2632</v>
      </c>
      <c r="F5" s="3649"/>
      <c r="G5" s="3648" t="s">
        <v>2633</v>
      </c>
      <c r="H5" s="3649"/>
      <c r="I5" s="3648" t="s">
        <v>2634</v>
      </c>
      <c r="J5" s="3649"/>
      <c r="K5" s="491"/>
      <c r="L5" s="1970"/>
      <c r="M5" s="1971"/>
      <c r="N5" s="1971"/>
      <c r="O5" s="1971"/>
      <c r="P5" s="3636"/>
      <c r="Q5" s="3637"/>
      <c r="R5" s="3642"/>
      <c r="S5" s="3643"/>
      <c r="T5" s="3642"/>
      <c r="U5" s="3643"/>
      <c r="V5" s="3627"/>
      <c r="W5" s="3627"/>
      <c r="X5" s="1458"/>
      <c r="Y5" s="3642"/>
      <c r="Z5" s="3643"/>
      <c r="AA5" s="3630"/>
      <c r="AB5" s="3630"/>
      <c r="AC5" s="3630"/>
    </row>
    <row r="6" spans="1:29" ht="15" thickBot="1">
      <c r="A6" s="494"/>
      <c r="B6" s="495"/>
      <c r="C6" s="3646" t="s">
        <v>2635</v>
      </c>
      <c r="D6" s="3647"/>
      <c r="E6" s="3650" t="s">
        <v>2635</v>
      </c>
      <c r="F6" s="3651"/>
      <c r="G6" s="3646" t="s">
        <v>2635</v>
      </c>
      <c r="H6" s="3647"/>
      <c r="I6" s="3646" t="s">
        <v>2635</v>
      </c>
      <c r="J6" s="3647"/>
      <c r="K6" s="491" t="s">
        <v>511</v>
      </c>
      <c r="L6" s="1970"/>
      <c r="M6" s="1971"/>
      <c r="N6" s="1971"/>
      <c r="O6" s="1971"/>
      <c r="P6" s="3638"/>
      <c r="Q6" s="3639"/>
      <c r="R6" s="3642"/>
      <c r="S6" s="3643"/>
      <c r="T6" s="3644"/>
      <c r="U6" s="3645"/>
      <c r="V6" s="3627"/>
      <c r="W6" s="3627"/>
      <c r="X6" s="1458"/>
      <c r="Y6" s="3644"/>
      <c r="Z6" s="3645"/>
      <c r="AA6" s="3631"/>
      <c r="AB6" s="3631"/>
      <c r="AC6" s="3631"/>
    </row>
    <row r="7" spans="1:29" s="1167" customFormat="1" ht="15" thickBot="1">
      <c r="A7" s="2552"/>
      <c r="B7" s="2559" t="s">
        <v>512</v>
      </c>
      <c r="C7" s="496">
        <f>'数据-取费表'!B2</f>
        <v>0</v>
      </c>
      <c r="D7" s="497">
        <v>100</v>
      </c>
      <c r="E7" s="498"/>
      <c r="F7" s="499">
        <f>SUMIF(48:48,YEAR(E7)&amp;"-"&amp;MONTH(E7),49:49)</f>
        <v>100</v>
      </c>
      <c r="G7" s="500"/>
      <c r="H7" s="497">
        <f>SUMIF(48:48,YEAR(G7)&amp;"-"&amp;MONTH(G7),49:49)</f>
        <v>100</v>
      </c>
      <c r="I7" s="500"/>
      <c r="J7" s="497">
        <f>SUMIF(48:48,YEAR(I7)&amp;"-"&amp;MONTH(I7),49:49)</f>
        <v>100</v>
      </c>
      <c r="K7" s="501"/>
      <c r="L7" s="1972"/>
      <c r="M7" s="1973"/>
      <c r="N7" s="1973"/>
      <c r="O7" s="1973"/>
      <c r="P7" s="3656" t="s">
        <v>513</v>
      </c>
      <c r="Q7" s="3658"/>
      <c r="R7" s="1459" t="s">
        <v>8</v>
      </c>
      <c r="S7" s="1460">
        <f t="shared" ref="S7:S14" si="0">F7</f>
        <v>100</v>
      </c>
      <c r="T7" s="1459" t="s">
        <v>8</v>
      </c>
      <c r="U7" s="1460">
        <f t="shared" ref="U7:U14" si="1">H7</f>
        <v>100</v>
      </c>
      <c r="V7" s="1459" t="s">
        <v>8</v>
      </c>
      <c r="W7" s="1460">
        <f t="shared" ref="W7:W14" si="2">J7</f>
        <v>100</v>
      </c>
      <c r="X7" s="1461"/>
      <c r="Y7" s="3656" t="s">
        <v>513</v>
      </c>
      <c r="Z7" s="3657"/>
      <c r="AA7" s="1462">
        <f>D7/F7</f>
        <v>1</v>
      </c>
      <c r="AB7" s="1462">
        <f>D7/H7</f>
        <v>1</v>
      </c>
      <c r="AC7" s="1462">
        <f>D7/J7</f>
        <v>1</v>
      </c>
    </row>
    <row r="8" spans="1:29" s="1167" customFormat="1" ht="15" thickBot="1">
      <c r="A8" s="2553"/>
      <c r="B8" s="2560" t="s">
        <v>514</v>
      </c>
      <c r="C8" s="502" t="s">
        <v>558</v>
      </c>
      <c r="D8" s="497">
        <v>100</v>
      </c>
      <c r="E8" s="502"/>
      <c r="F8" s="499">
        <f>SUMIF(51:51,E8,52:52)-SUMIF(51:51,C8,52:52)+100</f>
        <v>0</v>
      </c>
      <c r="G8" s="502"/>
      <c r="H8" s="497">
        <f>SUMIF(51:51,G8,52:52)-SUMIF(51:51,C8,52:52)+100</f>
        <v>0</v>
      </c>
      <c r="I8" s="502"/>
      <c r="J8" s="497">
        <f>SUMIF(51:51,I8,52:52)-SUMIF(51:51,C8,52:52)+100</f>
        <v>0</v>
      </c>
      <c r="K8" s="501"/>
      <c r="L8" s="1972"/>
      <c r="M8" s="1973"/>
      <c r="N8" s="1973"/>
      <c r="O8" s="1973"/>
      <c r="P8" s="3656" t="s">
        <v>516</v>
      </c>
      <c r="Q8" s="3657"/>
      <c r="R8" s="1459" t="s">
        <v>8</v>
      </c>
      <c r="S8" s="1460">
        <f t="shared" si="0"/>
        <v>0</v>
      </c>
      <c r="T8" s="1459" t="s">
        <v>8</v>
      </c>
      <c r="U8" s="1460">
        <f t="shared" si="1"/>
        <v>0</v>
      </c>
      <c r="V8" s="1459" t="s">
        <v>8</v>
      </c>
      <c r="W8" s="1460">
        <f t="shared" si="2"/>
        <v>0</v>
      </c>
      <c r="X8" s="1461"/>
      <c r="Y8" s="3656" t="s">
        <v>516</v>
      </c>
      <c r="Z8" s="3657"/>
      <c r="AA8" s="1462" t="e">
        <f t="shared" ref="AA8:AA36" si="3">D8/F8</f>
        <v>#DIV/0!</v>
      </c>
      <c r="AB8" s="1462" t="e">
        <f t="shared" ref="AB8:AB36" si="4">D8/H8</f>
        <v>#DIV/0!</v>
      </c>
      <c r="AC8" s="1462" t="e">
        <f t="shared" ref="AC8:AC36" si="5">D8/J8</f>
        <v>#DIV/0!</v>
      </c>
    </row>
    <row r="9" spans="1:29" s="1167" customFormat="1" ht="14.4">
      <c r="A9" s="2554"/>
      <c r="B9" s="2561" t="s">
        <v>2473</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26" t="s">
        <v>518</v>
      </c>
      <c r="Q9" s="1098" t="str">
        <f t="shared" ref="Q9:Q14" si="6">B9</f>
        <v>用途</v>
      </c>
      <c r="R9" s="1459" t="s">
        <v>8</v>
      </c>
      <c r="S9" s="1460">
        <f t="shared" si="0"/>
        <v>100</v>
      </c>
      <c r="T9" s="1459" t="s">
        <v>8</v>
      </c>
      <c r="U9" s="1460">
        <f t="shared" si="1"/>
        <v>100</v>
      </c>
      <c r="V9" s="1459" t="s">
        <v>8</v>
      </c>
      <c r="W9" s="1460">
        <f t="shared" si="2"/>
        <v>100</v>
      </c>
      <c r="X9" s="1461"/>
      <c r="Y9" s="3570" t="s">
        <v>519</v>
      </c>
      <c r="Z9" s="1097" t="str">
        <f t="shared" ref="Z9:Z14" si="7">Q9</f>
        <v>用途</v>
      </c>
      <c r="AA9" s="1462">
        <f t="shared" si="3"/>
        <v>1</v>
      </c>
      <c r="AB9" s="1462">
        <f t="shared" si="4"/>
        <v>1</v>
      </c>
      <c r="AC9" s="1462">
        <f t="shared" si="5"/>
        <v>1</v>
      </c>
    </row>
    <row r="10" spans="1:29" s="1248" customFormat="1" ht="28.8">
      <c r="A10" s="2555"/>
      <c r="B10" s="2560" t="s">
        <v>2474</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26"/>
      <c r="Q10" s="1098" t="str">
        <f t="shared" si="6"/>
        <v>土地使用年限（年）</v>
      </c>
      <c r="R10" s="1459" t="s">
        <v>8</v>
      </c>
      <c r="S10" s="1460">
        <f t="shared" si="0"/>
        <v>100</v>
      </c>
      <c r="T10" s="1459" t="s">
        <v>8</v>
      </c>
      <c r="U10" s="1460">
        <f t="shared" si="1"/>
        <v>100</v>
      </c>
      <c r="V10" s="1459" t="s">
        <v>8</v>
      </c>
      <c r="W10" s="1460">
        <f t="shared" si="2"/>
        <v>100</v>
      </c>
      <c r="X10" s="1461"/>
      <c r="Y10" s="3570"/>
      <c r="Z10" s="1097" t="str">
        <f t="shared" si="7"/>
        <v>土地使用年限（年）</v>
      </c>
      <c r="AA10" s="1462">
        <f t="shared" si="3"/>
        <v>1</v>
      </c>
      <c r="AB10" s="1462">
        <f t="shared" si="4"/>
        <v>1</v>
      </c>
      <c r="AC10" s="1462">
        <f t="shared" si="5"/>
        <v>1</v>
      </c>
    </row>
    <row r="11" spans="1:29" ht="15">
      <c r="A11" s="2557"/>
      <c r="B11" s="2563">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26"/>
      <c r="Q11" s="1098">
        <f t="shared" si="6"/>
        <v>111</v>
      </c>
      <c r="R11" s="1459" t="s">
        <v>8</v>
      </c>
      <c r="S11" s="1460">
        <f t="shared" si="0"/>
        <v>100</v>
      </c>
      <c r="T11" s="1459" t="s">
        <v>8</v>
      </c>
      <c r="U11" s="1460">
        <f t="shared" si="1"/>
        <v>100</v>
      </c>
      <c r="V11" s="1459" t="s">
        <v>8</v>
      </c>
      <c r="W11" s="1460">
        <f t="shared" si="2"/>
        <v>100</v>
      </c>
      <c r="X11" s="1461"/>
      <c r="Y11" s="3570"/>
      <c r="Z11" s="1097">
        <f t="shared" si="7"/>
        <v>111</v>
      </c>
      <c r="AA11" s="1462">
        <f t="shared" si="3"/>
        <v>1</v>
      </c>
      <c r="AB11" s="1462">
        <f t="shared" si="4"/>
        <v>1</v>
      </c>
      <c r="AC11" s="1462">
        <f t="shared" si="5"/>
        <v>1</v>
      </c>
    </row>
    <row r="12" spans="1:29" s="1167" customFormat="1" ht="15">
      <c r="A12" s="2557"/>
      <c r="B12" s="2563">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26"/>
      <c r="Q12" s="1098">
        <f t="shared" si="6"/>
        <v>111</v>
      </c>
      <c r="R12" s="1459" t="s">
        <v>8</v>
      </c>
      <c r="S12" s="1460">
        <f t="shared" si="0"/>
        <v>100</v>
      </c>
      <c r="T12" s="1459" t="s">
        <v>8</v>
      </c>
      <c r="U12" s="1460">
        <f t="shared" si="1"/>
        <v>100</v>
      </c>
      <c r="V12" s="1459" t="s">
        <v>8</v>
      </c>
      <c r="W12" s="1460">
        <f t="shared" si="2"/>
        <v>100</v>
      </c>
      <c r="X12" s="1461"/>
      <c r="Y12" s="3570"/>
      <c r="Z12" s="1097">
        <f t="shared" si="7"/>
        <v>111</v>
      </c>
      <c r="AA12" s="1462">
        <f>D12/F12</f>
        <v>1</v>
      </c>
      <c r="AB12" s="1462">
        <f>D12/H12</f>
        <v>1</v>
      </c>
      <c r="AC12" s="1462">
        <f>D12/J12</f>
        <v>1</v>
      </c>
    </row>
    <row r="13" spans="1:29" ht="15.6" thickBot="1">
      <c r="A13" s="2558"/>
      <c r="B13" s="2564">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26"/>
      <c r="Q13" s="1098">
        <f t="shared" si="6"/>
        <v>111</v>
      </c>
      <c r="R13" s="1459" t="s">
        <v>8</v>
      </c>
      <c r="S13" s="1460">
        <f t="shared" si="0"/>
        <v>100</v>
      </c>
      <c r="T13" s="1459" t="s">
        <v>8</v>
      </c>
      <c r="U13" s="1460">
        <f t="shared" si="1"/>
        <v>100</v>
      </c>
      <c r="V13" s="1459" t="s">
        <v>8</v>
      </c>
      <c r="W13" s="1460">
        <f t="shared" si="2"/>
        <v>100</v>
      </c>
      <c r="X13" s="1461"/>
      <c r="Y13" s="3570"/>
      <c r="Z13" s="1097">
        <f t="shared" si="7"/>
        <v>111</v>
      </c>
      <c r="AA13" s="1462">
        <f t="shared" si="3"/>
        <v>1</v>
      </c>
      <c r="AB13" s="1462">
        <f t="shared" si="4"/>
        <v>1</v>
      </c>
      <c r="AC13" s="1462">
        <f t="shared" si="5"/>
        <v>1</v>
      </c>
    </row>
    <row r="14" spans="1:29" ht="96.6">
      <c r="A14" s="2550"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9"/>
      <c r="M14" s="1971"/>
      <c r="N14" s="1971"/>
      <c r="O14" s="1978"/>
      <c r="P14" s="3659" t="s">
        <v>523</v>
      </c>
      <c r="Q14" s="1463" t="str">
        <f t="shared" si="6"/>
        <v>交通便捷度</v>
      </c>
      <c r="R14" s="1464" t="s">
        <v>8</v>
      </c>
      <c r="S14" s="1465">
        <f t="shared" si="0"/>
        <v>100</v>
      </c>
      <c r="T14" s="1464" t="s">
        <v>8</v>
      </c>
      <c r="U14" s="1465">
        <f t="shared" si="1"/>
        <v>100</v>
      </c>
      <c r="V14" s="1464" t="s">
        <v>8</v>
      </c>
      <c r="W14" s="1465">
        <f t="shared" si="2"/>
        <v>100</v>
      </c>
      <c r="X14" s="1458"/>
      <c r="Y14" s="3659"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9"/>
      <c r="M15" s="1971"/>
      <c r="N15" s="1971"/>
      <c r="O15" s="1978"/>
      <c r="P15" s="3660"/>
      <c r="Q15" s="1463"/>
      <c r="R15" s="1464"/>
      <c r="S15" s="1465"/>
      <c r="T15" s="1464"/>
      <c r="U15" s="1465"/>
      <c r="V15" s="1464"/>
      <c r="W15" s="1465"/>
      <c r="X15" s="1458"/>
      <c r="Y15" s="3660"/>
      <c r="Z15" s="1466"/>
      <c r="AA15" s="1467">
        <v>1</v>
      </c>
      <c r="AB15" s="1467">
        <v>1</v>
      </c>
      <c r="AC15" s="1467">
        <v>1</v>
      </c>
    </row>
    <row r="16" spans="1:29" ht="41.4">
      <c r="A16" s="492"/>
      <c r="B16" s="2370"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60"/>
      <c r="Q16" s="1463" t="str">
        <f>B16</f>
        <v>公共配套设施</v>
      </c>
      <c r="R16" s="1464" t="s">
        <v>8</v>
      </c>
      <c r="S16" s="1465">
        <f>F16</f>
        <v>100</v>
      </c>
      <c r="T16" s="1464" t="s">
        <v>8</v>
      </c>
      <c r="U16" s="1465">
        <f>H16</f>
        <v>100</v>
      </c>
      <c r="V16" s="1464" t="s">
        <v>8</v>
      </c>
      <c r="W16" s="1465">
        <f>J16</f>
        <v>100</v>
      </c>
      <c r="X16" s="1458"/>
      <c r="Y16" s="3660"/>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60"/>
      <c r="Q17" s="1463"/>
      <c r="R17" s="1464"/>
      <c r="S17" s="1465"/>
      <c r="T17" s="1464"/>
      <c r="U17" s="1465"/>
      <c r="V17" s="1464"/>
      <c r="W17" s="1465"/>
      <c r="X17" s="1458"/>
      <c r="Y17" s="3660"/>
      <c r="Z17" s="1466"/>
      <c r="AA17" s="1467">
        <v>1</v>
      </c>
      <c r="AB17" s="1467">
        <v>1</v>
      </c>
      <c r="AC17" s="1467">
        <v>1</v>
      </c>
    </row>
    <row r="18" spans="1:29" ht="41.4">
      <c r="A18" s="492"/>
      <c r="B18" s="2358"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60"/>
      <c r="Q18" s="2352" t="str">
        <f>B18</f>
        <v>基础设施水平</v>
      </c>
      <c r="R18" s="1464" t="s">
        <v>8</v>
      </c>
      <c r="S18" s="1465">
        <f>F18</f>
        <v>100</v>
      </c>
      <c r="T18" s="1464" t="s">
        <v>8</v>
      </c>
      <c r="U18" s="1465">
        <f>H18</f>
        <v>100</v>
      </c>
      <c r="V18" s="1464" t="s">
        <v>8</v>
      </c>
      <c r="W18" s="1465">
        <f>J18</f>
        <v>100</v>
      </c>
      <c r="X18" s="2354"/>
      <c r="Y18" s="3660"/>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60"/>
      <c r="Q19" s="2352"/>
      <c r="R19" s="1464"/>
      <c r="S19" s="1465"/>
      <c r="T19" s="1464"/>
      <c r="U19" s="1465"/>
      <c r="V19" s="1464"/>
      <c r="W19" s="1465"/>
      <c r="X19" s="2354"/>
      <c r="Y19" s="3660"/>
      <c r="Z19" s="2353"/>
      <c r="AA19" s="1467">
        <v>1</v>
      </c>
      <c r="AB19" s="1467">
        <v>1</v>
      </c>
      <c r="AC19" s="1467">
        <v>1</v>
      </c>
    </row>
    <row r="20" spans="1:29" ht="55.2">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60"/>
      <c r="Q20" s="1463" t="str">
        <f>B20</f>
        <v>自然及人文环境</v>
      </c>
      <c r="R20" s="1464" t="s">
        <v>8</v>
      </c>
      <c r="S20" s="1465">
        <f>F20</f>
        <v>100</v>
      </c>
      <c r="T20" s="1464" t="s">
        <v>8</v>
      </c>
      <c r="U20" s="1465">
        <f>H20</f>
        <v>100</v>
      </c>
      <c r="V20" s="1464" t="s">
        <v>8</v>
      </c>
      <c r="W20" s="1465">
        <f>J20</f>
        <v>100</v>
      </c>
      <c r="X20" s="1458"/>
      <c r="Y20" s="3660"/>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60"/>
      <c r="Q21" s="1463"/>
      <c r="R21" s="1464"/>
      <c r="S21" s="1465"/>
      <c r="T21" s="1464"/>
      <c r="U21" s="1465"/>
      <c r="V21" s="1464"/>
      <c r="W21" s="1465"/>
      <c r="X21" s="1458"/>
      <c r="Y21" s="3660"/>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60"/>
      <c r="Q22" s="1463" t="str">
        <f>B22</f>
        <v>楼层</v>
      </c>
      <c r="R22" s="1464" t="s">
        <v>8</v>
      </c>
      <c r="S22" s="1465">
        <f>F22</f>
        <v>100</v>
      </c>
      <c r="T22" s="1464" t="s">
        <v>8</v>
      </c>
      <c r="U22" s="1465">
        <f>H22</f>
        <v>100</v>
      </c>
      <c r="V22" s="1464" t="s">
        <v>8</v>
      </c>
      <c r="W22" s="1465">
        <f>J22</f>
        <v>100</v>
      </c>
      <c r="X22" s="1458"/>
      <c r="Y22" s="3660"/>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60"/>
      <c r="Q23" s="1463">
        <f>B23</f>
        <v>111</v>
      </c>
      <c r="R23" s="1464" t="s">
        <v>8</v>
      </c>
      <c r="S23" s="1465">
        <f>F23</f>
        <v>100</v>
      </c>
      <c r="T23" s="1464" t="s">
        <v>8</v>
      </c>
      <c r="U23" s="1465">
        <f>H23</f>
        <v>100</v>
      </c>
      <c r="V23" s="1464" t="s">
        <v>8</v>
      </c>
      <c r="W23" s="1465">
        <f>J23</f>
        <v>100</v>
      </c>
      <c r="X23" s="1458"/>
      <c r="Y23" s="3660"/>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60"/>
      <c r="Q24" s="1463">
        <f t="shared" ref="Q24:Q36" si="11">B24</f>
        <v>111</v>
      </c>
      <c r="R24" s="1464" t="s">
        <v>8</v>
      </c>
      <c r="S24" s="1465">
        <f>F24</f>
        <v>100</v>
      </c>
      <c r="T24" s="1464" t="s">
        <v>8</v>
      </c>
      <c r="U24" s="1465">
        <f>H24</f>
        <v>100</v>
      </c>
      <c r="V24" s="1464" t="s">
        <v>8</v>
      </c>
      <c r="W24" s="1465">
        <f>J24</f>
        <v>100</v>
      </c>
      <c r="X24" s="1458"/>
      <c r="Y24" s="3660"/>
      <c r="Z24" s="1466">
        <f>Q24</f>
        <v>111</v>
      </c>
      <c r="AA24" s="1467">
        <f t="shared" si="3"/>
        <v>1</v>
      </c>
      <c r="AB24" s="1467">
        <f t="shared" si="4"/>
        <v>1</v>
      </c>
      <c r="AC24" s="1467">
        <f t="shared" si="5"/>
        <v>1</v>
      </c>
    </row>
    <row r="25" spans="1:29" s="1167" customFormat="1" ht="15.6"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60"/>
      <c r="Q25" s="1098">
        <f t="shared" si="11"/>
        <v>111</v>
      </c>
      <c r="R25" s="1459" t="s">
        <v>8</v>
      </c>
      <c r="S25" s="1460">
        <f>F25</f>
        <v>100</v>
      </c>
      <c r="T25" s="1459" t="s">
        <v>8</v>
      </c>
      <c r="U25" s="1460">
        <f>H25</f>
        <v>100</v>
      </c>
      <c r="V25" s="1459" t="s">
        <v>8</v>
      </c>
      <c r="W25" s="1460">
        <f>J25</f>
        <v>100</v>
      </c>
      <c r="X25" s="1461"/>
      <c r="Y25" s="3660"/>
      <c r="Z25" s="1097">
        <f>Q25</f>
        <v>111</v>
      </c>
      <c r="AA25" s="1467">
        <f>D25/F25</f>
        <v>1</v>
      </c>
      <c r="AB25" s="1467">
        <f>D25/H25</f>
        <v>1</v>
      </c>
      <c r="AC25" s="1467">
        <f>D25/J25</f>
        <v>1</v>
      </c>
    </row>
    <row r="26" spans="1:29" ht="15">
      <c r="A26" s="2547"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9"/>
      <c r="M26" s="1971"/>
      <c r="N26" s="1971"/>
      <c r="O26" s="1978"/>
      <c r="P26" s="3661"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62"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62"/>
      <c r="Q27" s="1492" t="str">
        <f t="shared" si="11"/>
        <v>项目停车位配比</v>
      </c>
      <c r="R27" s="1468" t="s">
        <v>8</v>
      </c>
      <c r="S27" s="1469">
        <f t="shared" si="12"/>
        <v>100</v>
      </c>
      <c r="T27" s="1468" t="s">
        <v>8</v>
      </c>
      <c r="U27" s="1469">
        <f t="shared" si="13"/>
        <v>100</v>
      </c>
      <c r="V27" s="1468" t="s">
        <v>8</v>
      </c>
      <c r="W27" s="1469">
        <f t="shared" si="14"/>
        <v>100</v>
      </c>
      <c r="X27" s="1470"/>
      <c r="Y27" s="3662"/>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62"/>
      <c r="Q28" s="1463" t="str">
        <f t="shared" si="11"/>
        <v>公共部分装修</v>
      </c>
      <c r="R28" s="1464" t="s">
        <v>8</v>
      </c>
      <c r="S28" s="1465">
        <f t="shared" si="12"/>
        <v>100</v>
      </c>
      <c r="T28" s="1464" t="s">
        <v>8</v>
      </c>
      <c r="U28" s="1465">
        <f t="shared" si="13"/>
        <v>100</v>
      </c>
      <c r="V28" s="1464" t="s">
        <v>8</v>
      </c>
      <c r="W28" s="1465">
        <f t="shared" si="14"/>
        <v>100</v>
      </c>
      <c r="X28" s="1458"/>
      <c r="Y28" s="3662"/>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9"/>
      <c r="M29" s="1971"/>
      <c r="N29" s="1971"/>
      <c r="O29" s="1978"/>
      <c r="P29" s="3662"/>
      <c r="Q29" s="1463" t="str">
        <f t="shared" si="11"/>
        <v>成新率</v>
      </c>
      <c r="R29" s="1464" t="s">
        <v>8</v>
      </c>
      <c r="S29" s="1465" t="e">
        <f t="shared" si="12"/>
        <v>#N/A</v>
      </c>
      <c r="T29" s="1464" t="s">
        <v>8</v>
      </c>
      <c r="U29" s="1465" t="e">
        <f t="shared" si="13"/>
        <v>#N/A</v>
      </c>
      <c r="V29" s="1464" t="s">
        <v>8</v>
      </c>
      <c r="W29" s="1465" t="e">
        <f t="shared" si="14"/>
        <v>#N/A</v>
      </c>
      <c r="X29" s="1458"/>
      <c r="Y29" s="3662"/>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62"/>
      <c r="Q30" s="1463" t="str">
        <f t="shared" si="11"/>
        <v>物业等级</v>
      </c>
      <c r="R30" s="1464" t="s">
        <v>8</v>
      </c>
      <c r="S30" s="1465">
        <f t="shared" si="12"/>
        <v>100</v>
      </c>
      <c r="T30" s="1464" t="s">
        <v>8</v>
      </c>
      <c r="U30" s="1465">
        <f t="shared" si="13"/>
        <v>100</v>
      </c>
      <c r="V30" s="1464" t="s">
        <v>8</v>
      </c>
      <c r="W30" s="1465">
        <f t="shared" si="14"/>
        <v>100</v>
      </c>
      <c r="X30" s="1458"/>
      <c r="Y30" s="3662"/>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2"/>
      <c r="M31" s="1973"/>
      <c r="N31" s="1973"/>
      <c r="O31" s="1974"/>
      <c r="P31" s="3662"/>
      <c r="Q31" s="1098" t="str">
        <f t="shared" si="11"/>
        <v>停车位面积</v>
      </c>
      <c r="R31" s="1459" t="s">
        <v>8</v>
      </c>
      <c r="S31" s="1460" t="e">
        <f t="shared" si="12"/>
        <v>#N/A</v>
      </c>
      <c r="T31" s="1459" t="s">
        <v>8</v>
      </c>
      <c r="U31" s="1460" t="e">
        <f t="shared" si="13"/>
        <v>#N/A</v>
      </c>
      <c r="V31" s="1459" t="s">
        <v>8</v>
      </c>
      <c r="W31" s="1460" t="e">
        <f t="shared" si="14"/>
        <v>#N/A</v>
      </c>
      <c r="X31" s="1461"/>
      <c r="Y31" s="3662"/>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62" t="s">
        <v>533</v>
      </c>
      <c r="Q32" s="1463" t="str">
        <f t="shared" si="11"/>
        <v>车位类型</v>
      </c>
      <c r="R32" s="1464" t="s">
        <v>8</v>
      </c>
      <c r="S32" s="1465">
        <f t="shared" si="12"/>
        <v>100</v>
      </c>
      <c r="T32" s="1464" t="s">
        <v>8</v>
      </c>
      <c r="U32" s="1465">
        <f t="shared" si="13"/>
        <v>100</v>
      </c>
      <c r="V32" s="1464" t="s">
        <v>8</v>
      </c>
      <c r="W32" s="1465">
        <f t="shared" si="14"/>
        <v>100</v>
      </c>
      <c r="X32" s="1458"/>
      <c r="Y32" s="3662"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62"/>
      <c r="Q33" s="1463" t="str">
        <f t="shared" si="11"/>
        <v>是否直接入户</v>
      </c>
      <c r="R33" s="1464" t="s">
        <v>8</v>
      </c>
      <c r="S33" s="1465">
        <f t="shared" si="12"/>
        <v>100</v>
      </c>
      <c r="T33" s="1464" t="s">
        <v>8</v>
      </c>
      <c r="U33" s="1465">
        <f t="shared" si="13"/>
        <v>100</v>
      </c>
      <c r="V33" s="1464" t="s">
        <v>8</v>
      </c>
      <c r="W33" s="1465">
        <f t="shared" si="14"/>
        <v>100</v>
      </c>
      <c r="X33" s="1458"/>
      <c r="Y33" s="3662"/>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62"/>
      <c r="Q34" s="1463">
        <f t="shared" si="11"/>
        <v>111</v>
      </c>
      <c r="R34" s="1464" t="s">
        <v>8</v>
      </c>
      <c r="S34" s="1465">
        <f t="shared" si="12"/>
        <v>100</v>
      </c>
      <c r="T34" s="1464" t="s">
        <v>8</v>
      </c>
      <c r="U34" s="1465">
        <f t="shared" si="13"/>
        <v>100</v>
      </c>
      <c r="V34" s="1464" t="s">
        <v>8</v>
      </c>
      <c r="W34" s="1465">
        <f t="shared" si="14"/>
        <v>100</v>
      </c>
      <c r="X34" s="1458"/>
      <c r="Y34" s="3662"/>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62"/>
      <c r="Q35" s="1492">
        <f t="shared" si="11"/>
        <v>111</v>
      </c>
      <c r="R35" s="1468" t="s">
        <v>8</v>
      </c>
      <c r="S35" s="1469">
        <f t="shared" si="12"/>
        <v>100</v>
      </c>
      <c r="T35" s="1468" t="s">
        <v>8</v>
      </c>
      <c r="U35" s="1469">
        <f t="shared" si="13"/>
        <v>100</v>
      </c>
      <c r="V35" s="1468" t="s">
        <v>8</v>
      </c>
      <c r="W35" s="1469">
        <f t="shared" si="14"/>
        <v>100</v>
      </c>
      <c r="X35" s="1470"/>
      <c r="Y35" s="3662"/>
      <c r="Z35" s="1471">
        <f t="shared" si="15"/>
        <v>111</v>
      </c>
      <c r="AA35" s="1467">
        <f t="shared" si="3"/>
        <v>1</v>
      </c>
      <c r="AB35" s="1467">
        <f t="shared" si="4"/>
        <v>1</v>
      </c>
      <c r="AC35" s="1467">
        <f t="shared" si="5"/>
        <v>1</v>
      </c>
    </row>
    <row r="36" spans="1:29" ht="15.6"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62"/>
      <c r="Q36" s="1463">
        <f t="shared" si="11"/>
        <v>111</v>
      </c>
      <c r="R36" s="1464" t="s">
        <v>8</v>
      </c>
      <c r="S36" s="1465">
        <f t="shared" si="12"/>
        <v>100</v>
      </c>
      <c r="T36" s="1464" t="s">
        <v>8</v>
      </c>
      <c r="U36" s="1465">
        <f t="shared" si="13"/>
        <v>100</v>
      </c>
      <c r="V36" s="1464" t="s">
        <v>8</v>
      </c>
      <c r="W36" s="1465">
        <f t="shared" si="14"/>
        <v>100</v>
      </c>
      <c r="X36" s="1458"/>
      <c r="Y36" s="3662"/>
      <c r="Z36" s="1466">
        <f t="shared" si="15"/>
        <v>111</v>
      </c>
      <c r="AA36" s="1467">
        <f t="shared" si="3"/>
        <v>1</v>
      </c>
      <c r="AB36" s="1467">
        <f t="shared" si="4"/>
        <v>1</v>
      </c>
      <c r="AC36" s="1467">
        <f t="shared" si="5"/>
        <v>1</v>
      </c>
    </row>
    <row r="37" spans="1:29" ht="14.4">
      <c r="A37" s="1716" t="s">
        <v>1869</v>
      </c>
      <c r="B37" s="1717" t="s">
        <v>1870</v>
      </c>
      <c r="C37" s="2393" t="s">
        <v>1</v>
      </c>
      <c r="D37" s="2394"/>
      <c r="E37" s="2395"/>
      <c r="F37" s="2396"/>
      <c r="G37" s="2397"/>
      <c r="H37" s="2398"/>
      <c r="I37" s="2395"/>
      <c r="J37" s="2398"/>
      <c r="K37" s="1497"/>
      <c r="L37" s="1981"/>
      <c r="M37" s="1982"/>
      <c r="N37" s="1971"/>
      <c r="O37" s="1982"/>
      <c r="P37" s="3626" t="str">
        <f>A37</f>
        <v>成交单价</v>
      </c>
      <c r="Q37" s="3626"/>
      <c r="R37" s="3754">
        <f>E37</f>
        <v>0</v>
      </c>
      <c r="S37" s="3754"/>
      <c r="T37" s="3754">
        <f>G37</f>
        <v>0</v>
      </c>
      <c r="U37" s="3754"/>
      <c r="V37" s="3754">
        <f>I37</f>
        <v>0</v>
      </c>
      <c r="W37" s="3754"/>
      <c r="X37" s="1453"/>
      <c r="Y37" s="1472"/>
      <c r="Z37" s="1453"/>
      <c r="AA37" s="1453"/>
      <c r="AB37" s="1453"/>
      <c r="AC37" s="1453"/>
    </row>
    <row r="38" spans="1:29" ht="15" thickBot="1">
      <c r="A38" s="592" t="s">
        <v>2477</v>
      </c>
      <c r="B38" s="860"/>
      <c r="C38" s="2399" t="e">
        <f>R39</f>
        <v>#DIV/0!</v>
      </c>
      <c r="D38" s="2923" t="s">
        <v>2702</v>
      </c>
      <c r="E38" s="2400" t="e">
        <f>R38</f>
        <v>#DIV/0!</v>
      </c>
      <c r="F38" s="2924"/>
      <c r="G38" s="2399" t="e">
        <f>T38</f>
        <v>#DIV/0!</v>
      </c>
      <c r="H38" s="2924"/>
      <c r="I38" s="2400" t="e">
        <f>V38</f>
        <v>#DIV/0!</v>
      </c>
      <c r="J38" s="2924"/>
      <c r="K38" s="2932">
        <f>F38+H38+J38</f>
        <v>0</v>
      </c>
      <c r="L38" s="1981"/>
      <c r="M38" s="1982"/>
      <c r="N38" s="1982"/>
      <c r="O38" s="1982"/>
      <c r="P38" s="3626" t="str">
        <f>A38</f>
        <v>比较价格（元/平方米）</v>
      </c>
      <c r="Q38" s="3626"/>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1453"/>
      <c r="Y38" s="1453"/>
      <c r="Z38" s="1453"/>
      <c r="AA38" s="1453"/>
      <c r="AB38" s="1453"/>
      <c r="AC38" s="1453"/>
    </row>
    <row r="39" spans="1:29" ht="15" thickBot="1">
      <c r="A39" s="596" t="s">
        <v>2637</v>
      </c>
      <c r="B39" s="597"/>
      <c r="C39" s="2401" t="e">
        <f>R39</f>
        <v>#DIV/0!</v>
      </c>
      <c r="D39" s="2401"/>
      <c r="E39" s="2401"/>
      <c r="F39" s="2401"/>
      <c r="G39" s="2401"/>
      <c r="H39" s="2401"/>
      <c r="I39" s="2401"/>
      <c r="J39" s="2401"/>
      <c r="K39" s="1498"/>
      <c r="L39" s="1981"/>
      <c r="M39" s="1982"/>
      <c r="N39" s="1982"/>
      <c r="O39" s="1982"/>
      <c r="P39" s="3663" t="str">
        <f>A39</f>
        <v>估价对象XX用房的比较价格（楼面单价，元/平方米）</v>
      </c>
      <c r="Q39" s="3664"/>
      <c r="R39" s="3753" t="e">
        <f>IF(F1="售价",ROUND(IF(D38="简单平均",AVERAGE(R38:W38),R38*F38+T38*H38+V38*J38),0),ROUND(IF(D38="简单平均",AVERAGE(R38:V38),R38*F38+T38*H38+V38*J38),1))</f>
        <v>#DIV/0!</v>
      </c>
      <c r="S39" s="3753"/>
      <c r="T39" s="3753"/>
      <c r="U39" s="3753"/>
      <c r="V39" s="3753"/>
      <c r="W39" s="3753"/>
      <c r="X39" s="1453"/>
      <c r="Y39" s="1453"/>
      <c r="Z39" s="1453"/>
      <c r="AA39" s="1453"/>
      <c r="AB39" s="1453"/>
      <c r="AC39" s="1453"/>
    </row>
    <row r="40" spans="1:29">
      <c r="A40" s="3123"/>
      <c r="B40" s="3123"/>
      <c r="C40" s="3123"/>
      <c r="D40" s="3123"/>
      <c r="E40" s="3123"/>
      <c r="F40" s="3123"/>
      <c r="G40" s="3125"/>
      <c r="H40" s="3123"/>
      <c r="I40" s="3123"/>
      <c r="J40" s="3123"/>
      <c r="K40" s="3126"/>
      <c r="L40" s="1986"/>
      <c r="M40" s="1982"/>
      <c r="N40" s="1982"/>
      <c r="O40" s="1982"/>
      <c r="P40" s="1982"/>
      <c r="Q40" s="1982"/>
      <c r="R40" s="1982"/>
      <c r="S40" s="1982"/>
      <c r="T40" s="1982"/>
      <c r="U40" s="1982"/>
      <c r="V40" s="1982"/>
      <c r="W40" s="1982"/>
      <c r="X40" s="1982"/>
      <c r="Y40" s="1982"/>
      <c r="Z40" s="1982"/>
      <c r="AA40" s="1982"/>
      <c r="AB40" s="1982"/>
      <c r="AC40" s="1982"/>
    </row>
    <row r="41" spans="1:29">
      <c r="A41" s="3123"/>
      <c r="B41" s="3123"/>
      <c r="C41" s="3123"/>
      <c r="D41" s="3123"/>
      <c r="E41" s="3123"/>
      <c r="F41" s="3123"/>
      <c r="G41" s="3123"/>
      <c r="H41" s="3123"/>
      <c r="I41" s="3123"/>
      <c r="J41" s="3123"/>
      <c r="K41" s="3126"/>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23"/>
      <c r="B42" s="3123"/>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6"/>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23"/>
      <c r="B43" s="3123"/>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6"/>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4"/>
      <c r="B44" s="3124"/>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7"/>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2.2"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4.4">
      <c r="A48" s="620" t="s">
        <v>512</v>
      </c>
      <c r="B48" s="621"/>
      <c r="C48" s="2442" t="str">
        <f>YEAR(C7)&amp;"-"&amp;MONTH(C7)</f>
        <v>1900-1</v>
      </c>
      <c r="D48" s="2444" t="e">
        <f>EDATE(C48,-1)</f>
        <v>#NUM!</v>
      </c>
      <c r="E48" s="2444" t="e">
        <f t="shared" ref="E48:O48" si="16">EDATE(D48,-1)</f>
        <v>#NUM!</v>
      </c>
      <c r="F48" s="2444" t="e">
        <f t="shared" si="16"/>
        <v>#NUM!</v>
      </c>
      <c r="G48" s="2444" t="e">
        <f t="shared" si="16"/>
        <v>#NUM!</v>
      </c>
      <c r="H48" s="2444" t="e">
        <f t="shared" si="16"/>
        <v>#NUM!</v>
      </c>
      <c r="I48" s="2444" t="e">
        <f t="shared" si="16"/>
        <v>#NUM!</v>
      </c>
      <c r="J48" s="2444" t="e">
        <f t="shared" si="16"/>
        <v>#NUM!</v>
      </c>
      <c r="K48" s="2444" t="e">
        <f t="shared" si="16"/>
        <v>#NUM!</v>
      </c>
      <c r="L48" s="2444" t="e">
        <f t="shared" si="16"/>
        <v>#NUM!</v>
      </c>
      <c r="M48" s="2444" t="e">
        <f t="shared" si="16"/>
        <v>#NUM!</v>
      </c>
      <c r="N48" s="2444" t="e">
        <f t="shared" si="16"/>
        <v>#NUM!</v>
      </c>
      <c r="O48" s="2444" t="e">
        <f t="shared" si="16"/>
        <v>#NUM!</v>
      </c>
      <c r="P48" s="1996"/>
      <c r="Q48" s="1997"/>
      <c r="R48" s="1997"/>
      <c r="S48" s="1997"/>
      <c r="T48" s="1997"/>
      <c r="U48" s="1997"/>
      <c r="V48" s="1997"/>
      <c r="W48" s="1997"/>
      <c r="X48" s="1997"/>
      <c r="Y48" s="1997"/>
      <c r="Z48" s="1997"/>
      <c r="AA48" s="1997"/>
      <c r="AB48" s="1997"/>
      <c r="AC48" s="1997"/>
    </row>
    <row r="49" spans="1:29" s="1167" customFormat="1">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4.4">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4.4"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ht="14.4">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4.4"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9.4"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4.4"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4.4"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4.4"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4.4"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4.4"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4.4"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4.4"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4.4" thickBot="1">
      <c r="A64" s="644"/>
      <c r="B64" s="653"/>
      <c r="C64" s="654">
        <v>100</v>
      </c>
      <c r="D64" s="654">
        <f>C64-$K14</f>
        <v>100</v>
      </c>
      <c r="E64" s="654">
        <f>D64-$K14</f>
        <v>100</v>
      </c>
      <c r="F64" s="654">
        <f>E64-$K14</f>
        <v>100</v>
      </c>
      <c r="G64" s="654">
        <f>F64-$K14</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 thickTop="1">
      <c r="A65" s="644"/>
      <c r="B65" s="1766" t="s">
        <v>2275</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4.4"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 thickTop="1">
      <c r="A67" s="644"/>
      <c r="B67" s="2364" t="s">
        <v>2276</v>
      </c>
      <c r="C67" s="2365" t="s">
        <v>2277</v>
      </c>
      <c r="D67" s="2365" t="s">
        <v>2278</v>
      </c>
      <c r="E67" s="2365" t="s">
        <v>2279</v>
      </c>
      <c r="F67" s="2365" t="s">
        <v>2280</v>
      </c>
      <c r="G67" s="2365" t="s">
        <v>2281</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4.4"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4.4"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4.4"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4.4"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4.4"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4.4"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4.4"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4.4"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4.4"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9.4" thickTop="1">
      <c r="A79" s="639" t="s">
        <v>534</v>
      </c>
      <c r="B79" s="640" t="s">
        <v>796</v>
      </c>
      <c r="C79" s="679">
        <f>C26</f>
        <v>0</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4.4"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4.4"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4.4"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4.4"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4.4"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4.4" thickBot="1">
      <c r="A92" s="662"/>
      <c r="B92" s="653"/>
      <c r="C92" s="667"/>
      <c r="D92" s="646"/>
      <c r="E92" s="646"/>
      <c r="F92" s="646"/>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4.4"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4.4"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4.4"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4.4"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4.4"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4.4"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4.4"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4.4"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4.4"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4.4">
      <c r="A4" s="489" t="s">
        <v>779</v>
      </c>
      <c r="B4" s="490"/>
      <c r="C4" s="3632" t="s">
        <v>780</v>
      </c>
      <c r="D4" s="3633"/>
      <c r="E4" s="3667" t="s">
        <v>781</v>
      </c>
      <c r="F4" s="3668"/>
      <c r="G4" s="3632" t="s">
        <v>782</v>
      </c>
      <c r="H4" s="3633"/>
      <c r="I4" s="3632" t="s">
        <v>783</v>
      </c>
      <c r="J4" s="3633"/>
      <c r="K4" s="491" t="s">
        <v>784</v>
      </c>
      <c r="L4" s="1970"/>
      <c r="M4" s="1971"/>
      <c r="N4" s="1971"/>
      <c r="O4" s="1971"/>
      <c r="P4" s="3634" t="s">
        <v>785</v>
      </c>
      <c r="Q4" s="3635"/>
      <c r="R4" s="3640" t="s">
        <v>781</v>
      </c>
      <c r="S4" s="3641"/>
      <c r="T4" s="3640" t="s">
        <v>782</v>
      </c>
      <c r="U4" s="3641"/>
      <c r="V4" s="3627" t="s">
        <v>783</v>
      </c>
      <c r="W4" s="3627"/>
      <c r="X4" s="1458"/>
      <c r="Y4" s="3640" t="s">
        <v>785</v>
      </c>
      <c r="Z4" s="3641"/>
      <c r="AA4" s="3629" t="s">
        <v>781</v>
      </c>
      <c r="AB4" s="3630" t="s">
        <v>782</v>
      </c>
      <c r="AC4" s="3629" t="s">
        <v>783</v>
      </c>
    </row>
    <row r="5" spans="1:29">
      <c r="A5" s="492"/>
      <c r="B5" s="493"/>
      <c r="C5" s="3648" t="s">
        <v>2631</v>
      </c>
      <c r="D5" s="3649"/>
      <c r="E5" s="3669" t="s">
        <v>2632</v>
      </c>
      <c r="F5" s="3670"/>
      <c r="G5" s="3648" t="s">
        <v>2633</v>
      </c>
      <c r="H5" s="3649"/>
      <c r="I5" s="3648" t="s">
        <v>2634</v>
      </c>
      <c r="J5" s="3649"/>
      <c r="K5" s="491"/>
      <c r="L5" s="1970"/>
      <c r="M5" s="1971"/>
      <c r="N5" s="1971"/>
      <c r="O5" s="1971"/>
      <c r="P5" s="3636"/>
      <c r="Q5" s="3637"/>
      <c r="R5" s="3642"/>
      <c r="S5" s="3643"/>
      <c r="T5" s="3642"/>
      <c r="U5" s="3643"/>
      <c r="V5" s="3627"/>
      <c r="W5" s="3627"/>
      <c r="X5" s="1458"/>
      <c r="Y5" s="3642"/>
      <c r="Z5" s="3643"/>
      <c r="AA5" s="3630"/>
      <c r="AB5" s="3630"/>
      <c r="AC5" s="3630"/>
    </row>
    <row r="6" spans="1:29" ht="15" thickBot="1">
      <c r="A6" s="494"/>
      <c r="B6" s="495"/>
      <c r="C6" s="3646" t="s">
        <v>2635</v>
      </c>
      <c r="D6" s="3647"/>
      <c r="E6" s="3665" t="s">
        <v>2635</v>
      </c>
      <c r="F6" s="3666"/>
      <c r="G6" s="3646" t="s">
        <v>2635</v>
      </c>
      <c r="H6" s="3647"/>
      <c r="I6" s="3646" t="s">
        <v>2635</v>
      </c>
      <c r="J6" s="3647"/>
      <c r="K6" s="491" t="s">
        <v>511</v>
      </c>
      <c r="L6" s="1970"/>
      <c r="M6" s="1971"/>
      <c r="N6" s="1971"/>
      <c r="O6" s="1971"/>
      <c r="P6" s="3638"/>
      <c r="Q6" s="3639"/>
      <c r="R6" s="3642"/>
      <c r="S6" s="3643"/>
      <c r="T6" s="3644"/>
      <c r="U6" s="3645"/>
      <c r="V6" s="3627"/>
      <c r="W6" s="3627"/>
      <c r="X6" s="1458"/>
      <c r="Y6" s="3644"/>
      <c r="Z6" s="3645"/>
      <c r="AA6" s="3631"/>
      <c r="AB6" s="3631"/>
      <c r="AC6" s="3631"/>
    </row>
    <row r="7" spans="1:29" s="1167" customFormat="1" ht="15" thickBot="1">
      <c r="A7" s="2552"/>
      <c r="B7" s="2559" t="s">
        <v>512</v>
      </c>
      <c r="C7" s="496">
        <f>'数据-取费表'!B2</f>
        <v>0</v>
      </c>
      <c r="D7" s="497">
        <v>100</v>
      </c>
      <c r="E7" s="498"/>
      <c r="F7" s="499">
        <f>SUMIF(46:46,YEAR(E7)&amp;"-"&amp;MONTH(E7),47:47)</f>
        <v>100</v>
      </c>
      <c r="G7" s="500"/>
      <c r="H7" s="497">
        <f>SUMIF(46:46,YEAR(G7)&amp;"-"&amp;MONTH(G7),47:47)</f>
        <v>100</v>
      </c>
      <c r="I7" s="500"/>
      <c r="J7" s="497">
        <f>SUMIF(46:46,YEAR(I7)&amp;"-"&amp;MONTH(I7),47:47)</f>
        <v>100</v>
      </c>
      <c r="K7" s="501"/>
      <c r="L7" s="1972"/>
      <c r="M7" s="1973"/>
      <c r="N7" s="1973"/>
      <c r="O7" s="1973"/>
      <c r="P7" s="3656" t="s">
        <v>513</v>
      </c>
      <c r="Q7" s="3658"/>
      <c r="R7" s="1459" t="s">
        <v>8</v>
      </c>
      <c r="S7" s="1460">
        <f t="shared" ref="S7:S14" si="0">F7</f>
        <v>100</v>
      </c>
      <c r="T7" s="1459" t="s">
        <v>8</v>
      </c>
      <c r="U7" s="1460">
        <f t="shared" ref="U7:U14" si="1">H7</f>
        <v>100</v>
      </c>
      <c r="V7" s="1459" t="s">
        <v>8</v>
      </c>
      <c r="W7" s="1460">
        <f t="shared" ref="W7:W14" si="2">J7</f>
        <v>100</v>
      </c>
      <c r="X7" s="1461"/>
      <c r="Y7" s="3656" t="s">
        <v>513</v>
      </c>
      <c r="Z7" s="3657"/>
      <c r="AA7" s="1462">
        <f>D7/F7</f>
        <v>1</v>
      </c>
      <c r="AB7" s="1462">
        <f>D7/H7</f>
        <v>1</v>
      </c>
      <c r="AC7" s="1462">
        <f>D7/J7</f>
        <v>1</v>
      </c>
    </row>
    <row r="8" spans="1:29" s="1167" customFormat="1" ht="15" thickBot="1">
      <c r="A8" s="2553"/>
      <c r="B8" s="2560"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56" t="s">
        <v>516</v>
      </c>
      <c r="Q8" s="3657"/>
      <c r="R8" s="1459" t="s">
        <v>8</v>
      </c>
      <c r="S8" s="1460">
        <f t="shared" si="0"/>
        <v>0</v>
      </c>
      <c r="T8" s="1459" t="s">
        <v>8</v>
      </c>
      <c r="U8" s="1460">
        <f t="shared" si="1"/>
        <v>0</v>
      </c>
      <c r="V8" s="1459" t="s">
        <v>8</v>
      </c>
      <c r="W8" s="1460">
        <f t="shared" si="2"/>
        <v>0</v>
      </c>
      <c r="X8" s="1461"/>
      <c r="Y8" s="3656" t="s">
        <v>516</v>
      </c>
      <c r="Z8" s="3657"/>
      <c r="AA8" s="1462" t="e">
        <f t="shared" ref="AA8:AA34" si="3">D8/F8</f>
        <v>#DIV/0!</v>
      </c>
      <c r="AB8" s="1462" t="e">
        <f t="shared" ref="AB8:AB34" si="4">D8/H8</f>
        <v>#DIV/0!</v>
      </c>
      <c r="AC8" s="1462" t="e">
        <f t="shared" ref="AC8:AC34" si="5">D8/J8</f>
        <v>#DIV/0!</v>
      </c>
    </row>
    <row r="9" spans="1:29" s="1167" customFormat="1" ht="14.4">
      <c r="A9" s="2554"/>
      <c r="B9" s="2561" t="s">
        <v>2473</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26" t="s">
        <v>518</v>
      </c>
      <c r="Q9" s="1098" t="str">
        <f t="shared" ref="Q9:Q14" si="6">B9</f>
        <v>用途</v>
      </c>
      <c r="R9" s="1459" t="s">
        <v>8</v>
      </c>
      <c r="S9" s="1460">
        <f t="shared" si="0"/>
        <v>100</v>
      </c>
      <c r="T9" s="1459" t="s">
        <v>8</v>
      </c>
      <c r="U9" s="1460">
        <f t="shared" si="1"/>
        <v>100</v>
      </c>
      <c r="V9" s="1459" t="s">
        <v>8</v>
      </c>
      <c r="W9" s="1460">
        <f t="shared" si="2"/>
        <v>100</v>
      </c>
      <c r="X9" s="1461"/>
      <c r="Y9" s="3570" t="s">
        <v>519</v>
      </c>
      <c r="Z9" s="1097" t="str">
        <f t="shared" ref="Z9:Z14" si="7">Q9</f>
        <v>用途</v>
      </c>
      <c r="AA9" s="1462">
        <f t="shared" si="3"/>
        <v>1</v>
      </c>
      <c r="AB9" s="1462">
        <f t="shared" si="4"/>
        <v>1</v>
      </c>
      <c r="AC9" s="1462">
        <f t="shared" si="5"/>
        <v>1</v>
      </c>
    </row>
    <row r="10" spans="1:29" s="1248" customFormat="1" ht="28.8">
      <c r="A10" s="2555"/>
      <c r="B10" s="2560" t="s">
        <v>2474</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26"/>
      <c r="Q10" s="1098" t="str">
        <f t="shared" si="6"/>
        <v>土地使用年限（年）</v>
      </c>
      <c r="R10" s="1459" t="s">
        <v>8</v>
      </c>
      <c r="S10" s="1460">
        <f t="shared" si="0"/>
        <v>100</v>
      </c>
      <c r="T10" s="1459" t="s">
        <v>8</v>
      </c>
      <c r="U10" s="1460">
        <f t="shared" si="1"/>
        <v>100</v>
      </c>
      <c r="V10" s="1459" t="s">
        <v>8</v>
      </c>
      <c r="W10" s="1460">
        <f t="shared" si="2"/>
        <v>100</v>
      </c>
      <c r="X10" s="1461"/>
      <c r="Y10" s="3570"/>
      <c r="Z10" s="1097" t="str">
        <f t="shared" si="7"/>
        <v>土地使用年限（年）</v>
      </c>
      <c r="AA10" s="1462">
        <f t="shared" si="3"/>
        <v>1</v>
      </c>
      <c r="AB10" s="1462">
        <f t="shared" si="4"/>
        <v>1</v>
      </c>
      <c r="AC10" s="1462">
        <f t="shared" si="5"/>
        <v>1</v>
      </c>
    </row>
    <row r="11" spans="1:29" ht="15">
      <c r="A11" s="2557"/>
      <c r="B11" s="2563">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26"/>
      <c r="Q11" s="1098">
        <f t="shared" si="6"/>
        <v>111</v>
      </c>
      <c r="R11" s="1459" t="s">
        <v>8</v>
      </c>
      <c r="S11" s="1460">
        <f t="shared" si="0"/>
        <v>100</v>
      </c>
      <c r="T11" s="1459" t="s">
        <v>8</v>
      </c>
      <c r="U11" s="1460">
        <f t="shared" si="1"/>
        <v>100</v>
      </c>
      <c r="V11" s="1459" t="s">
        <v>8</v>
      </c>
      <c r="W11" s="1460">
        <f t="shared" si="2"/>
        <v>100</v>
      </c>
      <c r="X11" s="1461"/>
      <c r="Y11" s="3570"/>
      <c r="Z11" s="1097">
        <f t="shared" si="7"/>
        <v>111</v>
      </c>
      <c r="AA11" s="1462">
        <f t="shared" si="3"/>
        <v>1</v>
      </c>
      <c r="AB11" s="1462">
        <f t="shared" si="4"/>
        <v>1</v>
      </c>
      <c r="AC11" s="1462">
        <f t="shared" si="5"/>
        <v>1</v>
      </c>
    </row>
    <row r="12" spans="1:29" s="1167" customFormat="1" ht="15">
      <c r="A12" s="2557"/>
      <c r="B12" s="2563">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26"/>
      <c r="Q12" s="1098">
        <f t="shared" si="6"/>
        <v>111</v>
      </c>
      <c r="R12" s="1459" t="s">
        <v>8</v>
      </c>
      <c r="S12" s="1460">
        <f t="shared" si="0"/>
        <v>100</v>
      </c>
      <c r="T12" s="1459" t="s">
        <v>8</v>
      </c>
      <c r="U12" s="1460">
        <f t="shared" si="1"/>
        <v>100</v>
      </c>
      <c r="V12" s="1459" t="s">
        <v>8</v>
      </c>
      <c r="W12" s="1460">
        <f t="shared" si="2"/>
        <v>100</v>
      </c>
      <c r="X12" s="1461"/>
      <c r="Y12" s="3570"/>
      <c r="Z12" s="1097">
        <f t="shared" si="7"/>
        <v>111</v>
      </c>
      <c r="AA12" s="1462">
        <f>D12/F12</f>
        <v>1</v>
      </c>
      <c r="AB12" s="1462">
        <f>D12/H12</f>
        <v>1</v>
      </c>
      <c r="AC12" s="1462">
        <f>D12/J12</f>
        <v>1</v>
      </c>
    </row>
    <row r="13" spans="1:29" ht="15.6" thickBot="1">
      <c r="A13" s="2558"/>
      <c r="B13" s="2564">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26"/>
      <c r="Q13" s="1098">
        <f t="shared" si="6"/>
        <v>111</v>
      </c>
      <c r="R13" s="1459" t="s">
        <v>8</v>
      </c>
      <c r="S13" s="1460">
        <f t="shared" si="0"/>
        <v>100</v>
      </c>
      <c r="T13" s="1459" t="s">
        <v>8</v>
      </c>
      <c r="U13" s="1460">
        <f t="shared" si="1"/>
        <v>100</v>
      </c>
      <c r="V13" s="1459" t="s">
        <v>8</v>
      </c>
      <c r="W13" s="1460">
        <f t="shared" si="2"/>
        <v>100</v>
      </c>
      <c r="X13" s="1461"/>
      <c r="Y13" s="3570"/>
      <c r="Z13" s="1097">
        <f t="shared" si="7"/>
        <v>111</v>
      </c>
      <c r="AA13" s="1462">
        <f t="shared" si="3"/>
        <v>1</v>
      </c>
      <c r="AB13" s="1462">
        <f t="shared" si="4"/>
        <v>1</v>
      </c>
      <c r="AC13" s="1462">
        <f t="shared" si="5"/>
        <v>1</v>
      </c>
    </row>
    <row r="14" spans="1:29" ht="96.6">
      <c r="A14" s="2550"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59" t="s">
        <v>523</v>
      </c>
      <c r="Q14" s="1463" t="str">
        <f t="shared" si="6"/>
        <v>交通便捷度</v>
      </c>
      <c r="R14" s="1464" t="s">
        <v>8</v>
      </c>
      <c r="S14" s="1465">
        <f t="shared" si="0"/>
        <v>100</v>
      </c>
      <c r="T14" s="1464" t="s">
        <v>8</v>
      </c>
      <c r="U14" s="1465">
        <f t="shared" si="1"/>
        <v>100</v>
      </c>
      <c r="V14" s="1464" t="s">
        <v>8</v>
      </c>
      <c r="W14" s="1465">
        <f t="shared" si="2"/>
        <v>100</v>
      </c>
      <c r="X14" s="1458"/>
      <c r="Y14" s="3659"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60"/>
      <c r="Q15" s="1463"/>
      <c r="R15" s="1464"/>
      <c r="S15" s="1465"/>
      <c r="T15" s="1464"/>
      <c r="U15" s="1465"/>
      <c r="V15" s="1464"/>
      <c r="W15" s="1465"/>
      <c r="X15" s="1458"/>
      <c r="Y15" s="3660"/>
      <c r="Z15" s="1466"/>
      <c r="AA15" s="1467">
        <v>1</v>
      </c>
      <c r="AB15" s="1467">
        <v>1</v>
      </c>
      <c r="AC15" s="1467">
        <v>1</v>
      </c>
    </row>
    <row r="16" spans="1:29" ht="41.4">
      <c r="A16" s="509"/>
      <c r="B16" s="2370"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60"/>
      <c r="Q16" s="1463" t="str">
        <f>B16</f>
        <v>公共配套设施</v>
      </c>
      <c r="R16" s="1464" t="s">
        <v>8</v>
      </c>
      <c r="S16" s="1465">
        <f>F16</f>
        <v>100</v>
      </c>
      <c r="T16" s="1464" t="s">
        <v>8</v>
      </c>
      <c r="U16" s="1465">
        <f>H16</f>
        <v>100</v>
      </c>
      <c r="V16" s="1464" t="s">
        <v>8</v>
      </c>
      <c r="W16" s="1465">
        <f>J16</f>
        <v>100</v>
      </c>
      <c r="X16" s="1458"/>
      <c r="Y16" s="3660"/>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60"/>
      <c r="Q17" s="1463"/>
      <c r="R17" s="1464"/>
      <c r="S17" s="1465"/>
      <c r="T17" s="1464"/>
      <c r="U17" s="1465"/>
      <c r="V17" s="1464"/>
      <c r="W17" s="1465"/>
      <c r="X17" s="1458"/>
      <c r="Y17" s="3660"/>
      <c r="Z17" s="1466"/>
      <c r="AA17" s="1467">
        <v>1</v>
      </c>
      <c r="AB17" s="1467">
        <v>1</v>
      </c>
      <c r="AC17" s="1467">
        <v>1</v>
      </c>
    </row>
    <row r="18" spans="1:29" ht="41.4">
      <c r="A18" s="509"/>
      <c r="B18" s="2358"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60"/>
      <c r="Q18" s="2352" t="str">
        <f>B18</f>
        <v>基础设施水平</v>
      </c>
      <c r="R18" s="1464" t="s">
        <v>8</v>
      </c>
      <c r="S18" s="1465">
        <f>F18</f>
        <v>100</v>
      </c>
      <c r="T18" s="1464" t="s">
        <v>8</v>
      </c>
      <c r="U18" s="1465">
        <f>H18</f>
        <v>100</v>
      </c>
      <c r="V18" s="1464" t="s">
        <v>8</v>
      </c>
      <c r="W18" s="1465">
        <f>J18</f>
        <v>100</v>
      </c>
      <c r="X18" s="2354"/>
      <c r="Y18" s="3660"/>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60"/>
      <c r="Q19" s="2352"/>
      <c r="R19" s="1464"/>
      <c r="S19" s="1465"/>
      <c r="T19" s="1464"/>
      <c r="U19" s="1465"/>
      <c r="V19" s="1464"/>
      <c r="W19" s="1465"/>
      <c r="X19" s="2354"/>
      <c r="Y19" s="3660"/>
      <c r="Z19" s="2353"/>
      <c r="AA19" s="1467">
        <v>1</v>
      </c>
      <c r="AB19" s="1467">
        <v>1</v>
      </c>
      <c r="AC19" s="1467">
        <v>1</v>
      </c>
    </row>
    <row r="20" spans="1:29" ht="55.2">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60"/>
      <c r="Q20" s="1463" t="str">
        <f>B20</f>
        <v>自然及人文环境</v>
      </c>
      <c r="R20" s="1464" t="s">
        <v>8</v>
      </c>
      <c r="S20" s="1465">
        <f>F20</f>
        <v>100</v>
      </c>
      <c r="T20" s="1464" t="s">
        <v>8</v>
      </c>
      <c r="U20" s="1465">
        <f>H20</f>
        <v>100</v>
      </c>
      <c r="V20" s="1464" t="s">
        <v>8</v>
      </c>
      <c r="W20" s="1465">
        <f>J20</f>
        <v>100</v>
      </c>
      <c r="X20" s="1458"/>
      <c r="Y20" s="3660"/>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60"/>
      <c r="Q21" s="1463"/>
      <c r="R21" s="1464"/>
      <c r="S21" s="1465"/>
      <c r="T21" s="1464"/>
      <c r="U21" s="1465"/>
      <c r="V21" s="1464"/>
      <c r="W21" s="1465"/>
      <c r="X21" s="1458"/>
      <c r="Y21" s="3660"/>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60"/>
      <c r="Q22" s="1463" t="str">
        <f>B22</f>
        <v>楼层</v>
      </c>
      <c r="R22" s="1464" t="s">
        <v>8</v>
      </c>
      <c r="S22" s="1465">
        <f>F22</f>
        <v>100</v>
      </c>
      <c r="T22" s="1464" t="s">
        <v>8</v>
      </c>
      <c r="U22" s="1465">
        <f>H22</f>
        <v>100</v>
      </c>
      <c r="V22" s="1464" t="s">
        <v>8</v>
      </c>
      <c r="W22" s="1465">
        <f>J22</f>
        <v>100</v>
      </c>
      <c r="X22" s="1458"/>
      <c r="Y22" s="3660"/>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60"/>
      <c r="Q23" s="1463">
        <f>B23</f>
        <v>111</v>
      </c>
      <c r="R23" s="1464" t="s">
        <v>8</v>
      </c>
      <c r="S23" s="1465">
        <f>F23</f>
        <v>100</v>
      </c>
      <c r="T23" s="1464" t="s">
        <v>8</v>
      </c>
      <c r="U23" s="1465">
        <f>H23</f>
        <v>100</v>
      </c>
      <c r="V23" s="1464" t="s">
        <v>8</v>
      </c>
      <c r="W23" s="1465">
        <f>J23</f>
        <v>100</v>
      </c>
      <c r="X23" s="1458"/>
      <c r="Y23" s="3660"/>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60"/>
      <c r="Q24" s="1463">
        <f t="shared" ref="Q24:Q34" si="11">B24</f>
        <v>111</v>
      </c>
      <c r="R24" s="1464" t="s">
        <v>8</v>
      </c>
      <c r="S24" s="1465">
        <f>F24</f>
        <v>100</v>
      </c>
      <c r="T24" s="1464" t="s">
        <v>8</v>
      </c>
      <c r="U24" s="1465">
        <f>H24</f>
        <v>100</v>
      </c>
      <c r="V24" s="1464" t="s">
        <v>8</v>
      </c>
      <c r="W24" s="1465">
        <f>J24</f>
        <v>100</v>
      </c>
      <c r="X24" s="1458"/>
      <c r="Y24" s="3660"/>
      <c r="Z24" s="1466">
        <f>Q24</f>
        <v>111</v>
      </c>
      <c r="AA24" s="1467">
        <f t="shared" si="3"/>
        <v>1</v>
      </c>
      <c r="AB24" s="1467">
        <f t="shared" si="4"/>
        <v>1</v>
      </c>
      <c r="AC24" s="1467">
        <f t="shared" si="5"/>
        <v>1</v>
      </c>
    </row>
    <row r="25" spans="1:29" s="1167" customFormat="1" ht="15.6"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60"/>
      <c r="Q25" s="1098">
        <f t="shared" si="11"/>
        <v>111</v>
      </c>
      <c r="R25" s="1459" t="s">
        <v>8</v>
      </c>
      <c r="S25" s="1460">
        <f>F25</f>
        <v>100</v>
      </c>
      <c r="T25" s="1459" t="s">
        <v>8</v>
      </c>
      <c r="U25" s="1460">
        <f>H25</f>
        <v>100</v>
      </c>
      <c r="V25" s="1459" t="s">
        <v>8</v>
      </c>
      <c r="W25" s="1460">
        <f>J25</f>
        <v>100</v>
      </c>
      <c r="X25" s="1461"/>
      <c r="Y25" s="3660"/>
      <c r="Z25" s="1097">
        <f>Q25</f>
        <v>111</v>
      </c>
      <c r="AA25" s="1467">
        <f>D25/F25</f>
        <v>1</v>
      </c>
      <c r="AB25" s="1467">
        <f>D25/H25</f>
        <v>1</v>
      </c>
      <c r="AC25" s="1467">
        <f>D25/J25</f>
        <v>1</v>
      </c>
    </row>
    <row r="26" spans="1:29" ht="15">
      <c r="A26" s="2547"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61"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62"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62"/>
      <c r="Q27" s="1492" t="str">
        <f t="shared" si="11"/>
        <v>成新率</v>
      </c>
      <c r="R27" s="1468" t="s">
        <v>8</v>
      </c>
      <c r="S27" s="1469" t="e">
        <f t="shared" si="12"/>
        <v>#N/A</v>
      </c>
      <c r="T27" s="1468" t="s">
        <v>8</v>
      </c>
      <c r="U27" s="1469" t="e">
        <f t="shared" si="13"/>
        <v>#N/A</v>
      </c>
      <c r="V27" s="1468" t="s">
        <v>8</v>
      </c>
      <c r="W27" s="1469" t="e">
        <f t="shared" si="14"/>
        <v>#N/A</v>
      </c>
      <c r="X27" s="1470"/>
      <c r="Y27" s="3662"/>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62"/>
      <c r="Q28" s="1463" t="str">
        <f t="shared" si="11"/>
        <v>物业等级</v>
      </c>
      <c r="R28" s="1464" t="s">
        <v>8</v>
      </c>
      <c r="S28" s="1465">
        <f t="shared" si="12"/>
        <v>100</v>
      </c>
      <c r="T28" s="1464" t="s">
        <v>8</v>
      </c>
      <c r="U28" s="1465">
        <f t="shared" si="13"/>
        <v>100</v>
      </c>
      <c r="V28" s="1464" t="s">
        <v>8</v>
      </c>
      <c r="W28" s="1465">
        <f t="shared" si="14"/>
        <v>100</v>
      </c>
      <c r="X28" s="1458"/>
      <c r="Y28" s="3662"/>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62"/>
      <c r="Q29" s="1463" t="str">
        <f t="shared" si="11"/>
        <v>有无电梯</v>
      </c>
      <c r="R29" s="1464" t="s">
        <v>8</v>
      </c>
      <c r="S29" s="1465">
        <f t="shared" si="12"/>
        <v>100</v>
      </c>
      <c r="T29" s="1464" t="s">
        <v>8</v>
      </c>
      <c r="U29" s="1465">
        <f t="shared" si="13"/>
        <v>100</v>
      </c>
      <c r="V29" s="1464" t="s">
        <v>8</v>
      </c>
      <c r="W29" s="1465">
        <f t="shared" si="14"/>
        <v>100</v>
      </c>
      <c r="X29" s="1458"/>
      <c r="Y29" s="3662"/>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62"/>
      <c r="Q30" s="1463" t="str">
        <f t="shared" si="11"/>
        <v>建筑面积</v>
      </c>
      <c r="R30" s="1464" t="s">
        <v>8</v>
      </c>
      <c r="S30" s="1465" t="e">
        <f t="shared" si="12"/>
        <v>#N/A</v>
      </c>
      <c r="T30" s="1464" t="s">
        <v>8</v>
      </c>
      <c r="U30" s="1465" t="e">
        <f t="shared" si="13"/>
        <v>#N/A</v>
      </c>
      <c r="V30" s="1464" t="s">
        <v>8</v>
      </c>
      <c r="W30" s="1465" t="e">
        <f t="shared" si="14"/>
        <v>#N/A</v>
      </c>
      <c r="X30" s="1458"/>
      <c r="Y30" s="3662"/>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62"/>
      <c r="Q31" s="1098" t="str">
        <f t="shared" si="11"/>
        <v>是否封闭</v>
      </c>
      <c r="R31" s="1459" t="s">
        <v>8</v>
      </c>
      <c r="S31" s="1460">
        <f t="shared" si="12"/>
        <v>100</v>
      </c>
      <c r="T31" s="1459" t="s">
        <v>8</v>
      </c>
      <c r="U31" s="1460">
        <f t="shared" si="13"/>
        <v>100</v>
      </c>
      <c r="V31" s="1459" t="s">
        <v>8</v>
      </c>
      <c r="W31" s="1460">
        <f t="shared" si="14"/>
        <v>100</v>
      </c>
      <c r="X31" s="1461"/>
      <c r="Y31" s="3662"/>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62" t="s">
        <v>533</v>
      </c>
      <c r="Q32" s="1463">
        <f t="shared" si="11"/>
        <v>111</v>
      </c>
      <c r="R32" s="1464" t="s">
        <v>8</v>
      </c>
      <c r="S32" s="1465">
        <f t="shared" si="12"/>
        <v>100</v>
      </c>
      <c r="T32" s="1464" t="s">
        <v>8</v>
      </c>
      <c r="U32" s="1465">
        <f t="shared" si="13"/>
        <v>100</v>
      </c>
      <c r="V32" s="1464" t="s">
        <v>8</v>
      </c>
      <c r="W32" s="1465">
        <f t="shared" si="14"/>
        <v>100</v>
      </c>
      <c r="X32" s="1458"/>
      <c r="Y32" s="3662"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62"/>
      <c r="Q33" s="1463">
        <f t="shared" si="11"/>
        <v>111</v>
      </c>
      <c r="R33" s="1464" t="s">
        <v>8</v>
      </c>
      <c r="S33" s="1465">
        <f t="shared" si="12"/>
        <v>100</v>
      </c>
      <c r="T33" s="1464" t="s">
        <v>8</v>
      </c>
      <c r="U33" s="1465">
        <f t="shared" si="13"/>
        <v>100</v>
      </c>
      <c r="V33" s="1464" t="s">
        <v>8</v>
      </c>
      <c r="W33" s="1465">
        <f t="shared" si="14"/>
        <v>100</v>
      </c>
      <c r="X33" s="1458"/>
      <c r="Y33" s="3662"/>
      <c r="Z33" s="1466">
        <f t="shared" si="15"/>
        <v>111</v>
      </c>
      <c r="AA33" s="1467">
        <f t="shared" si="3"/>
        <v>1</v>
      </c>
      <c r="AB33" s="1467">
        <f t="shared" si="4"/>
        <v>1</v>
      </c>
      <c r="AC33" s="1467">
        <f t="shared" si="5"/>
        <v>1</v>
      </c>
    </row>
    <row r="34" spans="1:29" ht="15.6"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62"/>
      <c r="Q34" s="1463">
        <f t="shared" si="11"/>
        <v>111</v>
      </c>
      <c r="R34" s="1464" t="s">
        <v>8</v>
      </c>
      <c r="S34" s="1465">
        <f t="shared" si="12"/>
        <v>100</v>
      </c>
      <c r="T34" s="1464" t="s">
        <v>8</v>
      </c>
      <c r="U34" s="1465">
        <f t="shared" si="13"/>
        <v>100</v>
      </c>
      <c r="V34" s="1464" t="s">
        <v>8</v>
      </c>
      <c r="W34" s="1465">
        <f t="shared" si="14"/>
        <v>100</v>
      </c>
      <c r="X34" s="1458"/>
      <c r="Y34" s="3662"/>
      <c r="Z34" s="1466">
        <f t="shared" si="15"/>
        <v>111</v>
      </c>
      <c r="AA34" s="1467">
        <f t="shared" si="3"/>
        <v>1</v>
      </c>
      <c r="AB34" s="1467">
        <f t="shared" si="4"/>
        <v>1</v>
      </c>
      <c r="AC34" s="1467">
        <f t="shared" si="5"/>
        <v>1</v>
      </c>
    </row>
    <row r="35" spans="1:29" ht="14.4">
      <c r="A35" s="584" t="s">
        <v>718</v>
      </c>
      <c r="B35" s="859"/>
      <c r="C35" s="2393" t="s">
        <v>1</v>
      </c>
      <c r="D35" s="2394"/>
      <c r="E35" s="2395"/>
      <c r="F35" s="2396"/>
      <c r="G35" s="2397"/>
      <c r="H35" s="2398"/>
      <c r="I35" s="2395"/>
      <c r="J35" s="2398"/>
      <c r="K35" s="1497"/>
      <c r="L35" s="1981"/>
      <c r="M35" s="1982"/>
      <c r="N35" s="1971"/>
      <c r="O35" s="1982"/>
      <c r="P35" s="3626" t="str">
        <f>A35</f>
        <v>成交单价（元/平方米）</v>
      </c>
      <c r="Q35" s="3626"/>
      <c r="R35" s="3754">
        <f>E35</f>
        <v>0</v>
      </c>
      <c r="S35" s="3754"/>
      <c r="T35" s="3754">
        <f>G35</f>
        <v>0</v>
      </c>
      <c r="U35" s="3754"/>
      <c r="V35" s="3754">
        <f>I35</f>
        <v>0</v>
      </c>
      <c r="W35" s="3754"/>
      <c r="X35" s="1453"/>
      <c r="Y35" s="1472"/>
      <c r="Z35" s="1453"/>
      <c r="AA35" s="1453"/>
      <c r="AB35" s="1453"/>
      <c r="AC35" s="1453"/>
    </row>
    <row r="36" spans="1:29" ht="15" thickBot="1">
      <c r="A36" s="592" t="s">
        <v>2477</v>
      </c>
      <c r="B36" s="860"/>
      <c r="C36" s="2399" t="e">
        <f>R37</f>
        <v>#DIV/0!</v>
      </c>
      <c r="D36" s="2923" t="s">
        <v>2703</v>
      </c>
      <c r="E36" s="2400" t="e">
        <f>R36</f>
        <v>#DIV/0!</v>
      </c>
      <c r="F36" s="2924"/>
      <c r="G36" s="2399" t="e">
        <f>T36</f>
        <v>#DIV/0!</v>
      </c>
      <c r="H36" s="2924"/>
      <c r="I36" s="2400" t="e">
        <f>V36</f>
        <v>#DIV/0!</v>
      </c>
      <c r="J36" s="2924"/>
      <c r="K36" s="2932">
        <f>F36+H36+J36</f>
        <v>0</v>
      </c>
      <c r="L36" s="1981"/>
      <c r="M36" s="1982"/>
      <c r="N36" s="1971"/>
      <c r="O36" s="1982"/>
      <c r="P36" s="3626" t="str">
        <f>A36</f>
        <v>比较价格（元/平方米）</v>
      </c>
      <c r="Q36" s="3626"/>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1453"/>
      <c r="Y36" s="1453"/>
      <c r="Z36" s="1453"/>
      <c r="AA36" s="1453"/>
      <c r="AB36" s="1453"/>
      <c r="AC36" s="1453"/>
    </row>
    <row r="37" spans="1:29" ht="15" thickBot="1">
      <c r="A37" s="596" t="s">
        <v>2637</v>
      </c>
      <c r="B37" s="597"/>
      <c r="C37" s="2401" t="e">
        <f>R37</f>
        <v>#DIV/0!</v>
      </c>
      <c r="D37" s="2401"/>
      <c r="E37" s="2401"/>
      <c r="F37" s="2401"/>
      <c r="G37" s="2401"/>
      <c r="H37" s="2401"/>
      <c r="I37" s="2401"/>
      <c r="J37" s="2401"/>
      <c r="K37" s="1498"/>
      <c r="L37" s="1981"/>
      <c r="M37" s="1982"/>
      <c r="N37" s="1982"/>
      <c r="O37" s="1982"/>
      <c r="P37" s="3663" t="str">
        <f>A37</f>
        <v>估价对象XX用房的比较价格（楼面单价，元/平方米）</v>
      </c>
      <c r="Q37" s="3664"/>
      <c r="R37" s="3753" t="e">
        <f>IF(F1="售价",ROUND(IF(D36="简单平均",AVERAGE(R36:W36),R36*F36+T36*H36+V36*J36),0),ROUND(IF(D36="简单平均",AVERAGE(R36:V36),R36*F36+T36*H36+V36*J36),1))</f>
        <v>#DIV/0!</v>
      </c>
      <c r="S37" s="3753"/>
      <c r="T37" s="3753"/>
      <c r="U37" s="3753"/>
      <c r="V37" s="3753"/>
      <c r="W37" s="3753"/>
      <c r="X37" s="1453"/>
      <c r="Y37" s="1453"/>
      <c r="Z37" s="1453"/>
      <c r="AA37" s="1453"/>
      <c r="AB37" s="1453"/>
      <c r="AC37" s="1453"/>
    </row>
    <row r="38" spans="1:29">
      <c r="A38" s="3123"/>
      <c r="B38" s="3123"/>
      <c r="C38" s="3123"/>
      <c r="D38" s="3123"/>
      <c r="E38" s="3123"/>
      <c r="F38" s="3123"/>
      <c r="G38" s="3125"/>
      <c r="H38" s="3123"/>
      <c r="I38" s="3123"/>
      <c r="J38" s="3123"/>
      <c r="K38" s="3126"/>
      <c r="L38" s="1986"/>
      <c r="M38" s="1982"/>
      <c r="N38" s="1982"/>
      <c r="O38" s="1982"/>
      <c r="P38" s="1982"/>
      <c r="Q38" s="1982"/>
      <c r="R38" s="1982"/>
      <c r="S38" s="1982"/>
      <c r="T38" s="1982"/>
      <c r="U38" s="1982"/>
      <c r="V38" s="1982"/>
      <c r="W38" s="1982"/>
      <c r="X38" s="1982"/>
      <c r="Y38" s="1982"/>
      <c r="Z38" s="1982"/>
      <c r="AA38" s="1982"/>
      <c r="AB38" s="1982"/>
      <c r="AC38" s="1982"/>
    </row>
    <row r="39" spans="1:29">
      <c r="A39" s="3123"/>
      <c r="B39" s="3123"/>
      <c r="C39" s="3123"/>
      <c r="D39" s="3123"/>
      <c r="E39" s="3123"/>
      <c r="F39" s="3123"/>
      <c r="G39" s="3123"/>
      <c r="H39" s="3123"/>
      <c r="I39" s="3123"/>
      <c r="J39" s="3123"/>
      <c r="K39" s="3126"/>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23"/>
      <c r="B40" s="3123"/>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6"/>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23"/>
      <c r="B41" s="3123"/>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6"/>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4"/>
      <c r="B42" s="3124"/>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7"/>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2.2"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4.4">
      <c r="A46" s="620" t="s">
        <v>512</v>
      </c>
      <c r="B46" s="621"/>
      <c r="C46" s="2442" t="str">
        <f>YEAR(C7)&amp;"-"&amp;MONTH(C7)</f>
        <v>1900-1</v>
      </c>
      <c r="D46" s="2444" t="e">
        <f>EDATE(C46,-1)</f>
        <v>#NUM!</v>
      </c>
      <c r="E46" s="2444" t="e">
        <f t="shared" ref="E46:O46" si="16">EDATE(D46,-1)</f>
        <v>#NUM!</v>
      </c>
      <c r="F46" s="2444" t="e">
        <f t="shared" si="16"/>
        <v>#NUM!</v>
      </c>
      <c r="G46" s="2444" t="e">
        <f t="shared" si="16"/>
        <v>#NUM!</v>
      </c>
      <c r="H46" s="2444" t="e">
        <f t="shared" si="16"/>
        <v>#NUM!</v>
      </c>
      <c r="I46" s="2444" t="e">
        <f t="shared" si="16"/>
        <v>#NUM!</v>
      </c>
      <c r="J46" s="2444" t="e">
        <f t="shared" si="16"/>
        <v>#NUM!</v>
      </c>
      <c r="K46" s="2444" t="e">
        <f t="shared" si="16"/>
        <v>#NUM!</v>
      </c>
      <c r="L46" s="2444" t="e">
        <f t="shared" si="16"/>
        <v>#NUM!</v>
      </c>
      <c r="M46" s="2444" t="e">
        <f t="shared" si="16"/>
        <v>#NUM!</v>
      </c>
      <c r="N46" s="2444" t="e">
        <f t="shared" si="16"/>
        <v>#NUM!</v>
      </c>
      <c r="O46" s="2444" t="e">
        <f t="shared" si="16"/>
        <v>#NUM!</v>
      </c>
      <c r="P46" s="1996"/>
      <c r="Q46" s="1997"/>
      <c r="R46" s="1997"/>
      <c r="S46" s="1997"/>
      <c r="T46" s="1997"/>
      <c r="U46" s="1997"/>
      <c r="V46" s="1997"/>
      <c r="W46" s="1997"/>
      <c r="X46" s="1997"/>
      <c r="Y46" s="1997"/>
      <c r="Z46" s="1997"/>
      <c r="AA46" s="1997"/>
      <c r="AB46" s="1997"/>
      <c r="AC46" s="1997"/>
    </row>
    <row r="47" spans="1:29" s="1167" customFormat="1">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4.4">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4.4"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ht="14.4">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4.4"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9.4"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4.4"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4.4"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4.4"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4.4"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4.4"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4.4"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4.4"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4.4"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 thickTop="1">
      <c r="A63" s="644"/>
      <c r="B63" s="1766" t="s">
        <v>2275</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4.4"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 thickTop="1">
      <c r="A65" s="644"/>
      <c r="B65" s="2364" t="s">
        <v>2276</v>
      </c>
      <c r="C65" s="2365" t="s">
        <v>2277</v>
      </c>
      <c r="D65" s="2365" t="s">
        <v>2278</v>
      </c>
      <c r="E65" s="2365" t="s">
        <v>2279</v>
      </c>
      <c r="F65" s="2365" t="s">
        <v>2280</v>
      </c>
      <c r="G65" s="2365" t="s">
        <v>2281</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4.4"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4.4"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4.4"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4.4"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4.4"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4.4"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4.4"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4.4"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4.4"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4.4"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4.4"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4.4"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4.4"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4.4"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4.4"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4.4"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4.4"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4.4"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4.4"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4.4"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4.4"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4.4"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68" customWidth="1"/>
    <col min="2" max="2" width="9.2187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2093</v>
      </c>
      <c r="C1" s="3763" t="s">
        <v>2094</v>
      </c>
      <c r="D1" s="3764"/>
      <c r="E1" s="3764"/>
      <c r="F1" s="3764"/>
      <c r="G1" s="3764"/>
      <c r="H1" s="3764"/>
      <c r="I1" s="3764"/>
      <c r="J1" s="3764"/>
      <c r="K1" s="3764"/>
      <c r="L1" s="3764"/>
      <c r="M1" s="3764"/>
      <c r="N1" s="3764"/>
      <c r="O1" s="3764"/>
      <c r="P1" s="3764"/>
      <c r="Q1" s="3764"/>
      <c r="R1" s="3764"/>
      <c r="S1" s="3765"/>
      <c r="T1" s="2069" t="s">
        <v>2095</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9"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8"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6" t="s">
        <v>2630</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8"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8" t="s">
        <v>2629</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8"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8" t="s">
        <v>2628</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8" thickBot="1">
      <c r="A10" s="2086"/>
      <c r="B10" s="2697"/>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6" t="s">
        <v>2641</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8"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6" t="s">
        <v>2627</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8"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6" t="s">
        <v>2626</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8"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2097</v>
      </c>
      <c r="B17" s="2113" t="s">
        <v>2098</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8"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6">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6">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760" t="s">
        <v>20</v>
      </c>
      <c r="D22" s="3761"/>
      <c r="E22" s="3761"/>
      <c r="F22" s="3761"/>
      <c r="G22" s="3761"/>
      <c r="H22" s="3761"/>
      <c r="I22" s="3761"/>
      <c r="J22" s="3761"/>
      <c r="K22" s="3761"/>
      <c r="L22" s="3761"/>
      <c r="M22" s="3761"/>
      <c r="N22" s="3761"/>
      <c r="O22" s="3761"/>
      <c r="P22" s="3761"/>
      <c r="Q22" s="3762"/>
      <c r="R22" s="474" t="e">
        <f>ROUND(S22*10000/B22,0)</f>
        <v>#DIV/0!</v>
      </c>
      <c r="S22" s="53">
        <f>SUM(S24:S10000)</f>
        <v>0</v>
      </c>
    </row>
    <row r="23" spans="1:45" s="1499" customFormat="1" ht="24">
      <c r="A23" s="17" t="s">
        <v>812</v>
      </c>
      <c r="B23" s="2780"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5">
        <v>1</v>
      </c>
      <c r="D24" s="3186"/>
      <c r="E24" s="3185">
        <v>1</v>
      </c>
      <c r="F24" s="3186"/>
      <c r="G24" s="3185">
        <v>1</v>
      </c>
      <c r="H24" s="3186"/>
      <c r="I24" s="3185">
        <v>1</v>
      </c>
      <c r="J24" s="3186"/>
      <c r="K24" s="3185">
        <v>1</v>
      </c>
      <c r="L24" s="3186"/>
      <c r="M24" s="3185">
        <v>1</v>
      </c>
      <c r="N24" s="3186"/>
      <c r="O24" s="3185">
        <v>1</v>
      </c>
      <c r="P24" s="3186"/>
      <c r="Q24" s="3185">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49" customWidth="1"/>
    <col min="2" max="2" width="9" style="1649"/>
    <col min="3" max="4" width="9.6640625" style="1649" customWidth="1"/>
    <col min="5" max="16384" width="9" style="1649"/>
  </cols>
  <sheetData>
    <row r="1" spans="1:4" ht="22.2">
      <c r="A1" s="1648" t="s">
        <v>1700</v>
      </c>
    </row>
    <row r="2" spans="1:4">
      <c r="A2" s="1650"/>
    </row>
    <row r="3" spans="1:4" ht="17.399999999999999">
      <c r="A3" s="1668" t="str">
        <f>项目基本情况!B5&amp;"："</f>
        <v>：</v>
      </c>
    </row>
    <row r="4" spans="1:4" ht="17.399999999999999">
      <c r="A4" s="1662" t="str">
        <f>"受贵公司委托，我公司对"&amp;项目基本情况!K2&amp;项目基本情况!B9&amp;"进行了预评估。"</f>
        <v>受贵公司委托，我公司对国有建设用地使用权进行了预评估。</v>
      </c>
    </row>
    <row r="5" spans="1:4" ht="17.399999999999999">
      <c r="A5" s="1665" t="s">
        <v>1701</v>
      </c>
    </row>
    <row r="6" spans="1:4" ht="17.399999999999999">
      <c r="A6" s="1662"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87">
      <c r="A7" s="2513" t="s">
        <v>2465</v>
      </c>
    </row>
    <row r="8" spans="1:4" ht="17.399999999999999">
      <c r="A8" s="1665" t="s">
        <v>1702</v>
      </c>
    </row>
    <row r="9" spans="1:4" ht="69.599999999999994">
      <c r="A9" s="1667" t="str">
        <f>IF(项目基本情况!B8="抵押",IF(项目基本情况!B5=项目基本情况!B6,定义!C51,定义!B51),定义!D51)</f>
        <v>拟使用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7.399999999999999">
      <c r="A10" s="1668" t="s">
        <v>1818</v>
      </c>
    </row>
    <row r="11" spans="1:4" ht="17.399999999999999">
      <c r="A11" s="1651" t="str">
        <f>TEXT(项目基本情况!D3,"yyyy年m月d日;;")&amp;IF(项目基本情况!B3=项目基本情况!D3,"（评估专业人员勘察现场之日）","")</f>
        <v>（评估专业人员勘察现场之日）</v>
      </c>
    </row>
    <row r="12" spans="1:4" ht="17.399999999999999">
      <c r="A12" s="1668" t="s">
        <v>1817</v>
      </c>
    </row>
    <row r="13" spans="1:4" ht="17.399999999999999">
      <c r="A13" s="1662" t="s">
        <v>1863</v>
      </c>
    </row>
    <row r="14" spans="1:4" ht="17.399999999999999">
      <c r="A14" s="1662" t="str">
        <f>"根据"&amp;项目基本情况!F12&amp;"，本次评估估价对象证载（地类）用途为"&amp;项目基本情况!B12&amp;"。"</f>
        <v>根据《国有土地使用证》[]，本次评估估价对象证载（地类）用途为。</v>
      </c>
      <c r="C14" s="1652"/>
      <c r="D14" s="1653"/>
    </row>
    <row r="15" spans="1:4" ht="17.399999999999999">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7.399999999999999">
      <c r="A16" s="1662" t="s">
        <v>1864</v>
      </c>
    </row>
    <row r="17" spans="1:1" ht="52.2">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62" t="s">
        <v>1865</v>
      </c>
    </row>
    <row r="20" spans="1:1" ht="17.399999999999999">
      <c r="A20" s="23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87">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62" t="s">
        <v>1866</v>
      </c>
    </row>
    <row r="23" spans="1:1" ht="17.399999999999999">
      <c r="A23" s="2515" t="s">
        <v>2466</v>
      </c>
    </row>
    <row r="24" spans="1:1" ht="17.399999999999999">
      <c r="A24" s="1662" t="s">
        <v>1867</v>
      </c>
    </row>
    <row r="25" spans="1:1" ht="139.19999999999999">
      <c r="A25" s="166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87">
      <c r="A26" s="1662"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68" t="s">
        <v>1819</v>
      </c>
    </row>
    <row r="30" spans="1:1" ht="69.599999999999994">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669"/>
    </row>
    <row r="32" spans="1:1" ht="17.399999999999999">
      <c r="A32" s="1670"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4.4"/>
  <cols>
    <col min="1" max="1" width="4.88671875" style="2581" customWidth="1"/>
    <col min="2" max="2" width="13.21875" style="2587" customWidth="1"/>
    <col min="3" max="3" width="15.6640625" style="2587" customWidth="1"/>
    <col min="4" max="4" width="9.33203125" style="2587" bestFit="1" customWidth="1"/>
    <col min="5" max="5" width="13.44140625" style="2587" customWidth="1"/>
    <col min="6" max="6" width="9" style="2587"/>
    <col min="7" max="7" width="9.33203125" style="2587" bestFit="1" customWidth="1"/>
    <col min="8" max="9" width="9" style="2587"/>
    <col min="10" max="10" width="9.33203125" style="2587" bestFit="1" customWidth="1"/>
    <col min="11" max="11" width="4" style="2581" customWidth="1"/>
    <col min="12" max="12" width="5.109375" style="2587" customWidth="1"/>
    <col min="13" max="13" width="13.77734375" style="2587" customWidth="1"/>
    <col min="14" max="256" width="9" style="2587"/>
    <col min="257" max="257" width="4.88671875" style="2579" customWidth="1"/>
    <col min="258" max="258" width="13.21875" style="2579" customWidth="1"/>
    <col min="259" max="259" width="15.6640625" style="2579" customWidth="1"/>
    <col min="260" max="260" width="9.33203125" style="2579" bestFit="1" customWidth="1"/>
    <col min="261" max="261" width="13.44140625" style="2579" customWidth="1"/>
    <col min="262" max="262" width="9" style="2579"/>
    <col min="263" max="263" width="9.33203125" style="2579" bestFit="1" customWidth="1"/>
    <col min="264" max="265" width="9" style="2579"/>
    <col min="266" max="266" width="9.33203125" style="2579" bestFit="1" customWidth="1"/>
    <col min="267" max="267" width="4" style="2579" customWidth="1"/>
    <col min="268" max="268" width="5.109375" style="2579" customWidth="1"/>
    <col min="269" max="269" width="13.77734375" style="2579" customWidth="1"/>
    <col min="270" max="512" width="9" style="2579"/>
    <col min="513" max="513" width="4.88671875" style="2579" customWidth="1"/>
    <col min="514" max="514" width="13.21875" style="2579" customWidth="1"/>
    <col min="515" max="515" width="15.6640625" style="2579" customWidth="1"/>
    <col min="516" max="516" width="9.33203125" style="2579" bestFit="1" customWidth="1"/>
    <col min="517" max="517" width="13.44140625" style="2579" customWidth="1"/>
    <col min="518" max="518" width="9" style="2579"/>
    <col min="519" max="519" width="9.33203125" style="2579" bestFit="1" customWidth="1"/>
    <col min="520" max="521" width="9" style="2579"/>
    <col min="522" max="522" width="9.33203125" style="2579" bestFit="1" customWidth="1"/>
    <col min="523" max="523" width="4" style="2579" customWidth="1"/>
    <col min="524" max="524" width="5.109375" style="2579" customWidth="1"/>
    <col min="525" max="525" width="13.77734375" style="2579" customWidth="1"/>
    <col min="526" max="768" width="9" style="2579"/>
    <col min="769" max="769" width="4.88671875" style="2579" customWidth="1"/>
    <col min="770" max="770" width="13.21875" style="2579" customWidth="1"/>
    <col min="771" max="771" width="15.6640625" style="2579" customWidth="1"/>
    <col min="772" max="772" width="9.33203125" style="2579" bestFit="1" customWidth="1"/>
    <col min="773" max="773" width="13.44140625" style="2579" customWidth="1"/>
    <col min="774" max="774" width="9" style="2579"/>
    <col min="775" max="775" width="9.33203125" style="2579" bestFit="1" customWidth="1"/>
    <col min="776" max="777" width="9" style="2579"/>
    <col min="778" max="778" width="9.33203125" style="2579" bestFit="1" customWidth="1"/>
    <col min="779" max="779" width="4" style="2579" customWidth="1"/>
    <col min="780" max="780" width="5.109375" style="2579" customWidth="1"/>
    <col min="781" max="781" width="13.77734375" style="2579" customWidth="1"/>
    <col min="782" max="1024" width="9" style="2579"/>
    <col min="1025" max="1025" width="4.88671875" style="2579" customWidth="1"/>
    <col min="1026" max="1026" width="13.21875" style="2579" customWidth="1"/>
    <col min="1027" max="1027" width="15.6640625" style="2579" customWidth="1"/>
    <col min="1028" max="1028" width="9.33203125" style="2579" bestFit="1" customWidth="1"/>
    <col min="1029" max="1029" width="13.44140625" style="2579" customWidth="1"/>
    <col min="1030" max="1030" width="9" style="2579"/>
    <col min="1031" max="1031" width="9.33203125" style="2579" bestFit="1" customWidth="1"/>
    <col min="1032" max="1033" width="9" style="2579"/>
    <col min="1034" max="1034" width="9.33203125" style="2579" bestFit="1" customWidth="1"/>
    <col min="1035" max="1035" width="4" style="2579" customWidth="1"/>
    <col min="1036" max="1036" width="5.109375" style="2579" customWidth="1"/>
    <col min="1037" max="1037" width="13.77734375" style="2579" customWidth="1"/>
    <col min="1038" max="1280" width="9" style="2579"/>
    <col min="1281" max="1281" width="4.88671875" style="2579" customWidth="1"/>
    <col min="1282" max="1282" width="13.21875" style="2579" customWidth="1"/>
    <col min="1283" max="1283" width="15.6640625" style="2579" customWidth="1"/>
    <col min="1284" max="1284" width="9.33203125" style="2579" bestFit="1" customWidth="1"/>
    <col min="1285" max="1285" width="13.44140625" style="2579" customWidth="1"/>
    <col min="1286" max="1286" width="9" style="2579"/>
    <col min="1287" max="1287" width="9.33203125" style="2579" bestFit="1" customWidth="1"/>
    <col min="1288" max="1289" width="9" style="2579"/>
    <col min="1290" max="1290" width="9.33203125" style="2579" bestFit="1" customWidth="1"/>
    <col min="1291" max="1291" width="4" style="2579" customWidth="1"/>
    <col min="1292" max="1292" width="5.109375" style="2579" customWidth="1"/>
    <col min="1293" max="1293" width="13.77734375" style="2579" customWidth="1"/>
    <col min="1294" max="1536" width="9" style="2579"/>
    <col min="1537" max="1537" width="4.88671875" style="2579" customWidth="1"/>
    <col min="1538" max="1538" width="13.21875" style="2579" customWidth="1"/>
    <col min="1539" max="1539" width="15.6640625" style="2579" customWidth="1"/>
    <col min="1540" max="1540" width="9.33203125" style="2579" bestFit="1" customWidth="1"/>
    <col min="1541" max="1541" width="13.44140625" style="2579" customWidth="1"/>
    <col min="1542" max="1542" width="9" style="2579"/>
    <col min="1543" max="1543" width="9.33203125" style="2579" bestFit="1" customWidth="1"/>
    <col min="1544" max="1545" width="9" style="2579"/>
    <col min="1546" max="1546" width="9.33203125" style="2579" bestFit="1" customWidth="1"/>
    <col min="1547" max="1547" width="4" style="2579" customWidth="1"/>
    <col min="1548" max="1548" width="5.109375" style="2579" customWidth="1"/>
    <col min="1549" max="1549" width="13.77734375" style="2579" customWidth="1"/>
    <col min="1550" max="1792" width="9" style="2579"/>
    <col min="1793" max="1793" width="4.88671875" style="2579" customWidth="1"/>
    <col min="1794" max="1794" width="13.21875" style="2579" customWidth="1"/>
    <col min="1795" max="1795" width="15.6640625" style="2579" customWidth="1"/>
    <col min="1796" max="1796" width="9.33203125" style="2579" bestFit="1" customWidth="1"/>
    <col min="1797" max="1797" width="13.44140625" style="2579" customWidth="1"/>
    <col min="1798" max="1798" width="9" style="2579"/>
    <col min="1799" max="1799" width="9.33203125" style="2579" bestFit="1" customWidth="1"/>
    <col min="1800" max="1801" width="9" style="2579"/>
    <col min="1802" max="1802" width="9.33203125" style="2579" bestFit="1" customWidth="1"/>
    <col min="1803" max="1803" width="4" style="2579" customWidth="1"/>
    <col min="1804" max="1804" width="5.109375" style="2579" customWidth="1"/>
    <col min="1805" max="1805" width="13.77734375" style="2579" customWidth="1"/>
    <col min="1806" max="2048" width="9" style="2579"/>
    <col min="2049" max="2049" width="4.88671875" style="2579" customWidth="1"/>
    <col min="2050" max="2050" width="13.21875" style="2579" customWidth="1"/>
    <col min="2051" max="2051" width="15.6640625" style="2579" customWidth="1"/>
    <col min="2052" max="2052" width="9.33203125" style="2579" bestFit="1" customWidth="1"/>
    <col min="2053" max="2053" width="13.44140625" style="2579" customWidth="1"/>
    <col min="2054" max="2054" width="9" style="2579"/>
    <col min="2055" max="2055" width="9.33203125" style="2579" bestFit="1" customWidth="1"/>
    <col min="2056" max="2057" width="9" style="2579"/>
    <col min="2058" max="2058" width="9.33203125" style="2579" bestFit="1" customWidth="1"/>
    <col min="2059" max="2059" width="4" style="2579" customWidth="1"/>
    <col min="2060" max="2060" width="5.109375" style="2579" customWidth="1"/>
    <col min="2061" max="2061" width="13.77734375" style="2579" customWidth="1"/>
    <col min="2062" max="2304" width="9" style="2579"/>
    <col min="2305" max="2305" width="4.88671875" style="2579" customWidth="1"/>
    <col min="2306" max="2306" width="13.21875" style="2579" customWidth="1"/>
    <col min="2307" max="2307" width="15.6640625" style="2579" customWidth="1"/>
    <col min="2308" max="2308" width="9.33203125" style="2579" bestFit="1" customWidth="1"/>
    <col min="2309" max="2309" width="13.44140625" style="2579" customWidth="1"/>
    <col min="2310" max="2310" width="9" style="2579"/>
    <col min="2311" max="2311" width="9.33203125" style="2579" bestFit="1" customWidth="1"/>
    <col min="2312" max="2313" width="9" style="2579"/>
    <col min="2314" max="2314" width="9.33203125" style="2579" bestFit="1" customWidth="1"/>
    <col min="2315" max="2315" width="4" style="2579" customWidth="1"/>
    <col min="2316" max="2316" width="5.109375" style="2579" customWidth="1"/>
    <col min="2317" max="2317" width="13.77734375" style="2579" customWidth="1"/>
    <col min="2318" max="2560" width="9" style="2579"/>
    <col min="2561" max="2561" width="4.88671875" style="2579" customWidth="1"/>
    <col min="2562" max="2562" width="13.21875" style="2579" customWidth="1"/>
    <col min="2563" max="2563" width="15.6640625" style="2579" customWidth="1"/>
    <col min="2564" max="2564" width="9.33203125" style="2579" bestFit="1" customWidth="1"/>
    <col min="2565" max="2565" width="13.44140625" style="2579" customWidth="1"/>
    <col min="2566" max="2566" width="9" style="2579"/>
    <col min="2567" max="2567" width="9.33203125" style="2579" bestFit="1" customWidth="1"/>
    <col min="2568" max="2569" width="9" style="2579"/>
    <col min="2570" max="2570" width="9.33203125" style="2579" bestFit="1" customWidth="1"/>
    <col min="2571" max="2571" width="4" style="2579" customWidth="1"/>
    <col min="2572" max="2572" width="5.109375" style="2579" customWidth="1"/>
    <col min="2573" max="2573" width="13.77734375" style="2579" customWidth="1"/>
    <col min="2574" max="2816" width="9" style="2579"/>
    <col min="2817" max="2817" width="4.88671875" style="2579" customWidth="1"/>
    <col min="2818" max="2818" width="13.21875" style="2579" customWidth="1"/>
    <col min="2819" max="2819" width="15.6640625" style="2579" customWidth="1"/>
    <col min="2820" max="2820" width="9.33203125" style="2579" bestFit="1" customWidth="1"/>
    <col min="2821" max="2821" width="13.44140625" style="2579" customWidth="1"/>
    <col min="2822" max="2822" width="9" style="2579"/>
    <col min="2823" max="2823" width="9.33203125" style="2579" bestFit="1" customWidth="1"/>
    <col min="2824" max="2825" width="9" style="2579"/>
    <col min="2826" max="2826" width="9.33203125" style="2579" bestFit="1" customWidth="1"/>
    <col min="2827" max="2827" width="4" style="2579" customWidth="1"/>
    <col min="2828" max="2828" width="5.109375" style="2579" customWidth="1"/>
    <col min="2829" max="2829" width="13.77734375" style="2579" customWidth="1"/>
    <col min="2830" max="3072" width="9" style="2579"/>
    <col min="3073" max="3073" width="4.88671875" style="2579" customWidth="1"/>
    <col min="3074" max="3074" width="13.21875" style="2579" customWidth="1"/>
    <col min="3075" max="3075" width="15.6640625" style="2579" customWidth="1"/>
    <col min="3076" max="3076" width="9.33203125" style="2579" bestFit="1" customWidth="1"/>
    <col min="3077" max="3077" width="13.44140625" style="2579" customWidth="1"/>
    <col min="3078" max="3078" width="9" style="2579"/>
    <col min="3079" max="3079" width="9.33203125" style="2579" bestFit="1" customWidth="1"/>
    <col min="3080" max="3081" width="9" style="2579"/>
    <col min="3082" max="3082" width="9.33203125" style="2579" bestFit="1" customWidth="1"/>
    <col min="3083" max="3083" width="4" style="2579" customWidth="1"/>
    <col min="3084" max="3084" width="5.109375" style="2579" customWidth="1"/>
    <col min="3085" max="3085" width="13.77734375" style="2579" customWidth="1"/>
    <col min="3086" max="3328" width="9" style="2579"/>
    <col min="3329" max="3329" width="4.88671875" style="2579" customWidth="1"/>
    <col min="3330" max="3330" width="13.21875" style="2579" customWidth="1"/>
    <col min="3331" max="3331" width="15.6640625" style="2579" customWidth="1"/>
    <col min="3332" max="3332" width="9.33203125" style="2579" bestFit="1" customWidth="1"/>
    <col min="3333" max="3333" width="13.44140625" style="2579" customWidth="1"/>
    <col min="3334" max="3334" width="9" style="2579"/>
    <col min="3335" max="3335" width="9.33203125" style="2579" bestFit="1" customWidth="1"/>
    <col min="3336" max="3337" width="9" style="2579"/>
    <col min="3338" max="3338" width="9.33203125" style="2579" bestFit="1" customWidth="1"/>
    <col min="3339" max="3339" width="4" style="2579" customWidth="1"/>
    <col min="3340" max="3340" width="5.109375" style="2579" customWidth="1"/>
    <col min="3341" max="3341" width="13.77734375" style="2579" customWidth="1"/>
    <col min="3342" max="3584" width="9" style="2579"/>
    <col min="3585" max="3585" width="4.88671875" style="2579" customWidth="1"/>
    <col min="3586" max="3586" width="13.21875" style="2579" customWidth="1"/>
    <col min="3587" max="3587" width="15.6640625" style="2579" customWidth="1"/>
    <col min="3588" max="3588" width="9.33203125" style="2579" bestFit="1" customWidth="1"/>
    <col min="3589" max="3589" width="13.44140625" style="2579" customWidth="1"/>
    <col min="3590" max="3590" width="9" style="2579"/>
    <col min="3591" max="3591" width="9.33203125" style="2579" bestFit="1" customWidth="1"/>
    <col min="3592" max="3593" width="9" style="2579"/>
    <col min="3594" max="3594" width="9.33203125" style="2579" bestFit="1" customWidth="1"/>
    <col min="3595" max="3595" width="4" style="2579" customWidth="1"/>
    <col min="3596" max="3596" width="5.109375" style="2579" customWidth="1"/>
    <col min="3597" max="3597" width="13.77734375" style="2579" customWidth="1"/>
    <col min="3598" max="3840" width="9" style="2579"/>
    <col min="3841" max="3841" width="4.88671875" style="2579" customWidth="1"/>
    <col min="3842" max="3842" width="13.21875" style="2579" customWidth="1"/>
    <col min="3843" max="3843" width="15.6640625" style="2579" customWidth="1"/>
    <col min="3844" max="3844" width="9.33203125" style="2579" bestFit="1" customWidth="1"/>
    <col min="3845" max="3845" width="13.44140625" style="2579" customWidth="1"/>
    <col min="3846" max="3846" width="9" style="2579"/>
    <col min="3847" max="3847" width="9.33203125" style="2579" bestFit="1" customWidth="1"/>
    <col min="3848" max="3849" width="9" style="2579"/>
    <col min="3850" max="3850" width="9.33203125" style="2579" bestFit="1" customWidth="1"/>
    <col min="3851" max="3851" width="4" style="2579" customWidth="1"/>
    <col min="3852" max="3852" width="5.109375" style="2579" customWidth="1"/>
    <col min="3853" max="3853" width="13.77734375" style="2579" customWidth="1"/>
    <col min="3854" max="4096" width="9" style="2579"/>
    <col min="4097" max="4097" width="4.88671875" style="2579" customWidth="1"/>
    <col min="4098" max="4098" width="13.21875" style="2579" customWidth="1"/>
    <col min="4099" max="4099" width="15.6640625" style="2579" customWidth="1"/>
    <col min="4100" max="4100" width="9.33203125" style="2579" bestFit="1" customWidth="1"/>
    <col min="4101" max="4101" width="13.44140625" style="2579" customWidth="1"/>
    <col min="4102" max="4102" width="9" style="2579"/>
    <col min="4103" max="4103" width="9.33203125" style="2579" bestFit="1" customWidth="1"/>
    <col min="4104" max="4105" width="9" style="2579"/>
    <col min="4106" max="4106" width="9.33203125" style="2579" bestFit="1" customWidth="1"/>
    <col min="4107" max="4107" width="4" style="2579" customWidth="1"/>
    <col min="4108" max="4108" width="5.109375" style="2579" customWidth="1"/>
    <col min="4109" max="4109" width="13.77734375" style="2579" customWidth="1"/>
    <col min="4110" max="4352" width="9" style="2579"/>
    <col min="4353" max="4353" width="4.88671875" style="2579" customWidth="1"/>
    <col min="4354" max="4354" width="13.21875" style="2579" customWidth="1"/>
    <col min="4355" max="4355" width="15.6640625" style="2579" customWidth="1"/>
    <col min="4356" max="4356" width="9.33203125" style="2579" bestFit="1" customWidth="1"/>
    <col min="4357" max="4357" width="13.44140625" style="2579" customWidth="1"/>
    <col min="4358" max="4358" width="9" style="2579"/>
    <col min="4359" max="4359" width="9.33203125" style="2579" bestFit="1" customWidth="1"/>
    <col min="4360" max="4361" width="9" style="2579"/>
    <col min="4362" max="4362" width="9.33203125" style="2579" bestFit="1" customWidth="1"/>
    <col min="4363" max="4363" width="4" style="2579" customWidth="1"/>
    <col min="4364" max="4364" width="5.109375" style="2579" customWidth="1"/>
    <col min="4365" max="4365" width="13.77734375" style="2579" customWidth="1"/>
    <col min="4366" max="4608" width="9" style="2579"/>
    <col min="4609" max="4609" width="4.88671875" style="2579" customWidth="1"/>
    <col min="4610" max="4610" width="13.21875" style="2579" customWidth="1"/>
    <col min="4611" max="4611" width="15.6640625" style="2579" customWidth="1"/>
    <col min="4612" max="4612" width="9.33203125" style="2579" bestFit="1" customWidth="1"/>
    <col min="4613" max="4613" width="13.44140625" style="2579" customWidth="1"/>
    <col min="4614" max="4614" width="9" style="2579"/>
    <col min="4615" max="4615" width="9.33203125" style="2579" bestFit="1" customWidth="1"/>
    <col min="4616" max="4617" width="9" style="2579"/>
    <col min="4618" max="4618" width="9.33203125" style="2579" bestFit="1" customWidth="1"/>
    <col min="4619" max="4619" width="4" style="2579" customWidth="1"/>
    <col min="4620" max="4620" width="5.109375" style="2579" customWidth="1"/>
    <col min="4621" max="4621" width="13.77734375" style="2579" customWidth="1"/>
    <col min="4622" max="4864" width="9" style="2579"/>
    <col min="4865" max="4865" width="4.88671875" style="2579" customWidth="1"/>
    <col min="4866" max="4866" width="13.21875" style="2579" customWidth="1"/>
    <col min="4867" max="4867" width="15.6640625" style="2579" customWidth="1"/>
    <col min="4868" max="4868" width="9.33203125" style="2579" bestFit="1" customWidth="1"/>
    <col min="4869" max="4869" width="13.44140625" style="2579" customWidth="1"/>
    <col min="4870" max="4870" width="9" style="2579"/>
    <col min="4871" max="4871" width="9.33203125" style="2579" bestFit="1" customWidth="1"/>
    <col min="4872" max="4873" width="9" style="2579"/>
    <col min="4874" max="4874" width="9.33203125" style="2579" bestFit="1" customWidth="1"/>
    <col min="4875" max="4875" width="4" style="2579" customWidth="1"/>
    <col min="4876" max="4876" width="5.109375" style="2579" customWidth="1"/>
    <col min="4877" max="4877" width="13.77734375" style="2579" customWidth="1"/>
    <col min="4878" max="5120" width="9" style="2579"/>
    <col min="5121" max="5121" width="4.88671875" style="2579" customWidth="1"/>
    <col min="5122" max="5122" width="13.21875" style="2579" customWidth="1"/>
    <col min="5123" max="5123" width="15.6640625" style="2579" customWidth="1"/>
    <col min="5124" max="5124" width="9.33203125" style="2579" bestFit="1" customWidth="1"/>
    <col min="5125" max="5125" width="13.44140625" style="2579" customWidth="1"/>
    <col min="5126" max="5126" width="9" style="2579"/>
    <col min="5127" max="5127" width="9.33203125" style="2579" bestFit="1" customWidth="1"/>
    <col min="5128" max="5129" width="9" style="2579"/>
    <col min="5130" max="5130" width="9.33203125" style="2579" bestFit="1" customWidth="1"/>
    <col min="5131" max="5131" width="4" style="2579" customWidth="1"/>
    <col min="5132" max="5132" width="5.109375" style="2579" customWidth="1"/>
    <col min="5133" max="5133" width="13.77734375" style="2579" customWidth="1"/>
    <col min="5134" max="5376" width="9" style="2579"/>
    <col min="5377" max="5377" width="4.88671875" style="2579" customWidth="1"/>
    <col min="5378" max="5378" width="13.21875" style="2579" customWidth="1"/>
    <col min="5379" max="5379" width="15.6640625" style="2579" customWidth="1"/>
    <col min="5380" max="5380" width="9.33203125" style="2579" bestFit="1" customWidth="1"/>
    <col min="5381" max="5381" width="13.44140625" style="2579" customWidth="1"/>
    <col min="5382" max="5382" width="9" style="2579"/>
    <col min="5383" max="5383" width="9.33203125" style="2579" bestFit="1" customWidth="1"/>
    <col min="5384" max="5385" width="9" style="2579"/>
    <col min="5386" max="5386" width="9.33203125" style="2579" bestFit="1" customWidth="1"/>
    <col min="5387" max="5387" width="4" style="2579" customWidth="1"/>
    <col min="5388" max="5388" width="5.109375" style="2579" customWidth="1"/>
    <col min="5389" max="5389" width="13.77734375" style="2579" customWidth="1"/>
    <col min="5390" max="5632" width="9" style="2579"/>
    <col min="5633" max="5633" width="4.88671875" style="2579" customWidth="1"/>
    <col min="5634" max="5634" width="13.21875" style="2579" customWidth="1"/>
    <col min="5635" max="5635" width="15.6640625" style="2579" customWidth="1"/>
    <col min="5636" max="5636" width="9.33203125" style="2579" bestFit="1" customWidth="1"/>
    <col min="5637" max="5637" width="13.44140625" style="2579" customWidth="1"/>
    <col min="5638" max="5638" width="9" style="2579"/>
    <col min="5639" max="5639" width="9.33203125" style="2579" bestFit="1" customWidth="1"/>
    <col min="5640" max="5641" width="9" style="2579"/>
    <col min="5642" max="5642" width="9.33203125" style="2579" bestFit="1" customWidth="1"/>
    <col min="5643" max="5643" width="4" style="2579" customWidth="1"/>
    <col min="5644" max="5644" width="5.109375" style="2579" customWidth="1"/>
    <col min="5645" max="5645" width="13.77734375" style="2579" customWidth="1"/>
    <col min="5646" max="5888" width="9" style="2579"/>
    <col min="5889" max="5889" width="4.88671875" style="2579" customWidth="1"/>
    <col min="5890" max="5890" width="13.21875" style="2579" customWidth="1"/>
    <col min="5891" max="5891" width="15.6640625" style="2579" customWidth="1"/>
    <col min="5892" max="5892" width="9.33203125" style="2579" bestFit="1" customWidth="1"/>
    <col min="5893" max="5893" width="13.44140625" style="2579" customWidth="1"/>
    <col min="5894" max="5894" width="9" style="2579"/>
    <col min="5895" max="5895" width="9.33203125" style="2579" bestFit="1" customWidth="1"/>
    <col min="5896" max="5897" width="9" style="2579"/>
    <col min="5898" max="5898" width="9.33203125" style="2579" bestFit="1" customWidth="1"/>
    <col min="5899" max="5899" width="4" style="2579" customWidth="1"/>
    <col min="5900" max="5900" width="5.109375" style="2579" customWidth="1"/>
    <col min="5901" max="5901" width="13.77734375" style="2579" customWidth="1"/>
    <col min="5902" max="6144" width="9" style="2579"/>
    <col min="6145" max="6145" width="4.88671875" style="2579" customWidth="1"/>
    <col min="6146" max="6146" width="13.21875" style="2579" customWidth="1"/>
    <col min="6147" max="6147" width="15.6640625" style="2579" customWidth="1"/>
    <col min="6148" max="6148" width="9.33203125" style="2579" bestFit="1" customWidth="1"/>
    <col min="6149" max="6149" width="13.44140625" style="2579" customWidth="1"/>
    <col min="6150" max="6150" width="9" style="2579"/>
    <col min="6151" max="6151" width="9.33203125" style="2579" bestFit="1" customWidth="1"/>
    <col min="6152" max="6153" width="9" style="2579"/>
    <col min="6154" max="6154" width="9.33203125" style="2579" bestFit="1" customWidth="1"/>
    <col min="6155" max="6155" width="4" style="2579" customWidth="1"/>
    <col min="6156" max="6156" width="5.109375" style="2579" customWidth="1"/>
    <col min="6157" max="6157" width="13.77734375" style="2579" customWidth="1"/>
    <col min="6158" max="6400" width="9" style="2579"/>
    <col min="6401" max="6401" width="4.88671875" style="2579" customWidth="1"/>
    <col min="6402" max="6402" width="13.21875" style="2579" customWidth="1"/>
    <col min="6403" max="6403" width="15.6640625" style="2579" customWidth="1"/>
    <col min="6404" max="6404" width="9.33203125" style="2579" bestFit="1" customWidth="1"/>
    <col min="6405" max="6405" width="13.44140625" style="2579" customWidth="1"/>
    <col min="6406" max="6406" width="9" style="2579"/>
    <col min="6407" max="6407" width="9.33203125" style="2579" bestFit="1" customWidth="1"/>
    <col min="6408" max="6409" width="9" style="2579"/>
    <col min="6410" max="6410" width="9.33203125" style="2579" bestFit="1" customWidth="1"/>
    <col min="6411" max="6411" width="4" style="2579" customWidth="1"/>
    <col min="6412" max="6412" width="5.109375" style="2579" customWidth="1"/>
    <col min="6413" max="6413" width="13.77734375" style="2579" customWidth="1"/>
    <col min="6414" max="6656" width="9" style="2579"/>
    <col min="6657" max="6657" width="4.88671875" style="2579" customWidth="1"/>
    <col min="6658" max="6658" width="13.21875" style="2579" customWidth="1"/>
    <col min="6659" max="6659" width="15.6640625" style="2579" customWidth="1"/>
    <col min="6660" max="6660" width="9.33203125" style="2579" bestFit="1" customWidth="1"/>
    <col min="6661" max="6661" width="13.44140625" style="2579" customWidth="1"/>
    <col min="6662" max="6662" width="9" style="2579"/>
    <col min="6663" max="6663" width="9.33203125" style="2579" bestFit="1" customWidth="1"/>
    <col min="6664" max="6665" width="9" style="2579"/>
    <col min="6666" max="6666" width="9.33203125" style="2579" bestFit="1" customWidth="1"/>
    <col min="6667" max="6667" width="4" style="2579" customWidth="1"/>
    <col min="6668" max="6668" width="5.109375" style="2579" customWidth="1"/>
    <col min="6669" max="6669" width="13.77734375" style="2579" customWidth="1"/>
    <col min="6670" max="6912" width="9" style="2579"/>
    <col min="6913" max="6913" width="4.88671875" style="2579" customWidth="1"/>
    <col min="6914" max="6914" width="13.21875" style="2579" customWidth="1"/>
    <col min="6915" max="6915" width="15.6640625" style="2579" customWidth="1"/>
    <col min="6916" max="6916" width="9.33203125" style="2579" bestFit="1" customWidth="1"/>
    <col min="6917" max="6917" width="13.44140625" style="2579" customWidth="1"/>
    <col min="6918" max="6918" width="9" style="2579"/>
    <col min="6919" max="6919" width="9.33203125" style="2579" bestFit="1" customWidth="1"/>
    <col min="6920" max="6921" width="9" style="2579"/>
    <col min="6922" max="6922" width="9.33203125" style="2579" bestFit="1" customWidth="1"/>
    <col min="6923" max="6923" width="4" style="2579" customWidth="1"/>
    <col min="6924" max="6924" width="5.109375" style="2579" customWidth="1"/>
    <col min="6925" max="6925" width="13.77734375" style="2579" customWidth="1"/>
    <col min="6926" max="7168" width="9" style="2579"/>
    <col min="7169" max="7169" width="4.88671875" style="2579" customWidth="1"/>
    <col min="7170" max="7170" width="13.21875" style="2579" customWidth="1"/>
    <col min="7171" max="7171" width="15.6640625" style="2579" customWidth="1"/>
    <col min="7172" max="7172" width="9.33203125" style="2579" bestFit="1" customWidth="1"/>
    <col min="7173" max="7173" width="13.44140625" style="2579" customWidth="1"/>
    <col min="7174" max="7174" width="9" style="2579"/>
    <col min="7175" max="7175" width="9.33203125" style="2579" bestFit="1" customWidth="1"/>
    <col min="7176" max="7177" width="9" style="2579"/>
    <col min="7178" max="7178" width="9.33203125" style="2579" bestFit="1" customWidth="1"/>
    <col min="7179" max="7179" width="4" style="2579" customWidth="1"/>
    <col min="7180" max="7180" width="5.109375" style="2579" customWidth="1"/>
    <col min="7181" max="7181" width="13.77734375" style="2579" customWidth="1"/>
    <col min="7182" max="7424" width="9" style="2579"/>
    <col min="7425" max="7425" width="4.88671875" style="2579" customWidth="1"/>
    <col min="7426" max="7426" width="13.21875" style="2579" customWidth="1"/>
    <col min="7427" max="7427" width="15.6640625" style="2579" customWidth="1"/>
    <col min="7428" max="7428" width="9.33203125" style="2579" bestFit="1" customWidth="1"/>
    <col min="7429" max="7429" width="13.44140625" style="2579" customWidth="1"/>
    <col min="7430" max="7430" width="9" style="2579"/>
    <col min="7431" max="7431" width="9.33203125" style="2579" bestFit="1" customWidth="1"/>
    <col min="7432" max="7433" width="9" style="2579"/>
    <col min="7434" max="7434" width="9.33203125" style="2579" bestFit="1" customWidth="1"/>
    <col min="7435" max="7435" width="4" style="2579" customWidth="1"/>
    <col min="7436" max="7436" width="5.109375" style="2579" customWidth="1"/>
    <col min="7437" max="7437" width="13.77734375" style="2579" customWidth="1"/>
    <col min="7438" max="7680" width="9" style="2579"/>
    <col min="7681" max="7681" width="4.88671875" style="2579" customWidth="1"/>
    <col min="7682" max="7682" width="13.21875" style="2579" customWidth="1"/>
    <col min="7683" max="7683" width="15.6640625" style="2579" customWidth="1"/>
    <col min="7684" max="7684" width="9.33203125" style="2579" bestFit="1" customWidth="1"/>
    <col min="7685" max="7685" width="13.44140625" style="2579" customWidth="1"/>
    <col min="7686" max="7686" width="9" style="2579"/>
    <col min="7687" max="7687" width="9.33203125" style="2579" bestFit="1" customWidth="1"/>
    <col min="7688" max="7689" width="9" style="2579"/>
    <col min="7690" max="7690" width="9.33203125" style="2579" bestFit="1" customWidth="1"/>
    <col min="7691" max="7691" width="4" style="2579" customWidth="1"/>
    <col min="7692" max="7692" width="5.109375" style="2579" customWidth="1"/>
    <col min="7693" max="7693" width="13.77734375" style="2579" customWidth="1"/>
    <col min="7694" max="7936" width="9" style="2579"/>
    <col min="7937" max="7937" width="4.88671875" style="2579" customWidth="1"/>
    <col min="7938" max="7938" width="13.21875" style="2579" customWidth="1"/>
    <col min="7939" max="7939" width="15.6640625" style="2579" customWidth="1"/>
    <col min="7940" max="7940" width="9.33203125" style="2579" bestFit="1" customWidth="1"/>
    <col min="7941" max="7941" width="13.44140625" style="2579" customWidth="1"/>
    <col min="7942" max="7942" width="9" style="2579"/>
    <col min="7943" max="7943" width="9.33203125" style="2579" bestFit="1" customWidth="1"/>
    <col min="7944" max="7945" width="9" style="2579"/>
    <col min="7946" max="7946" width="9.33203125" style="2579" bestFit="1" customWidth="1"/>
    <col min="7947" max="7947" width="4" style="2579" customWidth="1"/>
    <col min="7948" max="7948" width="5.109375" style="2579" customWidth="1"/>
    <col min="7949" max="7949" width="13.77734375" style="2579" customWidth="1"/>
    <col min="7950" max="8192" width="9" style="2579"/>
    <col min="8193" max="8193" width="4.88671875" style="2579" customWidth="1"/>
    <col min="8194" max="8194" width="13.21875" style="2579" customWidth="1"/>
    <col min="8195" max="8195" width="15.6640625" style="2579" customWidth="1"/>
    <col min="8196" max="8196" width="9.33203125" style="2579" bestFit="1" customWidth="1"/>
    <col min="8197" max="8197" width="13.44140625" style="2579" customWidth="1"/>
    <col min="8198" max="8198" width="9" style="2579"/>
    <col min="8199" max="8199" width="9.33203125" style="2579" bestFit="1" customWidth="1"/>
    <col min="8200" max="8201" width="9" style="2579"/>
    <col min="8202" max="8202" width="9.33203125" style="2579" bestFit="1" customWidth="1"/>
    <col min="8203" max="8203" width="4" style="2579" customWidth="1"/>
    <col min="8204" max="8204" width="5.109375" style="2579" customWidth="1"/>
    <col min="8205" max="8205" width="13.77734375" style="2579" customWidth="1"/>
    <col min="8206" max="8448" width="9" style="2579"/>
    <col min="8449" max="8449" width="4.88671875" style="2579" customWidth="1"/>
    <col min="8450" max="8450" width="13.21875" style="2579" customWidth="1"/>
    <col min="8451" max="8451" width="15.6640625" style="2579" customWidth="1"/>
    <col min="8452" max="8452" width="9.33203125" style="2579" bestFit="1" customWidth="1"/>
    <col min="8453" max="8453" width="13.44140625" style="2579" customWidth="1"/>
    <col min="8454" max="8454" width="9" style="2579"/>
    <col min="8455" max="8455" width="9.33203125" style="2579" bestFit="1" customWidth="1"/>
    <col min="8456" max="8457" width="9" style="2579"/>
    <col min="8458" max="8458" width="9.33203125" style="2579" bestFit="1" customWidth="1"/>
    <col min="8459" max="8459" width="4" style="2579" customWidth="1"/>
    <col min="8460" max="8460" width="5.109375" style="2579" customWidth="1"/>
    <col min="8461" max="8461" width="13.77734375" style="2579" customWidth="1"/>
    <col min="8462" max="8704" width="9" style="2579"/>
    <col min="8705" max="8705" width="4.88671875" style="2579" customWidth="1"/>
    <col min="8706" max="8706" width="13.21875" style="2579" customWidth="1"/>
    <col min="8707" max="8707" width="15.6640625" style="2579" customWidth="1"/>
    <col min="8708" max="8708" width="9.33203125" style="2579" bestFit="1" customWidth="1"/>
    <col min="8709" max="8709" width="13.44140625" style="2579" customWidth="1"/>
    <col min="8710" max="8710" width="9" style="2579"/>
    <col min="8711" max="8711" width="9.33203125" style="2579" bestFit="1" customWidth="1"/>
    <col min="8712" max="8713" width="9" style="2579"/>
    <col min="8714" max="8714" width="9.33203125" style="2579" bestFit="1" customWidth="1"/>
    <col min="8715" max="8715" width="4" style="2579" customWidth="1"/>
    <col min="8716" max="8716" width="5.109375" style="2579" customWidth="1"/>
    <col min="8717" max="8717" width="13.77734375" style="2579" customWidth="1"/>
    <col min="8718" max="8960" width="9" style="2579"/>
    <col min="8961" max="8961" width="4.88671875" style="2579" customWidth="1"/>
    <col min="8962" max="8962" width="13.21875" style="2579" customWidth="1"/>
    <col min="8963" max="8963" width="15.6640625" style="2579" customWidth="1"/>
    <col min="8964" max="8964" width="9.33203125" style="2579" bestFit="1" customWidth="1"/>
    <col min="8965" max="8965" width="13.44140625" style="2579" customWidth="1"/>
    <col min="8966" max="8966" width="9" style="2579"/>
    <col min="8967" max="8967" width="9.33203125" style="2579" bestFit="1" customWidth="1"/>
    <col min="8968" max="8969" width="9" style="2579"/>
    <col min="8970" max="8970" width="9.33203125" style="2579" bestFit="1" customWidth="1"/>
    <col min="8971" max="8971" width="4" style="2579" customWidth="1"/>
    <col min="8972" max="8972" width="5.109375" style="2579" customWidth="1"/>
    <col min="8973" max="8973" width="13.77734375" style="2579" customWidth="1"/>
    <col min="8974" max="9216" width="9" style="2579"/>
    <col min="9217" max="9217" width="4.88671875" style="2579" customWidth="1"/>
    <col min="9218" max="9218" width="13.21875" style="2579" customWidth="1"/>
    <col min="9219" max="9219" width="15.6640625" style="2579" customWidth="1"/>
    <col min="9220" max="9220" width="9.33203125" style="2579" bestFit="1" customWidth="1"/>
    <col min="9221" max="9221" width="13.44140625" style="2579" customWidth="1"/>
    <col min="9222" max="9222" width="9" style="2579"/>
    <col min="9223" max="9223" width="9.33203125" style="2579" bestFit="1" customWidth="1"/>
    <col min="9224" max="9225" width="9" style="2579"/>
    <col min="9226" max="9226" width="9.33203125" style="2579" bestFit="1" customWidth="1"/>
    <col min="9227" max="9227" width="4" style="2579" customWidth="1"/>
    <col min="9228" max="9228" width="5.109375" style="2579" customWidth="1"/>
    <col min="9229" max="9229" width="13.77734375" style="2579" customWidth="1"/>
    <col min="9230" max="9472" width="9" style="2579"/>
    <col min="9473" max="9473" width="4.88671875" style="2579" customWidth="1"/>
    <col min="9474" max="9474" width="13.21875" style="2579" customWidth="1"/>
    <col min="9475" max="9475" width="15.6640625" style="2579" customWidth="1"/>
    <col min="9476" max="9476" width="9.33203125" style="2579" bestFit="1" customWidth="1"/>
    <col min="9477" max="9477" width="13.44140625" style="2579" customWidth="1"/>
    <col min="9478" max="9478" width="9" style="2579"/>
    <col min="9479" max="9479" width="9.33203125" style="2579" bestFit="1" customWidth="1"/>
    <col min="9480" max="9481" width="9" style="2579"/>
    <col min="9482" max="9482" width="9.33203125" style="2579" bestFit="1" customWidth="1"/>
    <col min="9483" max="9483" width="4" style="2579" customWidth="1"/>
    <col min="9484" max="9484" width="5.109375" style="2579" customWidth="1"/>
    <col min="9485" max="9485" width="13.77734375" style="2579" customWidth="1"/>
    <col min="9486" max="9728" width="9" style="2579"/>
    <col min="9729" max="9729" width="4.88671875" style="2579" customWidth="1"/>
    <col min="9730" max="9730" width="13.21875" style="2579" customWidth="1"/>
    <col min="9731" max="9731" width="15.6640625" style="2579" customWidth="1"/>
    <col min="9732" max="9732" width="9.33203125" style="2579" bestFit="1" customWidth="1"/>
    <col min="9733" max="9733" width="13.44140625" style="2579" customWidth="1"/>
    <col min="9734" max="9734" width="9" style="2579"/>
    <col min="9735" max="9735" width="9.33203125" style="2579" bestFit="1" customWidth="1"/>
    <col min="9736" max="9737" width="9" style="2579"/>
    <col min="9738" max="9738" width="9.33203125" style="2579" bestFit="1" customWidth="1"/>
    <col min="9739" max="9739" width="4" style="2579" customWidth="1"/>
    <col min="9740" max="9740" width="5.109375" style="2579" customWidth="1"/>
    <col min="9741" max="9741" width="13.77734375" style="2579" customWidth="1"/>
    <col min="9742" max="9984" width="9" style="2579"/>
    <col min="9985" max="9985" width="4.88671875" style="2579" customWidth="1"/>
    <col min="9986" max="9986" width="13.21875" style="2579" customWidth="1"/>
    <col min="9987" max="9987" width="15.6640625" style="2579" customWidth="1"/>
    <col min="9988" max="9988" width="9.33203125" style="2579" bestFit="1" customWidth="1"/>
    <col min="9989" max="9989" width="13.44140625" style="2579" customWidth="1"/>
    <col min="9990" max="9990" width="9" style="2579"/>
    <col min="9991" max="9991" width="9.33203125" style="2579" bestFit="1" customWidth="1"/>
    <col min="9992" max="9993" width="9" style="2579"/>
    <col min="9994" max="9994" width="9.33203125" style="2579" bestFit="1" customWidth="1"/>
    <col min="9995" max="9995" width="4" style="2579" customWidth="1"/>
    <col min="9996" max="9996" width="5.109375" style="2579" customWidth="1"/>
    <col min="9997" max="9997" width="13.77734375" style="2579" customWidth="1"/>
    <col min="9998" max="10240" width="9" style="2579"/>
    <col min="10241" max="10241" width="4.88671875" style="2579" customWidth="1"/>
    <col min="10242" max="10242" width="13.21875" style="2579" customWidth="1"/>
    <col min="10243" max="10243" width="15.6640625" style="2579" customWidth="1"/>
    <col min="10244" max="10244" width="9.33203125" style="2579" bestFit="1" customWidth="1"/>
    <col min="10245" max="10245" width="13.44140625" style="2579" customWidth="1"/>
    <col min="10246" max="10246" width="9" style="2579"/>
    <col min="10247" max="10247" width="9.33203125" style="2579" bestFit="1" customWidth="1"/>
    <col min="10248" max="10249" width="9" style="2579"/>
    <col min="10250" max="10250" width="9.33203125" style="2579" bestFit="1" customWidth="1"/>
    <col min="10251" max="10251" width="4" style="2579" customWidth="1"/>
    <col min="10252" max="10252" width="5.109375" style="2579" customWidth="1"/>
    <col min="10253" max="10253" width="13.77734375" style="2579" customWidth="1"/>
    <col min="10254" max="10496" width="9" style="2579"/>
    <col min="10497" max="10497" width="4.88671875" style="2579" customWidth="1"/>
    <col min="10498" max="10498" width="13.21875" style="2579" customWidth="1"/>
    <col min="10499" max="10499" width="15.6640625" style="2579" customWidth="1"/>
    <col min="10500" max="10500" width="9.33203125" style="2579" bestFit="1" customWidth="1"/>
    <col min="10501" max="10501" width="13.44140625" style="2579" customWidth="1"/>
    <col min="10502" max="10502" width="9" style="2579"/>
    <col min="10503" max="10503" width="9.33203125" style="2579" bestFit="1" customWidth="1"/>
    <col min="10504" max="10505" width="9" style="2579"/>
    <col min="10506" max="10506" width="9.33203125" style="2579" bestFit="1" customWidth="1"/>
    <col min="10507" max="10507" width="4" style="2579" customWidth="1"/>
    <col min="10508" max="10508" width="5.109375" style="2579" customWidth="1"/>
    <col min="10509" max="10509" width="13.77734375" style="2579" customWidth="1"/>
    <col min="10510" max="10752" width="9" style="2579"/>
    <col min="10753" max="10753" width="4.88671875" style="2579" customWidth="1"/>
    <col min="10754" max="10754" width="13.21875" style="2579" customWidth="1"/>
    <col min="10755" max="10755" width="15.6640625" style="2579" customWidth="1"/>
    <col min="10756" max="10756" width="9.33203125" style="2579" bestFit="1" customWidth="1"/>
    <col min="10757" max="10757" width="13.44140625" style="2579" customWidth="1"/>
    <col min="10758" max="10758" width="9" style="2579"/>
    <col min="10759" max="10759" width="9.33203125" style="2579" bestFit="1" customWidth="1"/>
    <col min="10760" max="10761" width="9" style="2579"/>
    <col min="10762" max="10762" width="9.33203125" style="2579" bestFit="1" customWidth="1"/>
    <col min="10763" max="10763" width="4" style="2579" customWidth="1"/>
    <col min="10764" max="10764" width="5.109375" style="2579" customWidth="1"/>
    <col min="10765" max="10765" width="13.77734375" style="2579" customWidth="1"/>
    <col min="10766" max="11008" width="9" style="2579"/>
    <col min="11009" max="11009" width="4.88671875" style="2579" customWidth="1"/>
    <col min="11010" max="11010" width="13.21875" style="2579" customWidth="1"/>
    <col min="11011" max="11011" width="15.6640625" style="2579" customWidth="1"/>
    <col min="11012" max="11012" width="9.33203125" style="2579" bestFit="1" customWidth="1"/>
    <col min="11013" max="11013" width="13.44140625" style="2579" customWidth="1"/>
    <col min="11014" max="11014" width="9" style="2579"/>
    <col min="11015" max="11015" width="9.33203125" style="2579" bestFit="1" customWidth="1"/>
    <col min="11016" max="11017" width="9" style="2579"/>
    <col min="11018" max="11018" width="9.33203125" style="2579" bestFit="1" customWidth="1"/>
    <col min="11019" max="11019" width="4" style="2579" customWidth="1"/>
    <col min="11020" max="11020" width="5.109375" style="2579" customWidth="1"/>
    <col min="11021" max="11021" width="13.77734375" style="2579" customWidth="1"/>
    <col min="11022" max="11264" width="9" style="2579"/>
    <col min="11265" max="11265" width="4.88671875" style="2579" customWidth="1"/>
    <col min="11266" max="11266" width="13.21875" style="2579" customWidth="1"/>
    <col min="11267" max="11267" width="15.6640625" style="2579" customWidth="1"/>
    <col min="11268" max="11268" width="9.33203125" style="2579" bestFit="1" customWidth="1"/>
    <col min="11269" max="11269" width="13.44140625" style="2579" customWidth="1"/>
    <col min="11270" max="11270" width="9" style="2579"/>
    <col min="11271" max="11271" width="9.33203125" style="2579" bestFit="1" customWidth="1"/>
    <col min="11272" max="11273" width="9" style="2579"/>
    <col min="11274" max="11274" width="9.33203125" style="2579" bestFit="1" customWidth="1"/>
    <col min="11275" max="11275" width="4" style="2579" customWidth="1"/>
    <col min="11276" max="11276" width="5.109375" style="2579" customWidth="1"/>
    <col min="11277" max="11277" width="13.77734375" style="2579" customWidth="1"/>
    <col min="11278" max="11520" width="9" style="2579"/>
    <col min="11521" max="11521" width="4.88671875" style="2579" customWidth="1"/>
    <col min="11522" max="11522" width="13.21875" style="2579" customWidth="1"/>
    <col min="11523" max="11523" width="15.6640625" style="2579" customWidth="1"/>
    <col min="11524" max="11524" width="9.33203125" style="2579" bestFit="1" customWidth="1"/>
    <col min="11525" max="11525" width="13.44140625" style="2579" customWidth="1"/>
    <col min="11526" max="11526" width="9" style="2579"/>
    <col min="11527" max="11527" width="9.33203125" style="2579" bestFit="1" customWidth="1"/>
    <col min="11528" max="11529" width="9" style="2579"/>
    <col min="11530" max="11530" width="9.33203125" style="2579" bestFit="1" customWidth="1"/>
    <col min="11531" max="11531" width="4" style="2579" customWidth="1"/>
    <col min="11532" max="11532" width="5.109375" style="2579" customWidth="1"/>
    <col min="11533" max="11533" width="13.77734375" style="2579" customWidth="1"/>
    <col min="11534" max="11776" width="9" style="2579"/>
    <col min="11777" max="11777" width="4.88671875" style="2579" customWidth="1"/>
    <col min="11778" max="11778" width="13.21875" style="2579" customWidth="1"/>
    <col min="11779" max="11779" width="15.6640625" style="2579" customWidth="1"/>
    <col min="11780" max="11780" width="9.33203125" style="2579" bestFit="1" customWidth="1"/>
    <col min="11781" max="11781" width="13.44140625" style="2579" customWidth="1"/>
    <col min="11782" max="11782" width="9" style="2579"/>
    <col min="11783" max="11783" width="9.33203125" style="2579" bestFit="1" customWidth="1"/>
    <col min="11784" max="11785" width="9" style="2579"/>
    <col min="11786" max="11786" width="9.33203125" style="2579" bestFit="1" customWidth="1"/>
    <col min="11787" max="11787" width="4" style="2579" customWidth="1"/>
    <col min="11788" max="11788" width="5.109375" style="2579" customWidth="1"/>
    <col min="11789" max="11789" width="13.77734375" style="2579" customWidth="1"/>
    <col min="11790" max="12032" width="9" style="2579"/>
    <col min="12033" max="12033" width="4.88671875" style="2579" customWidth="1"/>
    <col min="12034" max="12034" width="13.21875" style="2579" customWidth="1"/>
    <col min="12035" max="12035" width="15.6640625" style="2579" customWidth="1"/>
    <col min="12036" max="12036" width="9.33203125" style="2579" bestFit="1" customWidth="1"/>
    <col min="12037" max="12037" width="13.44140625" style="2579" customWidth="1"/>
    <col min="12038" max="12038" width="9" style="2579"/>
    <col min="12039" max="12039" width="9.33203125" style="2579" bestFit="1" customWidth="1"/>
    <col min="12040" max="12041" width="9" style="2579"/>
    <col min="12042" max="12042" width="9.33203125" style="2579" bestFit="1" customWidth="1"/>
    <col min="12043" max="12043" width="4" style="2579" customWidth="1"/>
    <col min="12044" max="12044" width="5.109375" style="2579" customWidth="1"/>
    <col min="12045" max="12045" width="13.77734375" style="2579" customWidth="1"/>
    <col min="12046" max="12288" width="9" style="2579"/>
    <col min="12289" max="12289" width="4.88671875" style="2579" customWidth="1"/>
    <col min="12290" max="12290" width="13.21875" style="2579" customWidth="1"/>
    <col min="12291" max="12291" width="15.6640625" style="2579" customWidth="1"/>
    <col min="12292" max="12292" width="9.33203125" style="2579" bestFit="1" customWidth="1"/>
    <col min="12293" max="12293" width="13.44140625" style="2579" customWidth="1"/>
    <col min="12294" max="12294" width="9" style="2579"/>
    <col min="12295" max="12295" width="9.33203125" style="2579" bestFit="1" customWidth="1"/>
    <col min="12296" max="12297" width="9" style="2579"/>
    <col min="12298" max="12298" width="9.33203125" style="2579" bestFit="1" customWidth="1"/>
    <col min="12299" max="12299" width="4" style="2579" customWidth="1"/>
    <col min="12300" max="12300" width="5.109375" style="2579" customWidth="1"/>
    <col min="12301" max="12301" width="13.77734375" style="2579" customWidth="1"/>
    <col min="12302" max="12544" width="9" style="2579"/>
    <col min="12545" max="12545" width="4.88671875" style="2579" customWidth="1"/>
    <col min="12546" max="12546" width="13.21875" style="2579" customWidth="1"/>
    <col min="12547" max="12547" width="15.6640625" style="2579" customWidth="1"/>
    <col min="12548" max="12548" width="9.33203125" style="2579" bestFit="1" customWidth="1"/>
    <col min="12549" max="12549" width="13.44140625" style="2579" customWidth="1"/>
    <col min="12550" max="12550" width="9" style="2579"/>
    <col min="12551" max="12551" width="9.33203125" style="2579" bestFit="1" customWidth="1"/>
    <col min="12552" max="12553" width="9" style="2579"/>
    <col min="12554" max="12554" width="9.33203125" style="2579" bestFit="1" customWidth="1"/>
    <col min="12555" max="12555" width="4" style="2579" customWidth="1"/>
    <col min="12556" max="12556" width="5.109375" style="2579" customWidth="1"/>
    <col min="12557" max="12557" width="13.77734375" style="2579" customWidth="1"/>
    <col min="12558" max="12800" width="9" style="2579"/>
    <col min="12801" max="12801" width="4.88671875" style="2579" customWidth="1"/>
    <col min="12802" max="12802" width="13.21875" style="2579" customWidth="1"/>
    <col min="12803" max="12803" width="15.6640625" style="2579" customWidth="1"/>
    <col min="12804" max="12804" width="9.33203125" style="2579" bestFit="1" customWidth="1"/>
    <col min="12805" max="12805" width="13.44140625" style="2579" customWidth="1"/>
    <col min="12806" max="12806" width="9" style="2579"/>
    <col min="12807" max="12807" width="9.33203125" style="2579" bestFit="1" customWidth="1"/>
    <col min="12808" max="12809" width="9" style="2579"/>
    <col min="12810" max="12810" width="9.33203125" style="2579" bestFit="1" customWidth="1"/>
    <col min="12811" max="12811" width="4" style="2579" customWidth="1"/>
    <col min="12812" max="12812" width="5.109375" style="2579" customWidth="1"/>
    <col min="12813" max="12813" width="13.77734375" style="2579" customWidth="1"/>
    <col min="12814" max="13056" width="9" style="2579"/>
    <col min="13057" max="13057" width="4.88671875" style="2579" customWidth="1"/>
    <col min="13058" max="13058" width="13.21875" style="2579" customWidth="1"/>
    <col min="13059" max="13059" width="15.6640625" style="2579" customWidth="1"/>
    <col min="13060" max="13060" width="9.33203125" style="2579" bestFit="1" customWidth="1"/>
    <col min="13061" max="13061" width="13.44140625" style="2579" customWidth="1"/>
    <col min="13062" max="13062" width="9" style="2579"/>
    <col min="13063" max="13063" width="9.33203125" style="2579" bestFit="1" customWidth="1"/>
    <col min="13064" max="13065" width="9" style="2579"/>
    <col min="13066" max="13066" width="9.33203125" style="2579" bestFit="1" customWidth="1"/>
    <col min="13067" max="13067" width="4" style="2579" customWidth="1"/>
    <col min="13068" max="13068" width="5.109375" style="2579" customWidth="1"/>
    <col min="13069" max="13069" width="13.77734375" style="2579" customWidth="1"/>
    <col min="13070" max="13312" width="9" style="2579"/>
    <col min="13313" max="13313" width="4.88671875" style="2579" customWidth="1"/>
    <col min="13314" max="13314" width="13.21875" style="2579" customWidth="1"/>
    <col min="13315" max="13315" width="15.6640625" style="2579" customWidth="1"/>
    <col min="13316" max="13316" width="9.33203125" style="2579" bestFit="1" customWidth="1"/>
    <col min="13317" max="13317" width="13.44140625" style="2579" customWidth="1"/>
    <col min="13318" max="13318" width="9" style="2579"/>
    <col min="13319" max="13319" width="9.33203125" style="2579" bestFit="1" customWidth="1"/>
    <col min="13320" max="13321" width="9" style="2579"/>
    <col min="13322" max="13322" width="9.33203125" style="2579" bestFit="1" customWidth="1"/>
    <col min="13323" max="13323" width="4" style="2579" customWidth="1"/>
    <col min="13324" max="13324" width="5.109375" style="2579" customWidth="1"/>
    <col min="13325" max="13325" width="13.77734375" style="2579" customWidth="1"/>
    <col min="13326" max="13568" width="9" style="2579"/>
    <col min="13569" max="13569" width="4.88671875" style="2579" customWidth="1"/>
    <col min="13570" max="13570" width="13.21875" style="2579" customWidth="1"/>
    <col min="13571" max="13571" width="15.6640625" style="2579" customWidth="1"/>
    <col min="13572" max="13572" width="9.33203125" style="2579" bestFit="1" customWidth="1"/>
    <col min="13573" max="13573" width="13.44140625" style="2579" customWidth="1"/>
    <col min="13574" max="13574" width="9" style="2579"/>
    <col min="13575" max="13575" width="9.33203125" style="2579" bestFit="1" customWidth="1"/>
    <col min="13576" max="13577" width="9" style="2579"/>
    <col min="13578" max="13578" width="9.33203125" style="2579" bestFit="1" customWidth="1"/>
    <col min="13579" max="13579" width="4" style="2579" customWidth="1"/>
    <col min="13580" max="13580" width="5.109375" style="2579" customWidth="1"/>
    <col min="13581" max="13581" width="13.77734375" style="2579" customWidth="1"/>
    <col min="13582" max="13824" width="9" style="2579"/>
    <col min="13825" max="13825" width="4.88671875" style="2579" customWidth="1"/>
    <col min="13826" max="13826" width="13.21875" style="2579" customWidth="1"/>
    <col min="13827" max="13827" width="15.6640625" style="2579" customWidth="1"/>
    <col min="13828" max="13828" width="9.33203125" style="2579" bestFit="1" customWidth="1"/>
    <col min="13829" max="13829" width="13.44140625" style="2579" customWidth="1"/>
    <col min="13830" max="13830" width="9" style="2579"/>
    <col min="13831" max="13831" width="9.33203125" style="2579" bestFit="1" customWidth="1"/>
    <col min="13832" max="13833" width="9" style="2579"/>
    <col min="13834" max="13834" width="9.33203125" style="2579" bestFit="1" customWidth="1"/>
    <col min="13835" max="13835" width="4" style="2579" customWidth="1"/>
    <col min="13836" max="13836" width="5.109375" style="2579" customWidth="1"/>
    <col min="13837" max="13837" width="13.77734375" style="2579" customWidth="1"/>
    <col min="13838" max="14080" width="9" style="2579"/>
    <col min="14081" max="14081" width="4.88671875" style="2579" customWidth="1"/>
    <col min="14082" max="14082" width="13.21875" style="2579" customWidth="1"/>
    <col min="14083" max="14083" width="15.6640625" style="2579" customWidth="1"/>
    <col min="14084" max="14084" width="9.33203125" style="2579" bestFit="1" customWidth="1"/>
    <col min="14085" max="14085" width="13.44140625" style="2579" customWidth="1"/>
    <col min="14086" max="14086" width="9" style="2579"/>
    <col min="14087" max="14087" width="9.33203125" style="2579" bestFit="1" customWidth="1"/>
    <col min="14088" max="14089" width="9" style="2579"/>
    <col min="14090" max="14090" width="9.33203125" style="2579" bestFit="1" customWidth="1"/>
    <col min="14091" max="14091" width="4" style="2579" customWidth="1"/>
    <col min="14092" max="14092" width="5.109375" style="2579" customWidth="1"/>
    <col min="14093" max="14093" width="13.77734375" style="2579" customWidth="1"/>
    <col min="14094" max="14336" width="9" style="2579"/>
    <col min="14337" max="14337" width="4.88671875" style="2579" customWidth="1"/>
    <col min="14338" max="14338" width="13.21875" style="2579" customWidth="1"/>
    <col min="14339" max="14339" width="15.6640625" style="2579" customWidth="1"/>
    <col min="14340" max="14340" width="9.33203125" style="2579" bestFit="1" customWidth="1"/>
    <col min="14341" max="14341" width="13.44140625" style="2579" customWidth="1"/>
    <col min="14342" max="14342" width="9" style="2579"/>
    <col min="14343" max="14343" width="9.33203125" style="2579" bestFit="1" customWidth="1"/>
    <col min="14344" max="14345" width="9" style="2579"/>
    <col min="14346" max="14346" width="9.33203125" style="2579" bestFit="1" customWidth="1"/>
    <col min="14347" max="14347" width="4" style="2579" customWidth="1"/>
    <col min="14348" max="14348" width="5.109375" style="2579" customWidth="1"/>
    <col min="14349" max="14349" width="13.77734375" style="2579" customWidth="1"/>
    <col min="14350" max="14592" width="9" style="2579"/>
    <col min="14593" max="14593" width="4.88671875" style="2579" customWidth="1"/>
    <col min="14594" max="14594" width="13.21875" style="2579" customWidth="1"/>
    <col min="14595" max="14595" width="15.6640625" style="2579" customWidth="1"/>
    <col min="14596" max="14596" width="9.33203125" style="2579" bestFit="1" customWidth="1"/>
    <col min="14597" max="14597" width="13.44140625" style="2579" customWidth="1"/>
    <col min="14598" max="14598" width="9" style="2579"/>
    <col min="14599" max="14599" width="9.33203125" style="2579" bestFit="1" customWidth="1"/>
    <col min="14600" max="14601" width="9" style="2579"/>
    <col min="14602" max="14602" width="9.33203125" style="2579" bestFit="1" customWidth="1"/>
    <col min="14603" max="14603" width="4" style="2579" customWidth="1"/>
    <col min="14604" max="14604" width="5.109375" style="2579" customWidth="1"/>
    <col min="14605" max="14605" width="13.77734375" style="2579" customWidth="1"/>
    <col min="14606" max="14848" width="9" style="2579"/>
    <col min="14849" max="14849" width="4.88671875" style="2579" customWidth="1"/>
    <col min="14850" max="14850" width="13.21875" style="2579" customWidth="1"/>
    <col min="14851" max="14851" width="15.6640625" style="2579" customWidth="1"/>
    <col min="14852" max="14852" width="9.33203125" style="2579" bestFit="1" customWidth="1"/>
    <col min="14853" max="14853" width="13.44140625" style="2579" customWidth="1"/>
    <col min="14854" max="14854" width="9" style="2579"/>
    <col min="14855" max="14855" width="9.33203125" style="2579" bestFit="1" customWidth="1"/>
    <col min="14856" max="14857" width="9" style="2579"/>
    <col min="14858" max="14858" width="9.33203125" style="2579" bestFit="1" customWidth="1"/>
    <col min="14859" max="14859" width="4" style="2579" customWidth="1"/>
    <col min="14860" max="14860" width="5.109375" style="2579" customWidth="1"/>
    <col min="14861" max="14861" width="13.77734375" style="2579" customWidth="1"/>
    <col min="14862" max="15104" width="9" style="2579"/>
    <col min="15105" max="15105" width="4.88671875" style="2579" customWidth="1"/>
    <col min="15106" max="15106" width="13.21875" style="2579" customWidth="1"/>
    <col min="15107" max="15107" width="15.6640625" style="2579" customWidth="1"/>
    <col min="15108" max="15108" width="9.33203125" style="2579" bestFit="1" customWidth="1"/>
    <col min="15109" max="15109" width="13.44140625" style="2579" customWidth="1"/>
    <col min="15110" max="15110" width="9" style="2579"/>
    <col min="15111" max="15111" width="9.33203125" style="2579" bestFit="1" customWidth="1"/>
    <col min="15112" max="15113" width="9" style="2579"/>
    <col min="15114" max="15114" width="9.33203125" style="2579" bestFit="1" customWidth="1"/>
    <col min="15115" max="15115" width="4" style="2579" customWidth="1"/>
    <col min="15116" max="15116" width="5.109375" style="2579" customWidth="1"/>
    <col min="15117" max="15117" width="13.77734375" style="2579" customWidth="1"/>
    <col min="15118" max="15360" width="9" style="2579"/>
    <col min="15361" max="15361" width="4.88671875" style="2579" customWidth="1"/>
    <col min="15362" max="15362" width="13.21875" style="2579" customWidth="1"/>
    <col min="15363" max="15363" width="15.6640625" style="2579" customWidth="1"/>
    <col min="15364" max="15364" width="9.33203125" style="2579" bestFit="1" customWidth="1"/>
    <col min="15365" max="15365" width="13.44140625" style="2579" customWidth="1"/>
    <col min="15366" max="15366" width="9" style="2579"/>
    <col min="15367" max="15367" width="9.33203125" style="2579" bestFit="1" customWidth="1"/>
    <col min="15368" max="15369" width="9" style="2579"/>
    <col min="15370" max="15370" width="9.33203125" style="2579" bestFit="1" customWidth="1"/>
    <col min="15371" max="15371" width="4" style="2579" customWidth="1"/>
    <col min="15372" max="15372" width="5.109375" style="2579" customWidth="1"/>
    <col min="15373" max="15373" width="13.77734375" style="2579" customWidth="1"/>
    <col min="15374" max="15616" width="9" style="2579"/>
    <col min="15617" max="15617" width="4.88671875" style="2579" customWidth="1"/>
    <col min="15618" max="15618" width="13.21875" style="2579" customWidth="1"/>
    <col min="15619" max="15619" width="15.6640625" style="2579" customWidth="1"/>
    <col min="15620" max="15620" width="9.33203125" style="2579" bestFit="1" customWidth="1"/>
    <col min="15621" max="15621" width="13.44140625" style="2579" customWidth="1"/>
    <col min="15622" max="15622" width="9" style="2579"/>
    <col min="15623" max="15623" width="9.33203125" style="2579" bestFit="1" customWidth="1"/>
    <col min="15624" max="15625" width="9" style="2579"/>
    <col min="15626" max="15626" width="9.33203125" style="2579" bestFit="1" customWidth="1"/>
    <col min="15627" max="15627" width="4" style="2579" customWidth="1"/>
    <col min="15628" max="15628" width="5.109375" style="2579" customWidth="1"/>
    <col min="15629" max="15629" width="13.77734375" style="2579" customWidth="1"/>
    <col min="15630" max="15872" width="9" style="2579"/>
    <col min="15873" max="15873" width="4.88671875" style="2579" customWidth="1"/>
    <col min="15874" max="15874" width="13.21875" style="2579" customWidth="1"/>
    <col min="15875" max="15875" width="15.6640625" style="2579" customWidth="1"/>
    <col min="15876" max="15876" width="9.33203125" style="2579" bestFit="1" customWidth="1"/>
    <col min="15877" max="15877" width="13.44140625" style="2579" customWidth="1"/>
    <col min="15878" max="15878" width="9" style="2579"/>
    <col min="15879" max="15879" width="9.33203125" style="2579" bestFit="1" customWidth="1"/>
    <col min="15880" max="15881" width="9" style="2579"/>
    <col min="15882" max="15882" width="9.33203125" style="2579" bestFit="1" customWidth="1"/>
    <col min="15883" max="15883" width="4" style="2579" customWidth="1"/>
    <col min="15884" max="15884" width="5.109375" style="2579" customWidth="1"/>
    <col min="15885" max="15885" width="13.77734375" style="2579" customWidth="1"/>
    <col min="15886" max="16128" width="9" style="2579"/>
    <col min="16129" max="16129" width="4.88671875" style="2579" customWidth="1"/>
    <col min="16130" max="16130" width="13.21875" style="2579" customWidth="1"/>
    <col min="16131" max="16131" width="15.6640625" style="2579" customWidth="1"/>
    <col min="16132" max="16132" width="9.33203125" style="2579" bestFit="1" customWidth="1"/>
    <col min="16133" max="16133" width="13.44140625" style="2579" customWidth="1"/>
    <col min="16134" max="16134" width="9" style="2579"/>
    <col min="16135" max="16135" width="9.33203125" style="2579" bestFit="1" customWidth="1"/>
    <col min="16136" max="16137" width="9" style="2579"/>
    <col min="16138" max="16138" width="9.33203125" style="2579" bestFit="1" customWidth="1"/>
    <col min="16139" max="16139" width="4" style="2579" customWidth="1"/>
    <col min="16140" max="16140" width="5.109375" style="2579" customWidth="1"/>
    <col min="16141" max="16141" width="13.77734375" style="2579" customWidth="1"/>
    <col min="16142" max="16384" width="9" style="2579"/>
  </cols>
  <sheetData>
    <row r="1" spans="1:257" s="2638" customFormat="1" ht="15" thickBot="1">
      <c r="A1" s="2637"/>
      <c r="B1" s="2639" t="s">
        <v>2504</v>
      </c>
      <c r="C1" s="2643">
        <f>项目基本情况!D3</f>
        <v>0</v>
      </c>
      <c r="H1" s="2578">
        <f>IF(C1&gt;C13,0,MATCH(C1,C$13:C$109,-1))+IF(SUMIF(C13:C109,C1,D13:D109)=0,13,12)</f>
        <v>67</v>
      </c>
      <c r="I1" s="2578">
        <f ca="1">MATCH(C2,H3:H7,1)+IF(SUMIF(H3:H7,C2,I3:I7)=0,2,1)</f>
        <v>3</v>
      </c>
      <c r="J1" s="2636">
        <f ca="1">MATCH(C3,H3:H7,1)+IF(SUMIF(H3:H7,C3,J3:J7)=0,2,1)</f>
        <v>3</v>
      </c>
      <c r="N1" s="2578">
        <f>IF(C1&gt;M13,0,MATCH(C1,M$13:M$100,-1))+IF(SUMIF(M13:M100,C1,N13:N100)=0,13,12)</f>
        <v>52</v>
      </c>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37"/>
      <c r="AW1" s="2637"/>
      <c r="AX1" s="2637"/>
      <c r="AY1" s="2637"/>
      <c r="AZ1" s="2637"/>
      <c r="BA1" s="2637"/>
      <c r="BB1" s="2637"/>
      <c r="BC1" s="2637"/>
      <c r="BD1" s="2637"/>
      <c r="BE1" s="2637"/>
      <c r="BF1" s="2637"/>
      <c r="BG1" s="2637"/>
      <c r="BH1" s="2637"/>
      <c r="BI1" s="2637"/>
      <c r="BJ1" s="2637"/>
      <c r="BK1" s="2637"/>
      <c r="BL1" s="2637"/>
      <c r="BM1" s="2637"/>
      <c r="BN1" s="2637"/>
      <c r="BO1" s="2637"/>
      <c r="BP1" s="2637"/>
      <c r="BQ1" s="2637"/>
      <c r="BR1" s="2637"/>
      <c r="BS1" s="2637"/>
      <c r="BT1" s="2637"/>
      <c r="BU1" s="2637"/>
      <c r="BV1" s="2637"/>
      <c r="BW1" s="2637"/>
      <c r="BX1" s="2637"/>
      <c r="BY1" s="2637"/>
      <c r="BZ1" s="2637"/>
      <c r="CA1" s="2637"/>
      <c r="CB1" s="2637"/>
      <c r="CC1" s="2637"/>
      <c r="CD1" s="2637"/>
      <c r="CE1" s="2637"/>
      <c r="CF1" s="2637"/>
      <c r="CG1" s="2637"/>
      <c r="CH1" s="2637"/>
      <c r="CI1" s="2637"/>
      <c r="CJ1" s="2637"/>
      <c r="CK1" s="2637"/>
      <c r="CL1" s="2637"/>
      <c r="CM1" s="2637"/>
      <c r="CN1" s="2637"/>
      <c r="CO1" s="2637"/>
      <c r="CP1" s="2637"/>
      <c r="CQ1" s="2637"/>
      <c r="CR1" s="2637"/>
      <c r="CS1" s="2637"/>
      <c r="CT1" s="2637"/>
      <c r="CU1" s="2637"/>
      <c r="CV1" s="2637"/>
      <c r="CW1" s="2637"/>
      <c r="CX1" s="2637"/>
      <c r="CY1" s="2637"/>
      <c r="CZ1" s="2637"/>
      <c r="DA1" s="2637"/>
      <c r="DB1" s="2637"/>
      <c r="DC1" s="2637"/>
      <c r="DD1" s="2637"/>
      <c r="DE1" s="2637"/>
      <c r="DF1" s="2637"/>
      <c r="DG1" s="2637"/>
      <c r="DH1" s="2637"/>
      <c r="DI1" s="2637"/>
      <c r="DJ1" s="2637"/>
      <c r="DK1" s="2637"/>
      <c r="DL1" s="2637"/>
      <c r="DM1" s="2637"/>
      <c r="DN1" s="2637"/>
      <c r="DO1" s="2637"/>
      <c r="DP1" s="2637"/>
      <c r="DQ1" s="2637"/>
      <c r="DR1" s="2637"/>
      <c r="DS1" s="2637"/>
      <c r="DT1" s="2637"/>
      <c r="DU1" s="2637"/>
      <c r="DV1" s="2637"/>
      <c r="DW1" s="2637"/>
      <c r="DX1" s="2637"/>
      <c r="DY1" s="2637"/>
      <c r="DZ1" s="2637"/>
      <c r="EA1" s="2637"/>
      <c r="EB1" s="2637"/>
      <c r="EC1" s="2637"/>
      <c r="ED1" s="2637"/>
      <c r="EE1" s="2637"/>
      <c r="EF1" s="2637"/>
      <c r="EG1" s="2637"/>
      <c r="EH1" s="2637"/>
      <c r="EI1" s="2637"/>
      <c r="EJ1" s="2637"/>
      <c r="EK1" s="2637"/>
      <c r="EL1" s="2637"/>
      <c r="EM1" s="2637"/>
      <c r="EN1" s="2637"/>
      <c r="EO1" s="2637"/>
      <c r="EP1" s="2637"/>
      <c r="EQ1" s="2637"/>
      <c r="ER1" s="2637"/>
      <c r="ES1" s="2637"/>
      <c r="ET1" s="2637"/>
      <c r="EU1" s="2637"/>
      <c r="EV1" s="2637"/>
      <c r="EW1" s="2637"/>
      <c r="EX1" s="2637"/>
      <c r="EY1" s="2637"/>
      <c r="EZ1" s="2637"/>
      <c r="FA1" s="2637"/>
      <c r="FB1" s="2637"/>
      <c r="FC1" s="2637"/>
      <c r="FD1" s="2637"/>
      <c r="FE1" s="2637"/>
      <c r="FF1" s="2637"/>
      <c r="FG1" s="2637"/>
      <c r="FH1" s="2637"/>
      <c r="FI1" s="2637"/>
      <c r="FJ1" s="2637"/>
      <c r="FK1" s="2637"/>
      <c r="FL1" s="2637"/>
      <c r="FM1" s="2637"/>
      <c r="FN1" s="2637"/>
      <c r="FO1" s="2637"/>
      <c r="FP1" s="2637"/>
      <c r="FQ1" s="2637"/>
      <c r="FR1" s="2637"/>
      <c r="FS1" s="2637"/>
      <c r="FT1" s="2637"/>
      <c r="FU1" s="2637"/>
      <c r="FV1" s="2637"/>
      <c r="FW1" s="2637"/>
      <c r="FX1" s="2637"/>
      <c r="FY1" s="2637"/>
      <c r="FZ1" s="2637"/>
      <c r="GA1" s="2637"/>
      <c r="GB1" s="2637"/>
      <c r="GC1" s="2637"/>
      <c r="GD1" s="2637"/>
      <c r="GE1" s="2637"/>
      <c r="GF1" s="2637"/>
      <c r="GG1" s="2637"/>
      <c r="GH1" s="2637"/>
      <c r="GI1" s="2637"/>
      <c r="GJ1" s="2637"/>
      <c r="GK1" s="2637"/>
      <c r="GL1" s="2637"/>
      <c r="GM1" s="2637"/>
      <c r="GN1" s="2637"/>
      <c r="GO1" s="2637"/>
      <c r="GP1" s="2637"/>
      <c r="GQ1" s="2637"/>
      <c r="GR1" s="2637"/>
      <c r="GS1" s="2637"/>
      <c r="GT1" s="2637"/>
      <c r="GU1" s="2637"/>
      <c r="GV1" s="2637"/>
      <c r="GW1" s="2637"/>
      <c r="GX1" s="2637"/>
      <c r="GY1" s="2637"/>
      <c r="GZ1" s="2637"/>
      <c r="HA1" s="2637"/>
      <c r="HB1" s="2637"/>
      <c r="HC1" s="2637"/>
      <c r="HD1" s="2637"/>
      <c r="HE1" s="2637"/>
      <c r="HF1" s="2637"/>
      <c r="HG1" s="2637"/>
      <c r="HH1" s="2637"/>
      <c r="HI1" s="2637"/>
      <c r="HJ1" s="2637"/>
      <c r="HK1" s="2637"/>
      <c r="HL1" s="2637"/>
      <c r="HM1" s="2637"/>
      <c r="HN1" s="2637"/>
      <c r="HO1" s="2637"/>
      <c r="HP1" s="2637"/>
      <c r="HQ1" s="2637"/>
      <c r="HR1" s="2637"/>
      <c r="HS1" s="2637"/>
      <c r="HT1" s="2637"/>
      <c r="HU1" s="2637"/>
      <c r="HV1" s="2637"/>
      <c r="HW1" s="2637"/>
      <c r="HX1" s="2637"/>
      <c r="HY1" s="2637"/>
      <c r="HZ1" s="2637"/>
      <c r="IA1" s="2637"/>
      <c r="IB1" s="2637"/>
      <c r="IC1" s="2637"/>
      <c r="ID1" s="2637"/>
      <c r="IE1" s="2637"/>
      <c r="IF1" s="2637"/>
      <c r="IG1" s="2637"/>
      <c r="IH1" s="2637"/>
      <c r="II1" s="2637"/>
      <c r="IJ1" s="2637"/>
      <c r="IK1" s="2637"/>
      <c r="IL1" s="2637"/>
      <c r="IM1" s="2637"/>
      <c r="IN1" s="2637"/>
      <c r="IO1" s="2637"/>
      <c r="IP1" s="2637"/>
      <c r="IQ1" s="2637"/>
      <c r="IR1" s="2637"/>
      <c r="IS1" s="2637"/>
      <c r="IT1" s="2637"/>
      <c r="IU1" s="2637"/>
      <c r="IV1" s="2637"/>
    </row>
    <row r="2" spans="1:257" s="2635" customFormat="1" ht="15.6" thickTop="1" thickBot="1">
      <c r="A2" s="2580"/>
      <c r="B2" s="2640" t="s">
        <v>2535</v>
      </c>
      <c r="C2" s="2644">
        <f>'数据-取费表'!B22</f>
        <v>0</v>
      </c>
      <c r="D2" s="2639" t="s">
        <v>2505</v>
      </c>
      <c r="E2" s="2642">
        <f ca="1">INDIRECT("I"&amp;$I$1)/100</f>
        <v>0</v>
      </c>
      <c r="G2" s="2580"/>
      <c r="H2" s="2580"/>
      <c r="I2" s="2580" t="s">
        <v>2506</v>
      </c>
      <c r="K2" s="2580"/>
      <c r="L2" s="2580"/>
      <c r="M2" s="2580"/>
      <c r="N2" s="2580" t="s">
        <v>2507</v>
      </c>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c r="AR2" s="2580"/>
      <c r="AS2" s="2580"/>
      <c r="AT2" s="2580"/>
      <c r="AU2" s="2580"/>
      <c r="AV2" s="2580"/>
      <c r="AW2" s="2580"/>
      <c r="AX2" s="2580"/>
      <c r="AY2" s="2580"/>
      <c r="AZ2" s="2580"/>
      <c r="BA2" s="2580"/>
      <c r="BB2" s="2580"/>
      <c r="BC2" s="2580"/>
      <c r="BD2" s="2580"/>
      <c r="BE2" s="2580"/>
      <c r="BF2" s="2580"/>
      <c r="BG2" s="2580"/>
      <c r="BH2" s="2580"/>
      <c r="BI2" s="2580"/>
      <c r="BJ2" s="2580"/>
      <c r="BK2" s="2580"/>
      <c r="BL2" s="2580"/>
      <c r="BM2" s="2580"/>
      <c r="BN2" s="2580"/>
      <c r="BO2" s="2580"/>
      <c r="BP2" s="2580"/>
      <c r="BQ2" s="2580"/>
      <c r="BR2" s="2580"/>
      <c r="BS2" s="2580"/>
      <c r="BT2" s="2580"/>
      <c r="BU2" s="2580"/>
      <c r="BV2" s="2580"/>
      <c r="BW2" s="2580"/>
      <c r="BX2" s="2580"/>
      <c r="BY2" s="2580"/>
      <c r="BZ2" s="2580"/>
      <c r="CA2" s="2580"/>
      <c r="CB2" s="2580"/>
      <c r="CC2" s="2580"/>
      <c r="CD2" s="2580"/>
      <c r="CE2" s="2580"/>
      <c r="CF2" s="2580"/>
      <c r="CG2" s="2580"/>
      <c r="CH2" s="2580"/>
      <c r="CI2" s="2580"/>
      <c r="CJ2" s="2580"/>
      <c r="CK2" s="2580"/>
      <c r="CL2" s="2580"/>
      <c r="CM2" s="2580"/>
      <c r="CN2" s="2580"/>
      <c r="CO2" s="2580"/>
      <c r="CP2" s="2580"/>
      <c r="CQ2" s="2580"/>
      <c r="CR2" s="2580"/>
      <c r="CS2" s="2580"/>
      <c r="CT2" s="2580"/>
      <c r="CU2" s="2580"/>
      <c r="CV2" s="2580"/>
      <c r="CW2" s="2580"/>
      <c r="CX2" s="2580"/>
      <c r="CY2" s="2580"/>
      <c r="CZ2" s="2580"/>
      <c r="DA2" s="2580"/>
      <c r="DB2" s="2580"/>
      <c r="DC2" s="2580"/>
      <c r="DD2" s="2580"/>
      <c r="DE2" s="2580"/>
      <c r="DF2" s="2580"/>
      <c r="DG2" s="2580"/>
      <c r="DH2" s="2580"/>
      <c r="DI2" s="2580"/>
      <c r="DJ2" s="2580"/>
      <c r="DK2" s="2580"/>
      <c r="DL2" s="2580"/>
      <c r="DM2" s="2580"/>
      <c r="DN2" s="2580"/>
      <c r="DO2" s="2580"/>
      <c r="DP2" s="2580"/>
      <c r="DQ2" s="2580"/>
      <c r="DR2" s="2580"/>
      <c r="DS2" s="2580"/>
      <c r="DT2" s="2580"/>
      <c r="DU2" s="2580"/>
      <c r="DV2" s="2580"/>
      <c r="DW2" s="2580"/>
      <c r="DX2" s="2580"/>
      <c r="DY2" s="2580"/>
      <c r="DZ2" s="2580"/>
      <c r="EA2" s="2580"/>
      <c r="EB2" s="2580"/>
      <c r="EC2" s="2580"/>
      <c r="ED2" s="2580"/>
      <c r="EE2" s="2580"/>
      <c r="EF2" s="2580"/>
      <c r="EG2" s="2580"/>
      <c r="EH2" s="2580"/>
      <c r="EI2" s="2580"/>
      <c r="EJ2" s="2580"/>
      <c r="EK2" s="2580"/>
      <c r="EL2" s="2580"/>
      <c r="EM2" s="2580"/>
      <c r="EN2" s="2580"/>
      <c r="EO2" s="2580"/>
      <c r="EP2" s="2580"/>
      <c r="EQ2" s="2580"/>
      <c r="ER2" s="2580"/>
      <c r="ES2" s="2580"/>
      <c r="ET2" s="2580"/>
      <c r="EU2" s="2580"/>
      <c r="EV2" s="2580"/>
      <c r="EW2" s="2580"/>
      <c r="EX2" s="2580"/>
      <c r="EY2" s="2580"/>
      <c r="EZ2" s="2580"/>
      <c r="FA2" s="2580"/>
      <c r="FB2" s="2580"/>
      <c r="FC2" s="2580"/>
      <c r="FD2" s="2580"/>
      <c r="FE2" s="2580"/>
      <c r="FF2" s="2580"/>
      <c r="FG2" s="2580"/>
      <c r="FH2" s="2580"/>
      <c r="FI2" s="2580"/>
      <c r="FJ2" s="2580"/>
      <c r="FK2" s="2580"/>
      <c r="FL2" s="2580"/>
      <c r="FM2" s="2580"/>
      <c r="FN2" s="2580"/>
      <c r="FO2" s="2580"/>
      <c r="FP2" s="2580"/>
      <c r="FQ2" s="2580"/>
      <c r="FR2" s="2580"/>
      <c r="FS2" s="2580"/>
      <c r="FT2" s="2580"/>
      <c r="FU2" s="2580"/>
      <c r="FV2" s="2580"/>
      <c r="FW2" s="2580"/>
      <c r="FX2" s="2580"/>
      <c r="FY2" s="2580"/>
      <c r="FZ2" s="2580"/>
      <c r="GA2" s="2580"/>
      <c r="GB2" s="2580"/>
      <c r="GC2" s="2580"/>
      <c r="GD2" s="2580"/>
      <c r="GE2" s="2580"/>
      <c r="GF2" s="2580"/>
      <c r="GG2" s="2580"/>
      <c r="GH2" s="2580"/>
      <c r="GI2" s="2580"/>
      <c r="GJ2" s="2580"/>
      <c r="GK2" s="2580"/>
      <c r="GL2" s="2580"/>
      <c r="GM2" s="2580"/>
      <c r="GN2" s="2580"/>
      <c r="GO2" s="2580"/>
      <c r="GP2" s="2580"/>
      <c r="GQ2" s="2580"/>
      <c r="GR2" s="2580"/>
      <c r="GS2" s="2580"/>
      <c r="GT2" s="2580"/>
      <c r="GU2" s="2580"/>
      <c r="GV2" s="2580"/>
      <c r="GW2" s="2580"/>
      <c r="GX2" s="2580"/>
      <c r="GY2" s="2580"/>
      <c r="GZ2" s="2580"/>
      <c r="HA2" s="2580"/>
      <c r="HB2" s="2580"/>
      <c r="HC2" s="2580"/>
      <c r="HD2" s="2580"/>
      <c r="HE2" s="2580"/>
      <c r="HF2" s="2580"/>
      <c r="HG2" s="2580"/>
      <c r="HH2" s="2580"/>
      <c r="HI2" s="2580"/>
      <c r="HJ2" s="2580"/>
      <c r="HK2" s="2580"/>
      <c r="HL2" s="2580"/>
      <c r="HM2" s="2580"/>
      <c r="HN2" s="2580"/>
      <c r="HO2" s="2580"/>
      <c r="HP2" s="2580"/>
      <c r="HQ2" s="2580"/>
      <c r="HR2" s="2580"/>
      <c r="HS2" s="2580"/>
      <c r="HT2" s="2580"/>
      <c r="HU2" s="2580"/>
      <c r="HV2" s="2580"/>
      <c r="HW2" s="2580"/>
      <c r="HX2" s="2580"/>
      <c r="HY2" s="2580"/>
      <c r="HZ2" s="2580"/>
      <c r="IA2" s="2580"/>
      <c r="IB2" s="2580"/>
      <c r="IC2" s="2580"/>
      <c r="ID2" s="2580"/>
      <c r="IE2" s="2580"/>
      <c r="IF2" s="2580"/>
      <c r="IG2" s="2580"/>
      <c r="IH2" s="2580"/>
      <c r="II2" s="2580"/>
      <c r="IJ2" s="2580"/>
      <c r="IK2" s="2580"/>
      <c r="IL2" s="2580"/>
      <c r="IM2" s="2580"/>
      <c r="IN2" s="2580"/>
      <c r="IO2" s="2580"/>
      <c r="IP2" s="2580"/>
      <c r="IQ2" s="2580"/>
      <c r="IR2" s="2580"/>
      <c r="IS2" s="2580"/>
      <c r="IT2" s="2580"/>
      <c r="IU2" s="2580"/>
      <c r="IV2" s="2580"/>
      <c r="IW2" s="2580"/>
    </row>
    <row r="3" spans="1:257" s="2635" customFormat="1">
      <c r="A3" s="2581"/>
      <c r="B3" s="2639" t="s">
        <v>2537</v>
      </c>
      <c r="C3" s="2641">
        <f>'数据-取费表'!B19</f>
        <v>0</v>
      </c>
      <c r="D3" s="2639" t="s">
        <v>2505</v>
      </c>
      <c r="E3" s="2642">
        <f ca="1">INDIRECT("J"&amp;$J$1)/100</f>
        <v>0</v>
      </c>
      <c r="G3" s="2582" t="s">
        <v>2508</v>
      </c>
      <c r="H3" s="2583">
        <v>0</v>
      </c>
      <c r="I3" s="2584">
        <f ca="1">INDIRECT("d"&amp;$H$1)</f>
        <v>0</v>
      </c>
      <c r="J3" s="2584">
        <f ca="1">INDIRECT("d"&amp;$H$1)</f>
        <v>0</v>
      </c>
      <c r="K3" s="2581"/>
      <c r="L3" s="2581"/>
      <c r="M3" s="2585">
        <v>0.5</v>
      </c>
      <c r="N3" s="2586">
        <f ca="1">INDIRECT("p"&amp;$N$1)</f>
        <v>0</v>
      </c>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c r="AT3" s="2581"/>
      <c r="AU3" s="2581"/>
      <c r="AV3" s="2581"/>
      <c r="AW3" s="2581"/>
      <c r="AX3" s="2581"/>
      <c r="AY3" s="2581"/>
      <c r="AZ3" s="2581"/>
      <c r="BA3" s="2581"/>
      <c r="BB3" s="2581"/>
      <c r="BC3" s="2581"/>
      <c r="BD3" s="2581"/>
      <c r="BE3" s="2581"/>
      <c r="BF3" s="2581"/>
      <c r="BG3" s="2581"/>
      <c r="BH3" s="2581"/>
      <c r="BI3" s="2581"/>
      <c r="BJ3" s="2581"/>
      <c r="BK3" s="2581"/>
      <c r="BL3" s="2581"/>
      <c r="BM3" s="2581"/>
      <c r="BN3" s="2581"/>
      <c r="BO3" s="2581"/>
      <c r="BP3" s="2581"/>
      <c r="BQ3" s="2581"/>
      <c r="BR3" s="2581"/>
      <c r="BS3" s="2581"/>
      <c r="BT3" s="2581"/>
      <c r="BU3" s="2581"/>
      <c r="BV3" s="2581"/>
      <c r="BW3" s="2581"/>
      <c r="BX3" s="2581"/>
      <c r="BY3" s="2581"/>
      <c r="BZ3" s="2581"/>
      <c r="CA3" s="2581"/>
      <c r="CB3" s="2581"/>
      <c r="CC3" s="2581"/>
      <c r="CD3" s="2581"/>
      <c r="CE3" s="2581"/>
      <c r="CF3" s="2581"/>
      <c r="CG3" s="2581"/>
      <c r="CH3" s="2581"/>
      <c r="CI3" s="2581"/>
      <c r="CJ3" s="2581"/>
      <c r="CK3" s="2581"/>
      <c r="CL3" s="2581"/>
      <c r="CM3" s="2581"/>
      <c r="CN3" s="2581"/>
      <c r="CO3" s="2581"/>
      <c r="CP3" s="2581"/>
      <c r="CQ3" s="2581"/>
      <c r="CR3" s="2581"/>
      <c r="CS3" s="2581"/>
      <c r="CT3" s="2581"/>
      <c r="CU3" s="2581"/>
      <c r="CV3" s="2581"/>
      <c r="CW3" s="2581"/>
      <c r="CX3" s="2581"/>
      <c r="CY3" s="2581"/>
      <c r="CZ3" s="2581"/>
      <c r="DA3" s="2581"/>
      <c r="DB3" s="2581"/>
      <c r="DC3" s="2581"/>
      <c r="DD3" s="2581"/>
      <c r="DE3" s="2581"/>
      <c r="DF3" s="2581"/>
      <c r="DG3" s="2581"/>
      <c r="DH3" s="2581"/>
      <c r="DI3" s="2581"/>
      <c r="DJ3" s="2581"/>
      <c r="DK3" s="2581"/>
      <c r="DL3" s="2581"/>
      <c r="DM3" s="2581"/>
      <c r="DN3" s="2581"/>
      <c r="DO3" s="2581"/>
      <c r="DP3" s="2581"/>
      <c r="DQ3" s="2581"/>
      <c r="DR3" s="2581"/>
      <c r="DS3" s="2581"/>
      <c r="DT3" s="2581"/>
      <c r="DU3" s="2581"/>
      <c r="DV3" s="2581"/>
      <c r="DW3" s="2581"/>
      <c r="DX3" s="2581"/>
      <c r="DY3" s="2581"/>
      <c r="DZ3" s="2581"/>
      <c r="EA3" s="2581"/>
      <c r="EB3" s="2581"/>
      <c r="EC3" s="2581"/>
      <c r="ED3" s="2581"/>
      <c r="EE3" s="2581"/>
      <c r="EF3" s="2581"/>
      <c r="EG3" s="2581"/>
      <c r="EH3" s="2581"/>
      <c r="EI3" s="2581"/>
      <c r="EJ3" s="2581"/>
      <c r="EK3" s="2581"/>
      <c r="EL3" s="2581"/>
      <c r="EM3" s="2581"/>
      <c r="EN3" s="2581"/>
      <c r="EO3" s="2581"/>
      <c r="EP3" s="2581"/>
      <c r="EQ3" s="2581"/>
      <c r="ER3" s="2581"/>
      <c r="ES3" s="2581"/>
      <c r="ET3" s="2581"/>
      <c r="EU3" s="2581"/>
      <c r="EV3" s="2581"/>
      <c r="EW3" s="2581"/>
      <c r="EX3" s="2581"/>
      <c r="EY3" s="2581"/>
      <c r="EZ3" s="2581"/>
      <c r="FA3" s="2581"/>
      <c r="FB3" s="2581"/>
      <c r="FC3" s="2581"/>
      <c r="FD3" s="2581"/>
      <c r="FE3" s="2581"/>
      <c r="FF3" s="2581"/>
      <c r="FG3" s="2581"/>
      <c r="FH3" s="2581"/>
      <c r="FI3" s="2581"/>
      <c r="FJ3" s="2581"/>
      <c r="FK3" s="2581"/>
      <c r="FL3" s="2581"/>
      <c r="FM3" s="2581"/>
      <c r="FN3" s="2581"/>
      <c r="FO3" s="2581"/>
      <c r="FP3" s="2581"/>
      <c r="FQ3" s="2581"/>
      <c r="FR3" s="2581"/>
      <c r="FS3" s="2581"/>
      <c r="FT3" s="2581"/>
      <c r="FU3" s="2581"/>
      <c r="FV3" s="2581"/>
      <c r="FW3" s="2581"/>
      <c r="FX3" s="2581"/>
      <c r="FY3" s="2581"/>
      <c r="FZ3" s="2581"/>
      <c r="GA3" s="2581"/>
      <c r="GB3" s="2581"/>
      <c r="GC3" s="2581"/>
      <c r="GD3" s="2581"/>
      <c r="GE3" s="2581"/>
      <c r="GF3" s="2581"/>
      <c r="GG3" s="2581"/>
      <c r="GH3" s="2581"/>
      <c r="GI3" s="2581"/>
      <c r="GJ3" s="2581"/>
      <c r="GK3" s="2581"/>
      <c r="GL3" s="2581"/>
      <c r="GM3" s="2581"/>
      <c r="GN3" s="2581"/>
      <c r="GO3" s="2581"/>
      <c r="GP3" s="2581"/>
      <c r="GQ3" s="2581"/>
      <c r="GR3" s="2581"/>
      <c r="GS3" s="2581"/>
      <c r="GT3" s="2581"/>
      <c r="GU3" s="2581"/>
      <c r="GV3" s="2581"/>
      <c r="GW3" s="2581"/>
      <c r="GX3" s="2581"/>
      <c r="GY3" s="2581"/>
      <c r="GZ3" s="2581"/>
      <c r="HA3" s="2581"/>
      <c r="HB3" s="2581"/>
      <c r="HC3" s="2581"/>
      <c r="HD3" s="2581"/>
      <c r="HE3" s="2581"/>
      <c r="HF3" s="2581"/>
      <c r="HG3" s="2581"/>
      <c r="HH3" s="2581"/>
      <c r="HI3" s="2581"/>
      <c r="HJ3" s="2581"/>
      <c r="HK3" s="2581"/>
      <c r="HL3" s="2581"/>
      <c r="HM3" s="2581"/>
      <c r="HN3" s="2581"/>
      <c r="HO3" s="2581"/>
      <c r="HP3" s="2581"/>
      <c r="HQ3" s="2581"/>
      <c r="HR3" s="2581"/>
      <c r="HS3" s="2581"/>
      <c r="HT3" s="2581"/>
      <c r="HU3" s="2581"/>
      <c r="HV3" s="2581"/>
      <c r="HW3" s="2581"/>
      <c r="HX3" s="2581"/>
      <c r="HY3" s="2581"/>
      <c r="HZ3" s="2581"/>
      <c r="IA3" s="2581"/>
      <c r="IB3" s="2581"/>
      <c r="IC3" s="2581"/>
      <c r="ID3" s="2581"/>
      <c r="IE3" s="2581"/>
      <c r="IF3" s="2581"/>
      <c r="IG3" s="2581"/>
      <c r="IH3" s="2581"/>
      <c r="II3" s="2581"/>
      <c r="IJ3" s="2581"/>
      <c r="IK3" s="2581"/>
      <c r="IL3" s="2581"/>
      <c r="IM3" s="2581"/>
      <c r="IN3" s="2581"/>
      <c r="IO3" s="2581"/>
      <c r="IP3" s="2581"/>
      <c r="IQ3" s="2581"/>
      <c r="IR3" s="2581"/>
      <c r="IS3" s="2581"/>
      <c r="IT3" s="2581"/>
      <c r="IU3" s="2581"/>
      <c r="IV3" s="2581"/>
    </row>
    <row r="4" spans="1:257" s="2635" customFormat="1">
      <c r="A4" s="2581"/>
      <c r="B4" s="2639" t="s">
        <v>2536</v>
      </c>
      <c r="C4" s="2642">
        <f ca="1">N4/100</f>
        <v>0</v>
      </c>
      <c r="G4" s="2588" t="s">
        <v>2509</v>
      </c>
      <c r="H4" s="2589">
        <v>0.5</v>
      </c>
      <c r="I4" s="2590">
        <f ca="1">INDIRECT("e"&amp;$H$1)</f>
        <v>0</v>
      </c>
      <c r="J4" s="2590">
        <f ca="1">INDIRECT("e"&amp;$H$1)</f>
        <v>0</v>
      </c>
      <c r="K4" s="2581"/>
      <c r="L4" s="2581"/>
      <c r="M4" s="2591">
        <v>1</v>
      </c>
      <c r="N4" s="2592">
        <f ca="1">INDIRECT("q"&amp;$N$1)</f>
        <v>0</v>
      </c>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c r="AT4" s="2581"/>
      <c r="AU4" s="2581"/>
      <c r="AV4" s="2581"/>
      <c r="AW4" s="2581"/>
      <c r="AX4" s="2581"/>
      <c r="AY4" s="2581"/>
      <c r="AZ4" s="2581"/>
      <c r="BA4" s="2581"/>
      <c r="BB4" s="2581"/>
      <c r="BC4" s="2581"/>
      <c r="BD4" s="2581"/>
      <c r="BE4" s="2581"/>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c r="CE4" s="2581"/>
      <c r="CF4" s="2581"/>
      <c r="CG4" s="2581"/>
      <c r="CH4" s="2581"/>
      <c r="CI4" s="2581"/>
      <c r="CJ4" s="2581"/>
      <c r="CK4" s="2581"/>
      <c r="CL4" s="2581"/>
      <c r="CM4" s="2581"/>
      <c r="CN4" s="2581"/>
      <c r="CO4" s="2581"/>
      <c r="CP4" s="2581"/>
      <c r="CQ4" s="2581"/>
      <c r="CR4" s="2581"/>
      <c r="CS4" s="2581"/>
      <c r="CT4" s="2581"/>
      <c r="CU4" s="2581"/>
      <c r="CV4" s="2581"/>
      <c r="CW4" s="2581"/>
      <c r="CX4" s="2581"/>
      <c r="CY4" s="2581"/>
      <c r="CZ4" s="2581"/>
      <c r="DA4" s="2581"/>
      <c r="DB4" s="2581"/>
      <c r="DC4" s="2581"/>
      <c r="DD4" s="2581"/>
      <c r="DE4" s="2581"/>
      <c r="DF4" s="2581"/>
      <c r="DG4" s="2581"/>
      <c r="DH4" s="2581"/>
      <c r="DI4" s="2581"/>
      <c r="DJ4" s="2581"/>
      <c r="DK4" s="2581"/>
      <c r="DL4" s="2581"/>
      <c r="DM4" s="2581"/>
      <c r="DN4" s="2581"/>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1"/>
      <c r="EM4" s="2581"/>
      <c r="EN4" s="2581"/>
      <c r="EO4" s="2581"/>
      <c r="EP4" s="2581"/>
      <c r="EQ4" s="2581"/>
      <c r="ER4" s="2581"/>
      <c r="ES4" s="2581"/>
      <c r="ET4" s="2581"/>
      <c r="EU4" s="2581"/>
      <c r="EV4" s="2581"/>
      <c r="EW4" s="2581"/>
      <c r="EX4" s="2581"/>
      <c r="EY4" s="2581"/>
      <c r="EZ4" s="2581"/>
      <c r="FA4" s="2581"/>
      <c r="FB4" s="2581"/>
      <c r="FC4" s="2581"/>
      <c r="FD4" s="2581"/>
      <c r="FE4" s="2581"/>
      <c r="FF4" s="2581"/>
      <c r="FG4" s="2581"/>
      <c r="FH4" s="2581"/>
      <c r="FI4" s="2581"/>
      <c r="FJ4" s="2581"/>
      <c r="FK4" s="2581"/>
      <c r="FL4" s="2581"/>
      <c r="FM4" s="2581"/>
      <c r="FN4" s="2581"/>
      <c r="FO4" s="2581"/>
      <c r="FP4" s="2581"/>
      <c r="FQ4" s="2581"/>
      <c r="FR4" s="2581"/>
      <c r="FS4" s="2581"/>
      <c r="FT4" s="2581"/>
      <c r="FU4" s="2581"/>
      <c r="FV4" s="2581"/>
      <c r="FW4" s="2581"/>
      <c r="FX4" s="2581"/>
      <c r="FY4" s="2581"/>
      <c r="FZ4" s="2581"/>
      <c r="GA4" s="2581"/>
      <c r="GB4" s="2581"/>
      <c r="GC4" s="2581"/>
      <c r="GD4" s="2581"/>
      <c r="GE4" s="2581"/>
      <c r="GF4" s="2581"/>
      <c r="GG4" s="2581"/>
      <c r="GH4" s="2581"/>
      <c r="GI4" s="2581"/>
      <c r="GJ4" s="2581"/>
      <c r="GK4" s="2581"/>
      <c r="GL4" s="2581"/>
      <c r="GM4" s="2581"/>
      <c r="GN4" s="2581"/>
      <c r="GO4" s="2581"/>
      <c r="GP4" s="2581"/>
      <c r="GQ4" s="2581"/>
      <c r="GR4" s="2581"/>
      <c r="GS4" s="2581"/>
      <c r="GT4" s="2581"/>
      <c r="GU4" s="2581"/>
      <c r="GV4" s="2581"/>
      <c r="GW4" s="2581"/>
      <c r="GX4" s="2581"/>
      <c r="GY4" s="2581"/>
      <c r="GZ4" s="2581"/>
      <c r="HA4" s="2581"/>
      <c r="HB4" s="2581"/>
      <c r="HC4" s="2581"/>
      <c r="HD4" s="2581"/>
      <c r="HE4" s="2581"/>
      <c r="HF4" s="2581"/>
      <c r="HG4" s="2581"/>
      <c r="HH4" s="2581"/>
      <c r="HI4" s="2581"/>
      <c r="HJ4" s="2581"/>
      <c r="HK4" s="2581"/>
      <c r="HL4" s="2581"/>
      <c r="HM4" s="2581"/>
      <c r="HN4" s="2581"/>
      <c r="HO4" s="2581"/>
      <c r="HP4" s="2581"/>
      <c r="HQ4" s="2581"/>
      <c r="HR4" s="2581"/>
      <c r="HS4" s="2581"/>
      <c r="HT4" s="2581"/>
      <c r="HU4" s="2581"/>
      <c r="HV4" s="2581"/>
      <c r="HW4" s="2581"/>
      <c r="HX4" s="2581"/>
      <c r="HY4" s="2581"/>
      <c r="HZ4" s="2581"/>
      <c r="IA4" s="2581"/>
      <c r="IB4" s="2581"/>
      <c r="IC4" s="2581"/>
      <c r="ID4" s="2581"/>
      <c r="IE4" s="2581"/>
      <c r="IF4" s="2581"/>
      <c r="IG4" s="2581"/>
      <c r="IH4" s="2581"/>
      <c r="II4" s="2581"/>
      <c r="IJ4" s="2581"/>
      <c r="IK4" s="2581"/>
      <c r="IL4" s="2581"/>
      <c r="IM4" s="2581"/>
      <c r="IN4" s="2581"/>
      <c r="IO4" s="2581"/>
      <c r="IP4" s="2581"/>
      <c r="IQ4" s="2581"/>
      <c r="IR4" s="2581"/>
      <c r="IS4" s="2581"/>
      <c r="IT4" s="2581"/>
      <c r="IU4" s="2581"/>
      <c r="IV4" s="2581"/>
    </row>
    <row r="5" spans="1:257" s="2635" customFormat="1">
      <c r="A5" s="2581"/>
      <c r="G5" s="2588" t="s">
        <v>2510</v>
      </c>
      <c r="H5" s="2589">
        <v>1</v>
      </c>
      <c r="I5" s="2590">
        <f ca="1">INDIRECT("f"&amp;$H$1)</f>
        <v>0</v>
      </c>
      <c r="J5" s="2590">
        <f ca="1">INDIRECT("f"&amp;$H$1)</f>
        <v>0</v>
      </c>
      <c r="K5" s="2581"/>
      <c r="L5" s="2581"/>
      <c r="M5" s="2591">
        <v>2</v>
      </c>
      <c r="N5" s="2592">
        <f ca="1">INDIRECT("r"&amp;$N$1)</f>
        <v>0</v>
      </c>
      <c r="O5" s="2581"/>
      <c r="P5" s="2581"/>
      <c r="Q5" s="2581"/>
      <c r="R5" s="2581"/>
      <c r="S5" s="2581"/>
      <c r="T5" s="2581"/>
      <c r="U5" s="2581"/>
      <c r="V5" s="2581"/>
      <c r="W5" s="2581"/>
      <c r="X5" s="2581"/>
      <c r="Y5" s="2581"/>
      <c r="Z5" s="2581"/>
      <c r="AA5" s="2581"/>
      <c r="AB5" s="2581"/>
      <c r="AC5" s="2581"/>
      <c r="AD5" s="2581"/>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1"/>
      <c r="BC5" s="2581"/>
      <c r="BD5" s="2581"/>
      <c r="BE5" s="2581"/>
      <c r="BF5" s="2581"/>
      <c r="BG5" s="2581"/>
      <c r="BH5" s="2581"/>
      <c r="BI5" s="2581"/>
      <c r="BJ5" s="2581"/>
      <c r="BK5" s="2581"/>
      <c r="BL5" s="2581"/>
      <c r="BM5" s="2581"/>
      <c r="BN5" s="2581"/>
      <c r="BO5" s="2581"/>
      <c r="BP5" s="2581"/>
      <c r="BQ5" s="2581"/>
      <c r="BR5" s="2581"/>
      <c r="BS5" s="2581"/>
      <c r="BT5" s="2581"/>
      <c r="BU5" s="2581"/>
      <c r="BV5" s="2581"/>
      <c r="BW5" s="2581"/>
      <c r="BX5" s="2581"/>
      <c r="BY5" s="2581"/>
      <c r="BZ5" s="2581"/>
      <c r="CA5" s="2581"/>
      <c r="CB5" s="2581"/>
      <c r="CC5" s="2581"/>
      <c r="CD5" s="2581"/>
      <c r="CE5" s="2581"/>
      <c r="CF5" s="2581"/>
      <c r="CG5" s="2581"/>
      <c r="CH5" s="2581"/>
      <c r="CI5" s="2581"/>
      <c r="CJ5" s="2581"/>
      <c r="CK5" s="2581"/>
      <c r="CL5" s="2581"/>
      <c r="CM5" s="2581"/>
      <c r="CN5" s="2581"/>
      <c r="CO5" s="2581"/>
      <c r="CP5" s="2581"/>
      <c r="CQ5" s="2581"/>
      <c r="CR5" s="2581"/>
      <c r="CS5" s="2581"/>
      <c r="CT5" s="2581"/>
      <c r="CU5" s="2581"/>
      <c r="CV5" s="2581"/>
      <c r="CW5" s="2581"/>
      <c r="CX5" s="2581"/>
      <c r="CY5" s="2581"/>
      <c r="CZ5" s="2581"/>
      <c r="DA5" s="2581"/>
      <c r="DB5" s="2581"/>
      <c r="DC5" s="2581"/>
      <c r="DD5" s="2581"/>
      <c r="DE5" s="2581"/>
      <c r="DF5" s="2581"/>
      <c r="DG5" s="2581"/>
      <c r="DH5" s="2581"/>
      <c r="DI5" s="2581"/>
      <c r="DJ5" s="2581"/>
      <c r="DK5" s="2581"/>
      <c r="DL5" s="2581"/>
      <c r="DM5" s="2581"/>
      <c r="DN5" s="2581"/>
      <c r="DO5" s="2581"/>
      <c r="DP5" s="2581"/>
      <c r="DQ5" s="2581"/>
      <c r="DR5" s="2581"/>
      <c r="DS5" s="2581"/>
      <c r="DT5" s="2581"/>
      <c r="DU5" s="2581"/>
      <c r="DV5" s="2581"/>
      <c r="DW5" s="2581"/>
      <c r="DX5" s="2581"/>
      <c r="DY5" s="2581"/>
      <c r="DZ5" s="2581"/>
      <c r="EA5" s="2581"/>
      <c r="EB5" s="2581"/>
      <c r="EC5" s="2581"/>
      <c r="ED5" s="2581"/>
      <c r="EE5" s="2581"/>
      <c r="EF5" s="2581"/>
      <c r="EG5" s="2581"/>
      <c r="EH5" s="2581"/>
      <c r="EI5" s="2581"/>
      <c r="EJ5" s="2581"/>
      <c r="EK5" s="2581"/>
      <c r="EL5" s="2581"/>
      <c r="EM5" s="2581"/>
      <c r="EN5" s="2581"/>
      <c r="EO5" s="2581"/>
      <c r="EP5" s="2581"/>
      <c r="EQ5" s="2581"/>
      <c r="ER5" s="2581"/>
      <c r="ES5" s="2581"/>
      <c r="ET5" s="2581"/>
      <c r="EU5" s="2581"/>
      <c r="EV5" s="2581"/>
      <c r="EW5" s="2581"/>
      <c r="EX5" s="2581"/>
      <c r="EY5" s="2581"/>
      <c r="EZ5" s="2581"/>
      <c r="FA5" s="2581"/>
      <c r="FB5" s="2581"/>
      <c r="FC5" s="2581"/>
      <c r="FD5" s="2581"/>
      <c r="FE5" s="2581"/>
      <c r="FF5" s="2581"/>
      <c r="FG5" s="2581"/>
      <c r="FH5" s="2581"/>
      <c r="FI5" s="2581"/>
      <c r="FJ5" s="2581"/>
      <c r="FK5" s="2581"/>
      <c r="FL5" s="2581"/>
      <c r="FM5" s="2581"/>
      <c r="FN5" s="2581"/>
      <c r="FO5" s="2581"/>
      <c r="FP5" s="2581"/>
      <c r="FQ5" s="2581"/>
      <c r="FR5" s="2581"/>
      <c r="FS5" s="2581"/>
      <c r="FT5" s="2581"/>
      <c r="FU5" s="2581"/>
      <c r="FV5" s="2581"/>
      <c r="FW5" s="2581"/>
      <c r="FX5" s="2581"/>
      <c r="FY5" s="2581"/>
      <c r="FZ5" s="2581"/>
      <c r="GA5" s="2581"/>
      <c r="GB5" s="2581"/>
      <c r="GC5" s="2581"/>
      <c r="GD5" s="2581"/>
      <c r="GE5" s="2581"/>
      <c r="GF5" s="2581"/>
      <c r="GG5" s="2581"/>
      <c r="GH5" s="2581"/>
      <c r="GI5" s="2581"/>
      <c r="GJ5" s="2581"/>
      <c r="GK5" s="2581"/>
      <c r="GL5" s="2581"/>
      <c r="GM5" s="2581"/>
      <c r="GN5" s="2581"/>
      <c r="GO5" s="2581"/>
      <c r="GP5" s="2581"/>
      <c r="GQ5" s="2581"/>
      <c r="GR5" s="2581"/>
      <c r="GS5" s="2581"/>
      <c r="GT5" s="2581"/>
      <c r="GU5" s="2581"/>
      <c r="GV5" s="2581"/>
      <c r="GW5" s="2581"/>
      <c r="GX5" s="2581"/>
      <c r="GY5" s="2581"/>
      <c r="GZ5" s="2581"/>
      <c r="HA5" s="2581"/>
      <c r="HB5" s="2581"/>
      <c r="HC5" s="2581"/>
      <c r="HD5" s="2581"/>
      <c r="HE5" s="2581"/>
      <c r="HF5" s="2581"/>
      <c r="HG5" s="2581"/>
      <c r="HH5" s="2581"/>
      <c r="HI5" s="2581"/>
      <c r="HJ5" s="2581"/>
      <c r="HK5" s="2581"/>
      <c r="HL5" s="2581"/>
      <c r="HM5" s="2581"/>
      <c r="HN5" s="2581"/>
      <c r="HO5" s="2581"/>
      <c r="HP5" s="2581"/>
      <c r="HQ5" s="2581"/>
      <c r="HR5" s="2581"/>
      <c r="HS5" s="2581"/>
      <c r="HT5" s="2581"/>
      <c r="HU5" s="2581"/>
      <c r="HV5" s="2581"/>
      <c r="HW5" s="2581"/>
      <c r="HX5" s="2581"/>
      <c r="HY5" s="2581"/>
      <c r="HZ5" s="2581"/>
      <c r="IA5" s="2581"/>
      <c r="IB5" s="2581"/>
      <c r="IC5" s="2581"/>
      <c r="ID5" s="2581"/>
      <c r="IE5" s="2581"/>
      <c r="IF5" s="2581"/>
      <c r="IG5" s="2581"/>
      <c r="IH5" s="2581"/>
      <c r="II5" s="2581"/>
      <c r="IJ5" s="2581"/>
      <c r="IK5" s="2581"/>
      <c r="IL5" s="2581"/>
      <c r="IM5" s="2581"/>
      <c r="IN5" s="2581"/>
      <c r="IO5" s="2581"/>
      <c r="IP5" s="2581"/>
      <c r="IQ5" s="2581"/>
      <c r="IR5" s="2581"/>
      <c r="IS5" s="2581"/>
      <c r="IT5" s="2581"/>
      <c r="IU5" s="2581"/>
      <c r="IV5" s="2581"/>
    </row>
    <row r="6" spans="1:257" s="2635" customFormat="1">
      <c r="A6" s="2581"/>
      <c r="G6" s="2588" t="s">
        <v>2511</v>
      </c>
      <c r="H6" s="2589">
        <v>3</v>
      </c>
      <c r="I6" s="2590">
        <f ca="1">INDIRECT("g"&amp;$H$1)</f>
        <v>0</v>
      </c>
      <c r="J6" s="2590">
        <f ca="1">INDIRECT("g"&amp;$H$1)</f>
        <v>0</v>
      </c>
      <c r="K6" s="2581"/>
      <c r="L6" s="2581"/>
      <c r="M6" s="2591">
        <v>3</v>
      </c>
      <c r="N6" s="2592">
        <f ca="1">INDIRECT("s"&amp;$N$1)</f>
        <v>0</v>
      </c>
      <c r="O6" s="2581"/>
      <c r="P6" s="2581"/>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1"/>
      <c r="BC6" s="2581"/>
      <c r="BD6" s="2581"/>
      <c r="BE6" s="2581"/>
      <c r="BF6" s="2581"/>
      <c r="BG6" s="2581"/>
      <c r="BH6" s="2581"/>
      <c r="BI6" s="2581"/>
      <c r="BJ6" s="2581"/>
      <c r="BK6" s="2581"/>
      <c r="BL6" s="2581"/>
      <c r="BM6" s="2581"/>
      <c r="BN6" s="2581"/>
      <c r="BO6" s="2581"/>
      <c r="BP6" s="2581"/>
      <c r="BQ6" s="2581"/>
      <c r="BR6" s="2581"/>
      <c r="BS6" s="2581"/>
      <c r="BT6" s="2581"/>
      <c r="BU6" s="2581"/>
      <c r="BV6" s="2581"/>
      <c r="BW6" s="2581"/>
      <c r="BX6" s="2581"/>
      <c r="BY6" s="2581"/>
      <c r="BZ6" s="2581"/>
      <c r="CA6" s="2581"/>
      <c r="CB6" s="2581"/>
      <c r="CC6" s="2581"/>
      <c r="CD6" s="2581"/>
      <c r="CE6" s="2581"/>
      <c r="CF6" s="2581"/>
      <c r="CG6" s="2581"/>
      <c r="CH6" s="2581"/>
      <c r="CI6" s="2581"/>
      <c r="CJ6" s="2581"/>
      <c r="CK6" s="2581"/>
      <c r="CL6" s="2581"/>
      <c r="CM6" s="2581"/>
      <c r="CN6" s="2581"/>
      <c r="CO6" s="2581"/>
      <c r="CP6" s="2581"/>
      <c r="CQ6" s="2581"/>
      <c r="CR6" s="2581"/>
      <c r="CS6" s="2581"/>
      <c r="CT6" s="2581"/>
      <c r="CU6" s="2581"/>
      <c r="CV6" s="2581"/>
      <c r="CW6" s="2581"/>
      <c r="CX6" s="2581"/>
      <c r="CY6" s="2581"/>
      <c r="CZ6" s="2581"/>
      <c r="DA6" s="2581"/>
      <c r="DB6" s="2581"/>
      <c r="DC6" s="2581"/>
      <c r="DD6" s="2581"/>
      <c r="DE6" s="2581"/>
      <c r="DF6" s="2581"/>
      <c r="DG6" s="2581"/>
      <c r="DH6" s="2581"/>
      <c r="DI6" s="2581"/>
      <c r="DJ6" s="2581"/>
      <c r="DK6" s="2581"/>
      <c r="DL6" s="2581"/>
      <c r="DM6" s="2581"/>
      <c r="DN6" s="2581"/>
      <c r="DO6" s="2581"/>
      <c r="DP6" s="2581"/>
      <c r="DQ6" s="2581"/>
      <c r="DR6" s="2581"/>
      <c r="DS6" s="2581"/>
      <c r="DT6" s="2581"/>
      <c r="DU6" s="2581"/>
      <c r="DV6" s="2581"/>
      <c r="DW6" s="2581"/>
      <c r="DX6" s="2581"/>
      <c r="DY6" s="2581"/>
      <c r="DZ6" s="2581"/>
      <c r="EA6" s="2581"/>
      <c r="EB6" s="2581"/>
      <c r="EC6" s="2581"/>
      <c r="ED6" s="2581"/>
      <c r="EE6" s="2581"/>
      <c r="EF6" s="2581"/>
      <c r="EG6" s="2581"/>
      <c r="EH6" s="2581"/>
      <c r="EI6" s="2581"/>
      <c r="EJ6" s="2581"/>
      <c r="EK6" s="2581"/>
      <c r="EL6" s="2581"/>
      <c r="EM6" s="2581"/>
      <c r="EN6" s="2581"/>
      <c r="EO6" s="2581"/>
      <c r="EP6" s="2581"/>
      <c r="EQ6" s="2581"/>
      <c r="ER6" s="2581"/>
      <c r="ES6" s="2581"/>
      <c r="ET6" s="2581"/>
      <c r="EU6" s="2581"/>
      <c r="EV6" s="2581"/>
      <c r="EW6" s="2581"/>
      <c r="EX6" s="2581"/>
      <c r="EY6" s="2581"/>
      <c r="EZ6" s="2581"/>
      <c r="FA6" s="2581"/>
      <c r="FB6" s="2581"/>
      <c r="FC6" s="2581"/>
      <c r="FD6" s="2581"/>
      <c r="FE6" s="2581"/>
      <c r="FF6" s="2581"/>
      <c r="FG6" s="2581"/>
      <c r="FH6" s="2581"/>
      <c r="FI6" s="2581"/>
      <c r="FJ6" s="2581"/>
      <c r="FK6" s="2581"/>
      <c r="FL6" s="2581"/>
      <c r="FM6" s="2581"/>
      <c r="FN6" s="2581"/>
      <c r="FO6" s="2581"/>
      <c r="FP6" s="2581"/>
      <c r="FQ6" s="2581"/>
      <c r="FR6" s="2581"/>
      <c r="FS6" s="2581"/>
      <c r="FT6" s="2581"/>
      <c r="FU6" s="2581"/>
      <c r="FV6" s="2581"/>
      <c r="FW6" s="2581"/>
      <c r="FX6" s="2581"/>
      <c r="FY6" s="2581"/>
      <c r="FZ6" s="2581"/>
      <c r="GA6" s="2581"/>
      <c r="GB6" s="2581"/>
      <c r="GC6" s="2581"/>
      <c r="GD6" s="2581"/>
      <c r="GE6" s="2581"/>
      <c r="GF6" s="2581"/>
      <c r="GG6" s="2581"/>
      <c r="GH6" s="2581"/>
      <c r="GI6" s="2581"/>
      <c r="GJ6" s="2581"/>
      <c r="GK6" s="2581"/>
      <c r="GL6" s="2581"/>
      <c r="GM6" s="2581"/>
      <c r="GN6" s="2581"/>
      <c r="GO6" s="2581"/>
      <c r="GP6" s="2581"/>
      <c r="GQ6" s="2581"/>
      <c r="GR6" s="2581"/>
      <c r="GS6" s="2581"/>
      <c r="GT6" s="2581"/>
      <c r="GU6" s="2581"/>
      <c r="GV6" s="2581"/>
      <c r="GW6" s="2581"/>
      <c r="GX6" s="2581"/>
      <c r="GY6" s="2581"/>
      <c r="GZ6" s="2581"/>
      <c r="HA6" s="2581"/>
      <c r="HB6" s="2581"/>
      <c r="HC6" s="2581"/>
      <c r="HD6" s="2581"/>
      <c r="HE6" s="2581"/>
      <c r="HF6" s="2581"/>
      <c r="HG6" s="2581"/>
      <c r="HH6" s="2581"/>
      <c r="HI6" s="2581"/>
      <c r="HJ6" s="2581"/>
      <c r="HK6" s="2581"/>
      <c r="HL6" s="2581"/>
      <c r="HM6" s="2581"/>
      <c r="HN6" s="2581"/>
      <c r="HO6" s="2581"/>
      <c r="HP6" s="2581"/>
      <c r="HQ6" s="2581"/>
      <c r="HR6" s="2581"/>
      <c r="HS6" s="2581"/>
      <c r="HT6" s="2581"/>
      <c r="HU6" s="2581"/>
      <c r="HV6" s="2581"/>
      <c r="HW6" s="2581"/>
      <c r="HX6" s="2581"/>
      <c r="HY6" s="2581"/>
      <c r="HZ6" s="2581"/>
      <c r="IA6" s="2581"/>
      <c r="IB6" s="2581"/>
      <c r="IC6" s="2581"/>
      <c r="ID6" s="2581"/>
      <c r="IE6" s="2581"/>
      <c r="IF6" s="2581"/>
      <c r="IG6" s="2581"/>
      <c r="IH6" s="2581"/>
      <c r="II6" s="2581"/>
      <c r="IJ6" s="2581"/>
      <c r="IK6" s="2581"/>
      <c r="IL6" s="2581"/>
      <c r="IM6" s="2581"/>
      <c r="IN6" s="2581"/>
      <c r="IO6" s="2581"/>
      <c r="IP6" s="2581"/>
      <c r="IQ6" s="2581"/>
      <c r="IR6" s="2581"/>
      <c r="IS6" s="2581"/>
      <c r="IT6" s="2581"/>
      <c r="IU6" s="2581"/>
      <c r="IV6" s="2581"/>
    </row>
    <row r="7" spans="1:257" s="2635" customFormat="1" ht="15" thickBot="1">
      <c r="A7" s="2581"/>
      <c r="G7" s="2593" t="s">
        <v>2512</v>
      </c>
      <c r="H7" s="2594">
        <v>5</v>
      </c>
      <c r="I7" s="2595">
        <f ca="1">INDIRECT("h"&amp;$H$1)</f>
        <v>0</v>
      </c>
      <c r="J7" s="2595">
        <f ca="1">INDIRECT("h"&amp;$H$1)</f>
        <v>0</v>
      </c>
      <c r="K7" s="2581"/>
      <c r="L7" s="2581"/>
      <c r="M7" s="2596">
        <v>5</v>
      </c>
      <c r="N7" s="2597">
        <f ca="1">INDIRECT("t"&amp;$N$1)</f>
        <v>0</v>
      </c>
      <c r="O7" s="2581"/>
      <c r="P7" s="2581"/>
      <c r="Q7" s="2581"/>
      <c r="R7" s="2581"/>
      <c r="S7" s="2581"/>
      <c r="T7" s="2581"/>
      <c r="U7" s="2581"/>
      <c r="V7" s="2581"/>
      <c r="W7" s="2581"/>
      <c r="X7" s="2581"/>
      <c r="Y7" s="2581"/>
      <c r="Z7" s="2581"/>
      <c r="AA7" s="2581"/>
      <c r="AB7" s="2581"/>
      <c r="AC7" s="2581"/>
      <c r="AD7" s="2581"/>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1"/>
      <c r="BC7" s="2581"/>
      <c r="BD7" s="2581"/>
      <c r="BE7" s="2581"/>
      <c r="BF7" s="2581"/>
      <c r="BG7" s="2581"/>
      <c r="BH7" s="2581"/>
      <c r="BI7" s="2581"/>
      <c r="BJ7" s="2581"/>
      <c r="BK7" s="2581"/>
      <c r="BL7" s="2581"/>
      <c r="BM7" s="2581"/>
      <c r="BN7" s="2581"/>
      <c r="BO7" s="2581"/>
      <c r="BP7" s="2581"/>
      <c r="BQ7" s="2581"/>
      <c r="BR7" s="2581"/>
      <c r="BS7" s="2581"/>
      <c r="BT7" s="2581"/>
      <c r="BU7" s="2581"/>
      <c r="BV7" s="2581"/>
      <c r="BW7" s="2581"/>
      <c r="BX7" s="2581"/>
      <c r="BY7" s="2581"/>
      <c r="BZ7" s="2581"/>
      <c r="CA7" s="2581"/>
      <c r="CB7" s="2581"/>
      <c r="CC7" s="2581"/>
      <c r="CD7" s="2581"/>
      <c r="CE7" s="2581"/>
      <c r="CF7" s="2581"/>
      <c r="CG7" s="2581"/>
      <c r="CH7" s="2581"/>
      <c r="CI7" s="2581"/>
      <c r="CJ7" s="2581"/>
      <c r="CK7" s="2581"/>
      <c r="CL7" s="2581"/>
      <c r="CM7" s="2581"/>
      <c r="CN7" s="2581"/>
      <c r="CO7" s="2581"/>
      <c r="CP7" s="2581"/>
      <c r="CQ7" s="2581"/>
      <c r="CR7" s="2581"/>
      <c r="CS7" s="2581"/>
      <c r="CT7" s="2581"/>
      <c r="CU7" s="2581"/>
      <c r="CV7" s="2581"/>
      <c r="CW7" s="2581"/>
      <c r="CX7" s="2581"/>
      <c r="CY7" s="2581"/>
      <c r="CZ7" s="2581"/>
      <c r="DA7" s="2581"/>
      <c r="DB7" s="2581"/>
      <c r="DC7" s="2581"/>
      <c r="DD7" s="2581"/>
      <c r="DE7" s="2581"/>
      <c r="DF7" s="2581"/>
      <c r="DG7" s="2581"/>
      <c r="DH7" s="2581"/>
      <c r="DI7" s="2581"/>
      <c r="DJ7" s="2581"/>
      <c r="DK7" s="2581"/>
      <c r="DL7" s="2581"/>
      <c r="DM7" s="2581"/>
      <c r="DN7" s="2581"/>
      <c r="DO7" s="2581"/>
      <c r="DP7" s="2581"/>
      <c r="DQ7" s="2581"/>
      <c r="DR7" s="2581"/>
      <c r="DS7" s="2581"/>
      <c r="DT7" s="2581"/>
      <c r="DU7" s="2581"/>
      <c r="DV7" s="2581"/>
      <c r="DW7" s="2581"/>
      <c r="DX7" s="2581"/>
      <c r="DY7" s="2581"/>
      <c r="DZ7" s="2581"/>
      <c r="EA7" s="2581"/>
      <c r="EB7" s="2581"/>
      <c r="EC7" s="2581"/>
      <c r="ED7" s="2581"/>
      <c r="EE7" s="2581"/>
      <c r="EF7" s="2581"/>
      <c r="EG7" s="2581"/>
      <c r="EH7" s="2581"/>
      <c r="EI7" s="2581"/>
      <c r="EJ7" s="2581"/>
      <c r="EK7" s="2581"/>
      <c r="EL7" s="2581"/>
      <c r="EM7" s="2581"/>
      <c r="EN7" s="2581"/>
      <c r="EO7" s="2581"/>
      <c r="EP7" s="2581"/>
      <c r="EQ7" s="2581"/>
      <c r="ER7" s="2581"/>
      <c r="ES7" s="2581"/>
      <c r="ET7" s="2581"/>
      <c r="EU7" s="2581"/>
      <c r="EV7" s="2581"/>
      <c r="EW7" s="2581"/>
      <c r="EX7" s="2581"/>
      <c r="EY7" s="2581"/>
      <c r="EZ7" s="2581"/>
      <c r="FA7" s="2581"/>
      <c r="FB7" s="2581"/>
      <c r="FC7" s="2581"/>
      <c r="FD7" s="2581"/>
      <c r="FE7" s="2581"/>
      <c r="FF7" s="2581"/>
      <c r="FG7" s="2581"/>
      <c r="FH7" s="2581"/>
      <c r="FI7" s="2581"/>
      <c r="FJ7" s="2581"/>
      <c r="FK7" s="2581"/>
      <c r="FL7" s="2581"/>
      <c r="FM7" s="2581"/>
      <c r="FN7" s="2581"/>
      <c r="FO7" s="2581"/>
      <c r="FP7" s="2581"/>
      <c r="FQ7" s="2581"/>
      <c r="FR7" s="2581"/>
      <c r="FS7" s="2581"/>
      <c r="FT7" s="2581"/>
      <c r="FU7" s="2581"/>
      <c r="FV7" s="2581"/>
      <c r="FW7" s="2581"/>
      <c r="FX7" s="2581"/>
      <c r="FY7" s="2581"/>
      <c r="FZ7" s="2581"/>
      <c r="GA7" s="2581"/>
      <c r="GB7" s="2581"/>
      <c r="GC7" s="2581"/>
      <c r="GD7" s="2581"/>
      <c r="GE7" s="2581"/>
      <c r="GF7" s="2581"/>
      <c r="GG7" s="2581"/>
      <c r="GH7" s="2581"/>
      <c r="GI7" s="2581"/>
      <c r="GJ7" s="2581"/>
      <c r="GK7" s="2581"/>
      <c r="GL7" s="2581"/>
      <c r="GM7" s="2581"/>
      <c r="GN7" s="2581"/>
      <c r="GO7" s="2581"/>
      <c r="GP7" s="2581"/>
      <c r="GQ7" s="2581"/>
      <c r="GR7" s="2581"/>
      <c r="GS7" s="2581"/>
      <c r="GT7" s="2581"/>
      <c r="GU7" s="2581"/>
      <c r="GV7" s="2581"/>
      <c r="GW7" s="2581"/>
      <c r="GX7" s="2581"/>
      <c r="GY7" s="2581"/>
      <c r="GZ7" s="2581"/>
      <c r="HA7" s="2581"/>
      <c r="HB7" s="2581"/>
      <c r="HC7" s="2581"/>
      <c r="HD7" s="2581"/>
      <c r="HE7" s="2581"/>
      <c r="HF7" s="2581"/>
      <c r="HG7" s="2581"/>
      <c r="HH7" s="2581"/>
      <c r="HI7" s="2581"/>
      <c r="HJ7" s="2581"/>
      <c r="HK7" s="2581"/>
      <c r="HL7" s="2581"/>
      <c r="HM7" s="2581"/>
      <c r="HN7" s="2581"/>
      <c r="HO7" s="2581"/>
      <c r="HP7" s="2581"/>
      <c r="HQ7" s="2581"/>
      <c r="HR7" s="2581"/>
      <c r="HS7" s="2581"/>
      <c r="HT7" s="2581"/>
      <c r="HU7" s="2581"/>
      <c r="HV7" s="2581"/>
      <c r="HW7" s="2581"/>
      <c r="HX7" s="2581"/>
      <c r="HY7" s="2581"/>
      <c r="HZ7" s="2581"/>
      <c r="IA7" s="2581"/>
      <c r="IB7" s="2581"/>
      <c r="IC7" s="2581"/>
      <c r="ID7" s="2581"/>
      <c r="IE7" s="2581"/>
      <c r="IF7" s="2581"/>
      <c r="IG7" s="2581"/>
      <c r="IH7" s="2581"/>
      <c r="II7" s="2581"/>
      <c r="IJ7" s="2581"/>
      <c r="IK7" s="2581"/>
      <c r="IL7" s="2581"/>
      <c r="IM7" s="2581"/>
      <c r="IN7" s="2581"/>
      <c r="IO7" s="2581"/>
      <c r="IP7" s="2581"/>
      <c r="IQ7" s="2581"/>
      <c r="IR7" s="2581"/>
      <c r="IS7" s="2581"/>
      <c r="IT7" s="2581"/>
      <c r="IU7" s="2581"/>
      <c r="IV7" s="2581"/>
    </row>
    <row r="8" spans="1:257">
      <c r="A8" s="2598"/>
      <c r="B8" s="2599"/>
      <c r="C8" s="2600"/>
      <c r="D8" s="2581"/>
      <c r="E8" s="2581"/>
      <c r="F8" s="2581"/>
      <c r="G8" s="2581"/>
      <c r="H8" s="2581"/>
      <c r="I8" s="2581"/>
      <c r="J8" s="2581"/>
      <c r="L8" s="2581"/>
      <c r="M8" s="2581"/>
      <c r="N8" s="2581"/>
      <c r="O8" s="2581"/>
      <c r="P8" s="2581"/>
      <c r="Q8" s="2581"/>
      <c r="R8" s="2581"/>
      <c r="S8" s="2581"/>
      <c r="T8" s="2581"/>
      <c r="U8" s="2581"/>
      <c r="V8" s="2581"/>
      <c r="W8" s="2581"/>
      <c r="X8" s="2581"/>
      <c r="Y8" s="2581"/>
      <c r="Z8" s="2581"/>
    </row>
    <row r="9" spans="1:257" ht="20.399999999999999">
      <c r="A9" s="2601"/>
      <c r="B9" s="2602" t="s">
        <v>2513</v>
      </c>
      <c r="C9" s="2603"/>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5"/>
      <c r="AB9" s="2605"/>
      <c r="AC9" s="2605"/>
      <c r="AD9" s="2605"/>
      <c r="AE9" s="2605"/>
      <c r="AF9" s="2605"/>
      <c r="AG9" s="2605"/>
      <c r="AH9" s="2605"/>
      <c r="AI9" s="2605"/>
      <c r="AJ9" s="2605"/>
      <c r="AK9" s="2605"/>
      <c r="AL9" s="2605"/>
      <c r="AM9" s="2605"/>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5"/>
      <c r="BV9" s="2605"/>
      <c r="BW9" s="2605"/>
      <c r="BX9" s="2605"/>
      <c r="BY9" s="2605"/>
      <c r="BZ9" s="2605"/>
      <c r="CA9" s="2605"/>
      <c r="CB9" s="2605"/>
      <c r="CC9" s="2605"/>
      <c r="CD9" s="2605"/>
      <c r="CE9" s="2605"/>
      <c r="CF9" s="2605"/>
      <c r="CG9" s="2605"/>
      <c r="CH9" s="2605"/>
      <c r="CI9" s="2605"/>
      <c r="CJ9" s="2605"/>
      <c r="CK9" s="2605"/>
      <c r="CL9" s="2605"/>
      <c r="CM9" s="2605"/>
      <c r="CN9" s="2605"/>
      <c r="CO9" s="2605"/>
      <c r="CP9" s="2605"/>
      <c r="CQ9" s="2605"/>
      <c r="CR9" s="2605"/>
      <c r="CS9" s="2605"/>
      <c r="CT9" s="2605"/>
      <c r="CU9" s="2605"/>
      <c r="CV9" s="2605"/>
      <c r="CW9" s="2605"/>
      <c r="CX9" s="2605"/>
      <c r="CY9" s="2605"/>
      <c r="CZ9" s="2605"/>
      <c r="DA9" s="2605"/>
      <c r="DB9" s="2605"/>
      <c r="DC9" s="2605"/>
      <c r="DD9" s="2605"/>
      <c r="DE9" s="2605"/>
      <c r="DF9" s="2605"/>
      <c r="DG9" s="2605"/>
      <c r="DH9" s="2605"/>
      <c r="DI9" s="2605"/>
      <c r="DJ9" s="2605"/>
      <c r="DK9" s="2605"/>
      <c r="DL9" s="2605"/>
      <c r="DM9" s="2605"/>
      <c r="DN9" s="2605"/>
      <c r="DO9" s="2605"/>
      <c r="DP9" s="2605"/>
      <c r="DQ9" s="2605"/>
      <c r="DR9" s="2605"/>
      <c r="DS9" s="2605"/>
      <c r="DT9" s="2605"/>
      <c r="DU9" s="2605"/>
      <c r="DV9" s="2605"/>
      <c r="DW9" s="2605"/>
      <c r="DX9" s="2605"/>
      <c r="DY9" s="2605"/>
      <c r="DZ9" s="2605"/>
      <c r="EA9" s="2605"/>
      <c r="EB9" s="2605"/>
      <c r="EC9" s="2605"/>
      <c r="ED9" s="2605"/>
      <c r="EE9" s="2605"/>
      <c r="EF9" s="2605"/>
      <c r="EG9" s="2605"/>
      <c r="EH9" s="2605"/>
      <c r="EI9" s="2605"/>
      <c r="EJ9" s="2605"/>
      <c r="EK9" s="2605"/>
      <c r="EL9" s="2605"/>
      <c r="EM9" s="2605"/>
      <c r="EN9" s="2605"/>
      <c r="EO9" s="2605"/>
      <c r="EP9" s="2605"/>
      <c r="EQ9" s="2605"/>
      <c r="ER9" s="2605"/>
      <c r="ES9" s="2605"/>
      <c r="ET9" s="2605"/>
      <c r="EU9" s="2605"/>
      <c r="EV9" s="2605"/>
      <c r="EW9" s="2605"/>
      <c r="EX9" s="2605"/>
      <c r="EY9" s="2605"/>
      <c r="EZ9" s="2605"/>
      <c r="FA9" s="2605"/>
      <c r="FB9" s="2605"/>
      <c r="FC9" s="2605"/>
      <c r="FD9" s="2605"/>
      <c r="FE9" s="2605"/>
      <c r="FF9" s="2605"/>
      <c r="FG9" s="2605"/>
      <c r="FH9" s="2605"/>
      <c r="FI9" s="2605"/>
      <c r="FJ9" s="2605"/>
      <c r="FK9" s="2605"/>
      <c r="FL9" s="2605"/>
      <c r="FM9" s="2605"/>
      <c r="FN9" s="2605"/>
      <c r="FO9" s="2605"/>
      <c r="FP9" s="2605"/>
      <c r="FQ9" s="2605"/>
      <c r="FR9" s="2605"/>
      <c r="FS9" s="2605"/>
      <c r="FT9" s="2605"/>
      <c r="FU9" s="2605"/>
      <c r="FV9" s="2605"/>
      <c r="FW9" s="2605"/>
      <c r="FX9" s="2605"/>
      <c r="FY9" s="2605"/>
      <c r="FZ9" s="2605"/>
      <c r="GA9" s="2605"/>
      <c r="GB9" s="2605"/>
      <c r="GC9" s="2605"/>
      <c r="GD9" s="2605"/>
      <c r="GE9" s="2605"/>
      <c r="GF9" s="2605"/>
      <c r="GG9" s="2605"/>
      <c r="GH9" s="2605"/>
      <c r="GI9" s="2605"/>
      <c r="GJ9" s="2605"/>
      <c r="GK9" s="2605"/>
      <c r="GL9" s="2605"/>
      <c r="GM9" s="2605"/>
      <c r="GN9" s="2605"/>
      <c r="GO9" s="2605"/>
      <c r="GP9" s="2605"/>
      <c r="GQ9" s="2605"/>
      <c r="GR9" s="2605"/>
      <c r="GS9" s="2605"/>
      <c r="GT9" s="2605"/>
      <c r="GU9" s="2605"/>
      <c r="GV9" s="2605"/>
      <c r="GW9" s="2605"/>
      <c r="GX9" s="2605"/>
      <c r="GY9" s="2605"/>
      <c r="GZ9" s="2605"/>
      <c r="HA9" s="2605"/>
      <c r="HB9" s="2605"/>
      <c r="HC9" s="2605"/>
      <c r="HD9" s="2605"/>
      <c r="HE9" s="2605"/>
      <c r="HF9" s="2605"/>
      <c r="HG9" s="2605"/>
      <c r="HH9" s="2605"/>
      <c r="HI9" s="2605"/>
      <c r="HJ9" s="2605"/>
      <c r="HK9" s="2605"/>
      <c r="HL9" s="2605"/>
      <c r="HM9" s="2605"/>
      <c r="HN9" s="2605"/>
      <c r="HO9" s="2605"/>
      <c r="HP9" s="2605"/>
      <c r="HQ9" s="2605"/>
      <c r="HR9" s="2605"/>
      <c r="HS9" s="2605"/>
      <c r="HT9" s="2605"/>
      <c r="HU9" s="2605"/>
      <c r="HV9" s="2605"/>
      <c r="HW9" s="2605"/>
      <c r="HX9" s="2605"/>
      <c r="HY9" s="2605"/>
      <c r="HZ9" s="2605"/>
      <c r="IA9" s="2605"/>
      <c r="IB9" s="2605"/>
      <c r="IC9" s="2605"/>
      <c r="ID9" s="2605"/>
      <c r="IE9" s="2605"/>
      <c r="IF9" s="2605"/>
      <c r="IG9" s="2605"/>
      <c r="IH9" s="2605"/>
      <c r="II9" s="2605"/>
      <c r="IJ9" s="2605"/>
      <c r="IK9" s="2605"/>
      <c r="IL9" s="2605"/>
      <c r="IM9" s="2605"/>
      <c r="IN9" s="2605"/>
      <c r="IO9" s="2605"/>
      <c r="IP9" s="2605"/>
      <c r="IQ9" s="2605"/>
      <c r="IR9" s="2605"/>
      <c r="IS9" s="2605"/>
      <c r="IT9" s="2605"/>
      <c r="IU9" s="2605"/>
      <c r="IV9" s="2605"/>
      <c r="IW9" s="2606"/>
    </row>
    <row r="10" spans="1:257" ht="22.2">
      <c r="A10" s="2607"/>
      <c r="B10" s="2608" t="s">
        <v>2514</v>
      </c>
      <c r="C10" s="2607"/>
      <c r="D10" s="2607"/>
      <c r="E10" s="2607"/>
      <c r="F10" s="2607"/>
      <c r="G10" s="2607"/>
      <c r="H10" s="2607"/>
      <c r="I10" s="2581"/>
      <c r="J10" s="2581"/>
      <c r="K10" s="2607"/>
      <c r="L10" s="2608" t="s">
        <v>2515</v>
      </c>
      <c r="M10" s="2607"/>
      <c r="N10" s="2607"/>
      <c r="O10" s="2607"/>
      <c r="P10" s="2607"/>
      <c r="Q10" s="2607"/>
      <c r="R10" s="2607"/>
      <c r="S10" s="2607"/>
      <c r="T10" s="2607"/>
      <c r="U10" s="2607"/>
      <c r="V10" s="2607"/>
      <c r="W10" s="2607"/>
      <c r="X10" s="2607"/>
      <c r="Y10" s="2607"/>
      <c r="Z10" s="2607"/>
      <c r="AA10" s="2609"/>
      <c r="AB10" s="2609"/>
      <c r="AC10" s="2609"/>
      <c r="AD10" s="2609"/>
      <c r="AE10" s="2609"/>
      <c r="AF10" s="2609"/>
      <c r="AG10" s="2609"/>
      <c r="AH10" s="2609"/>
      <c r="AI10" s="2609"/>
      <c r="AJ10" s="2609"/>
      <c r="AK10" s="2609"/>
      <c r="AL10" s="2609"/>
      <c r="AM10" s="2609"/>
      <c r="AN10" s="2609"/>
      <c r="AO10" s="2609"/>
      <c r="AP10" s="2609"/>
      <c r="AQ10" s="2609"/>
      <c r="AR10" s="2609"/>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c r="BP10" s="2609"/>
      <c r="BQ10" s="2609"/>
      <c r="BR10" s="2609"/>
      <c r="BS10" s="2609"/>
      <c r="BT10" s="2609"/>
      <c r="BU10" s="2609"/>
      <c r="BV10" s="2609"/>
      <c r="BW10" s="2609"/>
      <c r="BX10" s="2609"/>
      <c r="BY10" s="2609"/>
      <c r="BZ10" s="2609"/>
      <c r="CA10" s="2609"/>
      <c r="CB10" s="2609"/>
      <c r="CC10" s="2609"/>
      <c r="CD10" s="2609"/>
      <c r="CE10" s="2609"/>
      <c r="CF10" s="2609"/>
      <c r="CG10" s="2609"/>
      <c r="CH10" s="2609"/>
      <c r="CI10" s="2609"/>
      <c r="CJ10" s="2609"/>
      <c r="CK10" s="2609"/>
      <c r="CL10" s="2609"/>
      <c r="CM10" s="2609"/>
      <c r="CN10" s="2609"/>
      <c r="CO10" s="2609"/>
      <c r="CP10" s="2609"/>
      <c r="CQ10" s="2609"/>
      <c r="CR10" s="2609"/>
      <c r="CS10" s="2609"/>
      <c r="CT10" s="2609"/>
      <c r="CU10" s="2609"/>
      <c r="CV10" s="2609"/>
      <c r="CW10" s="2609"/>
      <c r="CX10" s="2609"/>
      <c r="CY10" s="2609"/>
      <c r="CZ10" s="2609"/>
      <c r="DA10" s="2609"/>
      <c r="DB10" s="2609"/>
      <c r="DC10" s="2609"/>
      <c r="DD10" s="2609"/>
      <c r="DE10" s="2609"/>
      <c r="DF10" s="2609"/>
      <c r="DG10" s="2609"/>
      <c r="DH10" s="2609"/>
      <c r="DI10" s="2609"/>
      <c r="DJ10" s="2609"/>
      <c r="DK10" s="2609"/>
      <c r="DL10" s="2609"/>
      <c r="DM10" s="2609"/>
      <c r="DN10" s="2609"/>
      <c r="DO10" s="2609"/>
      <c r="DP10" s="2609"/>
      <c r="DQ10" s="2609"/>
      <c r="DR10" s="2609"/>
      <c r="DS10" s="2609"/>
      <c r="DT10" s="2609"/>
      <c r="DU10" s="2609"/>
      <c r="DV10" s="2609"/>
      <c r="DW10" s="2609"/>
      <c r="DX10" s="2609"/>
      <c r="DY10" s="2609"/>
      <c r="DZ10" s="2609"/>
      <c r="EA10" s="2609"/>
      <c r="EB10" s="2609"/>
      <c r="EC10" s="2609"/>
      <c r="ED10" s="2609"/>
      <c r="EE10" s="2609"/>
      <c r="EF10" s="2609"/>
      <c r="EG10" s="2609"/>
      <c r="EH10" s="2609"/>
      <c r="EI10" s="2609"/>
      <c r="EJ10" s="2609"/>
      <c r="EK10" s="2609"/>
      <c r="EL10" s="2609"/>
      <c r="EM10" s="2609"/>
      <c r="EN10" s="2609"/>
      <c r="EO10" s="2609"/>
      <c r="EP10" s="2609"/>
      <c r="EQ10" s="2609"/>
      <c r="ER10" s="2609"/>
      <c r="ES10" s="2609"/>
      <c r="ET10" s="2609"/>
      <c r="EU10" s="2609"/>
      <c r="EV10" s="2609"/>
      <c r="EW10" s="2609"/>
      <c r="EX10" s="2609"/>
      <c r="EY10" s="2609"/>
      <c r="EZ10" s="2609"/>
      <c r="FA10" s="2609"/>
      <c r="FB10" s="2609"/>
      <c r="FC10" s="2609"/>
      <c r="FD10" s="2609"/>
      <c r="FE10" s="2609"/>
      <c r="FF10" s="2609"/>
      <c r="FG10" s="2609"/>
      <c r="FH10" s="2609"/>
      <c r="FI10" s="2609"/>
      <c r="FJ10" s="2609"/>
      <c r="FK10" s="2609"/>
      <c r="FL10" s="2609"/>
      <c r="FM10" s="2609"/>
      <c r="FN10" s="2609"/>
      <c r="FO10" s="2609"/>
      <c r="FP10" s="2609"/>
      <c r="FQ10" s="2609"/>
      <c r="FR10" s="2609"/>
      <c r="FS10" s="2609"/>
      <c r="FT10" s="2609"/>
      <c r="FU10" s="2609"/>
      <c r="FV10" s="2609"/>
      <c r="FW10" s="2609"/>
      <c r="FX10" s="2609"/>
      <c r="FY10" s="2609"/>
      <c r="FZ10" s="2609"/>
      <c r="GA10" s="2609"/>
      <c r="GB10" s="2609"/>
      <c r="GC10" s="2609"/>
      <c r="GD10" s="2609"/>
      <c r="GE10" s="2609"/>
      <c r="GF10" s="2609"/>
      <c r="GG10" s="2609"/>
      <c r="GH10" s="2609"/>
      <c r="GI10" s="2609"/>
      <c r="GJ10" s="2609"/>
      <c r="GK10" s="2609"/>
      <c r="GL10" s="2609"/>
      <c r="GM10" s="2609"/>
      <c r="GN10" s="2609"/>
      <c r="GO10" s="2609"/>
      <c r="GP10" s="2609"/>
      <c r="GQ10" s="2609"/>
      <c r="GR10" s="2609"/>
      <c r="GS10" s="2609"/>
      <c r="GT10" s="2609"/>
      <c r="GU10" s="2609"/>
      <c r="GV10" s="2609"/>
      <c r="GW10" s="2609"/>
      <c r="GX10" s="2609"/>
      <c r="GY10" s="2609"/>
      <c r="GZ10" s="2609"/>
      <c r="HA10" s="2609"/>
      <c r="HB10" s="2609"/>
      <c r="HC10" s="2609"/>
      <c r="HD10" s="2609"/>
      <c r="HE10" s="2609"/>
      <c r="HF10" s="2609"/>
      <c r="HG10" s="2609"/>
      <c r="HH10" s="2609"/>
      <c r="HI10" s="2609"/>
      <c r="HJ10" s="2609"/>
      <c r="HK10" s="2609"/>
      <c r="HL10" s="2609"/>
      <c r="HM10" s="2609"/>
      <c r="HN10" s="2609"/>
      <c r="HO10" s="2609"/>
      <c r="HP10" s="2609"/>
      <c r="HQ10" s="2609"/>
      <c r="HR10" s="2609"/>
      <c r="HS10" s="2609"/>
      <c r="HT10" s="2609"/>
      <c r="HU10" s="2609"/>
      <c r="HV10" s="2609"/>
      <c r="HW10" s="2609"/>
      <c r="HX10" s="2609"/>
      <c r="HY10" s="2609"/>
      <c r="HZ10" s="2609"/>
      <c r="IA10" s="2609"/>
      <c r="IB10" s="2609"/>
      <c r="IC10" s="2609"/>
      <c r="ID10" s="2609"/>
      <c r="IE10" s="2609"/>
      <c r="IF10" s="2609"/>
      <c r="IG10" s="2609"/>
      <c r="IH10" s="2609"/>
      <c r="II10" s="2609"/>
      <c r="IJ10" s="2609"/>
      <c r="IK10" s="2609"/>
      <c r="IL10" s="2609"/>
      <c r="IM10" s="2609"/>
      <c r="IN10" s="2609"/>
      <c r="IO10" s="2609"/>
      <c r="IP10" s="2609"/>
      <c r="IQ10" s="2609"/>
      <c r="IR10" s="2609"/>
      <c r="IS10" s="2609"/>
      <c r="IT10" s="2609"/>
      <c r="IU10" s="2609"/>
      <c r="IV10" s="2609"/>
    </row>
    <row r="11" spans="1:257">
      <c r="A11" s="2610"/>
      <c r="B11" s="2611" t="s">
        <v>2516</v>
      </c>
      <c r="C11" s="2612" t="s">
        <v>2517</v>
      </c>
      <c r="D11" s="2613" t="s">
        <v>2518</v>
      </c>
      <c r="E11" s="2614"/>
      <c r="F11" s="2613" t="s">
        <v>2519</v>
      </c>
      <c r="G11" s="2615"/>
      <c r="H11" s="2614"/>
      <c r="I11" s="2613" t="s">
        <v>2520</v>
      </c>
      <c r="J11" s="2614"/>
      <c r="K11" s="2610"/>
      <c r="L11" s="2611" t="s">
        <v>2516</v>
      </c>
      <c r="M11" s="2612" t="s">
        <v>2517</v>
      </c>
      <c r="N11" s="2611" t="s">
        <v>2521</v>
      </c>
      <c r="O11" s="2613" t="s">
        <v>2522</v>
      </c>
      <c r="P11" s="2615"/>
      <c r="Q11" s="2615"/>
      <c r="R11" s="2615"/>
      <c r="S11" s="2615"/>
      <c r="T11" s="2614"/>
      <c r="U11" s="2613" t="s">
        <v>2523</v>
      </c>
      <c r="V11" s="2615"/>
      <c r="W11" s="2614"/>
      <c r="X11" s="2611" t="s">
        <v>2524</v>
      </c>
      <c r="Y11" s="2611" t="s">
        <v>2525</v>
      </c>
      <c r="Z11" s="2611" t="s">
        <v>2526</v>
      </c>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c r="BM11" s="2616"/>
      <c r="BN11" s="2616"/>
      <c r="BO11" s="2616"/>
      <c r="BP11" s="2616"/>
      <c r="BQ11" s="2616"/>
      <c r="BR11" s="2616"/>
      <c r="BS11" s="2616"/>
      <c r="BT11" s="2616"/>
      <c r="BU11" s="2616"/>
      <c r="BV11" s="2616"/>
      <c r="BW11" s="2616"/>
      <c r="BX11" s="2616"/>
      <c r="BY11" s="2616"/>
      <c r="BZ11" s="2616"/>
      <c r="CA11" s="2616"/>
      <c r="CB11" s="2616"/>
      <c r="CC11" s="2616"/>
      <c r="CD11" s="2616"/>
      <c r="CE11" s="2616"/>
      <c r="CF11" s="2616"/>
      <c r="CG11" s="2616"/>
      <c r="CH11" s="2616"/>
      <c r="CI11" s="2616"/>
      <c r="CJ11" s="2616"/>
      <c r="CK11" s="2616"/>
      <c r="CL11" s="2616"/>
      <c r="CM11" s="2616"/>
      <c r="CN11" s="2616"/>
      <c r="CO11" s="2616"/>
      <c r="CP11" s="2616"/>
      <c r="CQ11" s="2616"/>
      <c r="CR11" s="2616"/>
      <c r="CS11" s="2616"/>
      <c r="CT11" s="2616"/>
      <c r="CU11" s="2616"/>
      <c r="CV11" s="2616"/>
      <c r="CW11" s="2616"/>
      <c r="CX11" s="2616"/>
      <c r="CY11" s="2616"/>
      <c r="CZ11" s="2616"/>
      <c r="DA11" s="2616"/>
      <c r="DB11" s="2616"/>
      <c r="DC11" s="2616"/>
      <c r="DD11" s="2616"/>
      <c r="DE11" s="2616"/>
      <c r="DF11" s="2616"/>
      <c r="DG11" s="2616"/>
      <c r="DH11" s="2616"/>
      <c r="DI11" s="2616"/>
      <c r="DJ11" s="2616"/>
      <c r="DK11" s="2616"/>
      <c r="DL11" s="2616"/>
      <c r="DM11" s="2616"/>
      <c r="DN11" s="2616"/>
      <c r="DO11" s="2616"/>
      <c r="DP11" s="2616"/>
      <c r="DQ11" s="2616"/>
      <c r="DR11" s="2616"/>
      <c r="DS11" s="2616"/>
      <c r="DT11" s="2616"/>
      <c r="DU11" s="2616"/>
      <c r="DV11" s="2616"/>
      <c r="DW11" s="2616"/>
      <c r="DX11" s="2616"/>
      <c r="DY11" s="2616"/>
      <c r="DZ11" s="2616"/>
      <c r="EA11" s="2616"/>
      <c r="EB11" s="2616"/>
      <c r="EC11" s="2616"/>
      <c r="ED11" s="2616"/>
      <c r="EE11" s="2616"/>
      <c r="EF11" s="2616"/>
      <c r="EG11" s="2616"/>
      <c r="EH11" s="2616"/>
      <c r="EI11" s="2616"/>
      <c r="EJ11" s="2616"/>
      <c r="EK11" s="2616"/>
      <c r="EL11" s="2616"/>
      <c r="EM11" s="2616"/>
      <c r="EN11" s="2616"/>
      <c r="EO11" s="2616"/>
      <c r="EP11" s="2616"/>
      <c r="EQ11" s="2616"/>
      <c r="ER11" s="2616"/>
      <c r="ES11" s="2616"/>
      <c r="ET11" s="2616"/>
      <c r="EU11" s="2616"/>
      <c r="EV11" s="2616"/>
      <c r="EW11" s="2616"/>
      <c r="EX11" s="2616"/>
      <c r="EY11" s="2616"/>
      <c r="EZ11" s="2616"/>
      <c r="FA11" s="2616"/>
      <c r="FB11" s="2616"/>
      <c r="FC11" s="2616"/>
      <c r="FD11" s="2616"/>
      <c r="FE11" s="2616"/>
      <c r="FF11" s="2616"/>
      <c r="FG11" s="2616"/>
      <c r="FH11" s="2616"/>
      <c r="FI11" s="2616"/>
      <c r="FJ11" s="2616"/>
      <c r="FK11" s="2616"/>
      <c r="FL11" s="2616"/>
      <c r="FM11" s="2616"/>
      <c r="FN11" s="2616"/>
      <c r="FO11" s="2616"/>
      <c r="FP11" s="2616"/>
      <c r="FQ11" s="2616"/>
      <c r="FR11" s="2616"/>
      <c r="FS11" s="2616"/>
      <c r="FT11" s="2616"/>
      <c r="FU11" s="2616"/>
      <c r="FV11" s="2616"/>
      <c r="FW11" s="2616"/>
      <c r="FX11" s="2616"/>
      <c r="FY11" s="2616"/>
      <c r="FZ11" s="2616"/>
      <c r="GA11" s="2616"/>
      <c r="GB11" s="2616"/>
      <c r="GC11" s="2616"/>
      <c r="GD11" s="2616"/>
      <c r="GE11" s="2616"/>
      <c r="GF11" s="2616"/>
      <c r="GG11" s="2616"/>
      <c r="GH11" s="2616"/>
      <c r="GI11" s="2616"/>
      <c r="GJ11" s="2616"/>
      <c r="GK11" s="2616"/>
      <c r="GL11" s="2616"/>
      <c r="GM11" s="2616"/>
      <c r="GN11" s="2616"/>
      <c r="GO11" s="2616"/>
      <c r="GP11" s="2616"/>
      <c r="GQ11" s="2616"/>
      <c r="GR11" s="2616"/>
      <c r="GS11" s="2616"/>
      <c r="GT11" s="2616"/>
      <c r="GU11" s="2616"/>
      <c r="GV11" s="2616"/>
      <c r="GW11" s="2616"/>
      <c r="GX11" s="2616"/>
      <c r="GY11" s="2616"/>
      <c r="GZ11" s="2616"/>
      <c r="HA11" s="2616"/>
      <c r="HB11" s="2616"/>
      <c r="HC11" s="2616"/>
      <c r="HD11" s="2616"/>
      <c r="HE11" s="2616"/>
      <c r="HF11" s="2616"/>
      <c r="HG11" s="2616"/>
      <c r="HH11" s="2616"/>
      <c r="HI11" s="2616"/>
      <c r="HJ11" s="2616"/>
      <c r="HK11" s="2616"/>
      <c r="HL11" s="2616"/>
      <c r="HM11" s="2616"/>
      <c r="HN11" s="2616"/>
      <c r="HO11" s="2616"/>
      <c r="HP11" s="2616"/>
      <c r="HQ11" s="2616"/>
      <c r="HR11" s="2616"/>
      <c r="HS11" s="2616"/>
      <c r="HT11" s="2616"/>
      <c r="HU11" s="2616"/>
      <c r="HV11" s="2616"/>
      <c r="HW11" s="2616"/>
      <c r="HX11" s="2616"/>
      <c r="HY11" s="2616"/>
      <c r="HZ11" s="2616"/>
      <c r="IA11" s="2616"/>
      <c r="IB11" s="2616"/>
      <c r="IC11" s="2616"/>
      <c r="ID11" s="2616"/>
      <c r="IE11" s="2616"/>
      <c r="IF11" s="2616"/>
      <c r="IG11" s="2616"/>
      <c r="IH11" s="2616"/>
      <c r="II11" s="2616"/>
      <c r="IJ11" s="2616"/>
      <c r="IK11" s="2616"/>
      <c r="IL11" s="2616"/>
      <c r="IM11" s="2616"/>
      <c r="IN11" s="2616"/>
      <c r="IO11" s="2616"/>
      <c r="IP11" s="2616"/>
      <c r="IQ11" s="2616"/>
      <c r="IR11" s="2616"/>
      <c r="IS11" s="2616"/>
      <c r="IT11" s="2616"/>
      <c r="IU11" s="2616"/>
      <c r="IV11" s="2616"/>
    </row>
    <row r="12" spans="1:257">
      <c r="A12" s="2617"/>
      <c r="B12" s="2618"/>
      <c r="C12" s="2619"/>
      <c r="D12" s="2620" t="s">
        <v>2527</v>
      </c>
      <c r="E12" s="2620" t="s">
        <v>2528</v>
      </c>
      <c r="F12" s="2620" t="s">
        <v>2529</v>
      </c>
      <c r="G12" s="2620" t="s">
        <v>2530</v>
      </c>
      <c r="H12" s="2620" t="s">
        <v>2512</v>
      </c>
      <c r="I12" s="2621" t="s">
        <v>2531</v>
      </c>
      <c r="J12" s="2621" t="s">
        <v>2531</v>
      </c>
      <c r="K12" s="2617"/>
      <c r="L12" s="2618"/>
      <c r="M12" s="2619"/>
      <c r="N12" s="2618"/>
      <c r="O12" s="2621" t="s">
        <v>2532</v>
      </c>
      <c r="P12" s="2621">
        <v>0.5</v>
      </c>
      <c r="Q12" s="2621">
        <v>1</v>
      </c>
      <c r="R12" s="2621">
        <v>2</v>
      </c>
      <c r="S12" s="2621">
        <v>3</v>
      </c>
      <c r="T12" s="2621">
        <v>5</v>
      </c>
      <c r="U12" s="2621">
        <v>1</v>
      </c>
      <c r="V12" s="2621">
        <v>3</v>
      </c>
      <c r="W12" s="2621">
        <v>5</v>
      </c>
      <c r="X12" s="2618"/>
      <c r="Y12" s="2618"/>
      <c r="Z12" s="2618"/>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c r="BP12" s="2622"/>
      <c r="BQ12" s="2622"/>
      <c r="BR12" s="2622"/>
      <c r="BS12" s="2622"/>
      <c r="BT12" s="2622"/>
      <c r="BU12" s="2622"/>
      <c r="BV12" s="2622"/>
      <c r="BW12" s="2622"/>
      <c r="BX12" s="2622"/>
      <c r="BY12" s="2622"/>
      <c r="BZ12" s="2622"/>
      <c r="CA12" s="2622"/>
      <c r="CB12" s="2622"/>
      <c r="CC12" s="2622"/>
      <c r="CD12" s="2622"/>
      <c r="CE12" s="2622"/>
      <c r="CF12" s="2622"/>
      <c r="CG12" s="2622"/>
      <c r="CH12" s="2622"/>
      <c r="CI12" s="2622"/>
      <c r="CJ12" s="2622"/>
      <c r="CK12" s="2622"/>
      <c r="CL12" s="2622"/>
      <c r="CM12" s="2622"/>
      <c r="CN12" s="2622"/>
      <c r="CO12" s="2622"/>
      <c r="CP12" s="2622"/>
      <c r="CQ12" s="2622"/>
      <c r="CR12" s="2622"/>
      <c r="CS12" s="2622"/>
      <c r="CT12" s="2622"/>
      <c r="CU12" s="2622"/>
      <c r="CV12" s="2622"/>
      <c r="CW12" s="2622"/>
      <c r="CX12" s="2622"/>
      <c r="CY12" s="2622"/>
      <c r="CZ12" s="2622"/>
      <c r="DA12" s="2622"/>
      <c r="DB12" s="2622"/>
      <c r="DC12" s="2622"/>
      <c r="DD12" s="2622"/>
      <c r="DE12" s="2622"/>
      <c r="DF12" s="2622"/>
      <c r="DG12" s="2622"/>
      <c r="DH12" s="2622"/>
      <c r="DI12" s="2622"/>
      <c r="DJ12" s="2622"/>
      <c r="DK12" s="2622"/>
      <c r="DL12" s="2622"/>
      <c r="DM12" s="2622"/>
      <c r="DN12" s="2622"/>
      <c r="DO12" s="2622"/>
      <c r="DP12" s="2622"/>
      <c r="DQ12" s="2622"/>
      <c r="DR12" s="2622"/>
      <c r="DS12" s="2622"/>
      <c r="DT12" s="2622"/>
      <c r="DU12" s="2622"/>
      <c r="DV12" s="2622"/>
      <c r="DW12" s="2622"/>
      <c r="DX12" s="2622"/>
      <c r="DY12" s="2622"/>
      <c r="DZ12" s="2622"/>
      <c r="EA12" s="2622"/>
      <c r="EB12" s="2622"/>
      <c r="EC12" s="2622"/>
      <c r="ED12" s="2622"/>
      <c r="EE12" s="2622"/>
      <c r="EF12" s="2622"/>
      <c r="EG12" s="2622"/>
      <c r="EH12" s="2622"/>
      <c r="EI12" s="2622"/>
      <c r="EJ12" s="2622"/>
      <c r="EK12" s="2622"/>
      <c r="EL12" s="2622"/>
      <c r="EM12" s="2622"/>
      <c r="EN12" s="2622"/>
      <c r="EO12" s="2622"/>
      <c r="EP12" s="2622"/>
      <c r="EQ12" s="2622"/>
      <c r="ER12" s="2622"/>
      <c r="ES12" s="2622"/>
      <c r="ET12" s="2622"/>
      <c r="EU12" s="2622"/>
      <c r="EV12" s="2622"/>
      <c r="EW12" s="2622"/>
      <c r="EX12" s="2622"/>
      <c r="EY12" s="2622"/>
      <c r="EZ12" s="2622"/>
      <c r="FA12" s="2622"/>
      <c r="FB12" s="2622"/>
      <c r="FC12" s="2622"/>
      <c r="FD12" s="2622"/>
      <c r="FE12" s="2622"/>
      <c r="FF12" s="2622"/>
      <c r="FG12" s="2622"/>
      <c r="FH12" s="2622"/>
      <c r="FI12" s="2622"/>
      <c r="FJ12" s="2622"/>
      <c r="FK12" s="2622"/>
      <c r="FL12" s="2622"/>
      <c r="FM12" s="2622"/>
      <c r="FN12" s="2622"/>
      <c r="FO12" s="2622"/>
      <c r="FP12" s="2622"/>
      <c r="FQ12" s="2622"/>
      <c r="FR12" s="2622"/>
      <c r="FS12" s="2622"/>
      <c r="FT12" s="2622"/>
      <c r="FU12" s="2622"/>
      <c r="FV12" s="2622"/>
      <c r="FW12" s="2622"/>
      <c r="FX12" s="2622"/>
      <c r="FY12" s="2622"/>
      <c r="FZ12" s="2622"/>
      <c r="GA12" s="2622"/>
      <c r="GB12" s="2622"/>
      <c r="GC12" s="2622"/>
      <c r="GD12" s="2622"/>
      <c r="GE12" s="2622"/>
      <c r="GF12" s="2622"/>
      <c r="GG12" s="2622"/>
      <c r="GH12" s="2622"/>
      <c r="GI12" s="2622"/>
      <c r="GJ12" s="2622"/>
      <c r="GK12" s="2622"/>
      <c r="GL12" s="2622"/>
      <c r="GM12" s="2622"/>
      <c r="GN12" s="2622"/>
      <c r="GO12" s="2622"/>
      <c r="GP12" s="2622"/>
      <c r="GQ12" s="2622"/>
      <c r="GR12" s="2622"/>
      <c r="GS12" s="2622"/>
      <c r="GT12" s="2622"/>
      <c r="GU12" s="2622"/>
      <c r="GV12" s="2622"/>
      <c r="GW12" s="2622"/>
      <c r="GX12" s="2622"/>
      <c r="GY12" s="2622"/>
      <c r="GZ12" s="2622"/>
      <c r="HA12" s="2622"/>
      <c r="HB12" s="2622"/>
      <c r="HC12" s="2622"/>
      <c r="HD12" s="2622"/>
      <c r="HE12" s="2622"/>
      <c r="HF12" s="2622"/>
      <c r="HG12" s="2622"/>
      <c r="HH12" s="2622"/>
      <c r="HI12" s="2622"/>
      <c r="HJ12" s="2622"/>
      <c r="HK12" s="2622"/>
      <c r="HL12" s="2622"/>
      <c r="HM12" s="2622"/>
      <c r="HN12" s="2622"/>
      <c r="HO12" s="2622"/>
      <c r="HP12" s="2622"/>
      <c r="HQ12" s="2622"/>
      <c r="HR12" s="2622"/>
      <c r="HS12" s="2622"/>
      <c r="HT12" s="2622"/>
      <c r="HU12" s="2622"/>
      <c r="HV12" s="2622"/>
      <c r="HW12" s="2622"/>
      <c r="HX12" s="2622"/>
      <c r="HY12" s="2622"/>
      <c r="HZ12" s="2622"/>
      <c r="IA12" s="2622"/>
      <c r="IB12" s="2622"/>
      <c r="IC12" s="2622"/>
      <c r="ID12" s="2622"/>
      <c r="IE12" s="2622"/>
      <c r="IF12" s="2622"/>
      <c r="IG12" s="2622"/>
      <c r="IH12" s="2622"/>
      <c r="II12" s="2622"/>
      <c r="IJ12" s="2622"/>
      <c r="IK12" s="2622"/>
      <c r="IL12" s="2622"/>
      <c r="IM12" s="2622"/>
      <c r="IN12" s="2622"/>
      <c r="IO12" s="2622"/>
      <c r="IP12" s="2622"/>
      <c r="IQ12" s="2622"/>
      <c r="IR12" s="2622"/>
      <c r="IS12" s="2622"/>
      <c r="IT12" s="2622"/>
      <c r="IU12" s="2622"/>
      <c r="IV12" s="2622"/>
    </row>
    <row r="13" spans="1:257" ht="31.2">
      <c r="A13" s="2623"/>
      <c r="B13" s="2624" t="s">
        <v>2533</v>
      </c>
      <c r="C13" s="2625">
        <v>44795</v>
      </c>
      <c r="D13" s="2626">
        <v>3.65</v>
      </c>
      <c r="E13" s="2626">
        <f>D13</f>
        <v>3.65</v>
      </c>
      <c r="F13" s="2626">
        <f>D13</f>
        <v>3.65</v>
      </c>
      <c r="G13" s="2626">
        <f>D13</f>
        <v>3.65</v>
      </c>
      <c r="H13" s="2626">
        <v>4.3</v>
      </c>
      <c r="I13" s="2626"/>
      <c r="J13" s="2626"/>
      <c r="K13" s="2623"/>
      <c r="L13" s="2624" t="s">
        <v>2533</v>
      </c>
      <c r="M13" s="2627">
        <v>42301</v>
      </c>
      <c r="N13" s="2626">
        <v>0.35</v>
      </c>
      <c r="O13" s="2626">
        <v>1.1000000000000001</v>
      </c>
      <c r="P13" s="2626">
        <v>1.3</v>
      </c>
      <c r="Q13" s="2626">
        <v>1.5</v>
      </c>
      <c r="R13" s="2626">
        <v>2.1</v>
      </c>
      <c r="S13" s="2626">
        <v>2.75</v>
      </c>
      <c r="T13" s="2626"/>
      <c r="U13" s="2626"/>
      <c r="V13" s="2626"/>
      <c r="W13" s="2626"/>
      <c r="X13" s="2626"/>
      <c r="Y13" s="2626"/>
      <c r="Z13" s="2626"/>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c r="AW13" s="2628"/>
      <c r="AX13" s="2628"/>
      <c r="AY13" s="2628"/>
      <c r="AZ13" s="2628"/>
      <c r="BA13" s="2628"/>
      <c r="BB13" s="2628"/>
      <c r="BC13" s="2628"/>
      <c r="BD13" s="2628"/>
      <c r="BE13" s="2628"/>
      <c r="BF13" s="2628"/>
      <c r="BG13" s="2628"/>
      <c r="BH13" s="2628"/>
      <c r="BI13" s="2628"/>
      <c r="BJ13" s="2628"/>
      <c r="BK13" s="2628"/>
      <c r="BL13" s="2628"/>
      <c r="BM13" s="2628"/>
      <c r="BN13" s="2628"/>
      <c r="BO13" s="2628"/>
      <c r="BP13" s="2628"/>
      <c r="BQ13" s="2628"/>
      <c r="BR13" s="2628"/>
      <c r="BS13" s="2628"/>
      <c r="BT13" s="2628"/>
      <c r="BU13" s="2628"/>
      <c r="BV13" s="2628"/>
      <c r="BW13" s="2628"/>
      <c r="BX13" s="2628"/>
      <c r="BY13" s="2628"/>
      <c r="BZ13" s="2628"/>
      <c r="CA13" s="2628"/>
      <c r="CB13" s="2628"/>
      <c r="CC13" s="2628"/>
      <c r="CD13" s="2628"/>
      <c r="CE13" s="2628"/>
      <c r="CF13" s="2628"/>
      <c r="CG13" s="2628"/>
      <c r="CH13" s="2628"/>
      <c r="CI13" s="2628"/>
      <c r="CJ13" s="2628"/>
      <c r="CK13" s="2628"/>
      <c r="CL13" s="2628"/>
      <c r="CM13" s="2628"/>
      <c r="CN13" s="2628"/>
      <c r="CO13" s="2628"/>
      <c r="CP13" s="2628"/>
      <c r="CQ13" s="2628"/>
      <c r="CR13" s="2628"/>
      <c r="CS13" s="2628"/>
      <c r="CT13" s="2628"/>
      <c r="CU13" s="2628"/>
      <c r="CV13" s="2628"/>
      <c r="CW13" s="2628"/>
      <c r="CX13" s="2628"/>
      <c r="CY13" s="2628"/>
      <c r="CZ13" s="2628"/>
      <c r="DA13" s="2628"/>
      <c r="DB13" s="2628"/>
      <c r="DC13" s="2628"/>
      <c r="DD13" s="2628"/>
      <c r="DE13" s="2628"/>
      <c r="DF13" s="2628"/>
      <c r="DG13" s="2628"/>
      <c r="DH13" s="2628"/>
      <c r="DI13" s="2628"/>
      <c r="DJ13" s="2628"/>
      <c r="DK13" s="2628"/>
      <c r="DL13" s="2628"/>
      <c r="DM13" s="2628"/>
      <c r="DN13" s="2628"/>
      <c r="DO13" s="2628"/>
      <c r="DP13" s="2628"/>
      <c r="DQ13" s="2628"/>
      <c r="DR13" s="2628"/>
      <c r="DS13" s="2628"/>
      <c r="DT13" s="2628"/>
      <c r="DU13" s="2628"/>
      <c r="DV13" s="2628"/>
      <c r="DW13" s="2628"/>
      <c r="DX13" s="2628"/>
      <c r="DY13" s="2628"/>
      <c r="DZ13" s="2628"/>
      <c r="EA13" s="2628"/>
      <c r="EB13" s="2628"/>
      <c r="EC13" s="2628"/>
      <c r="ED13" s="2628"/>
      <c r="EE13" s="2628"/>
      <c r="EF13" s="2628"/>
      <c r="EG13" s="2628"/>
      <c r="EH13" s="2628"/>
      <c r="EI13" s="2628"/>
      <c r="EJ13" s="2628"/>
      <c r="EK13" s="2628"/>
      <c r="EL13" s="2628"/>
      <c r="EM13" s="2628"/>
      <c r="EN13" s="2628"/>
      <c r="EO13" s="2628"/>
      <c r="EP13" s="2628"/>
      <c r="EQ13" s="2628"/>
      <c r="ER13" s="2628"/>
      <c r="ES13" s="2628"/>
      <c r="ET13" s="2628"/>
      <c r="EU13" s="2628"/>
      <c r="EV13" s="2628"/>
      <c r="EW13" s="2628"/>
      <c r="EX13" s="2628"/>
      <c r="EY13" s="2628"/>
      <c r="EZ13" s="2628"/>
      <c r="FA13" s="2628"/>
      <c r="FB13" s="2628"/>
      <c r="FC13" s="2628"/>
      <c r="FD13" s="2628"/>
      <c r="FE13" s="2628"/>
      <c r="FF13" s="2628"/>
      <c r="FG13" s="2628"/>
      <c r="FH13" s="2628"/>
      <c r="FI13" s="2628"/>
      <c r="FJ13" s="2628"/>
      <c r="FK13" s="2628"/>
      <c r="FL13" s="2628"/>
      <c r="FM13" s="2628"/>
      <c r="FN13" s="2628"/>
      <c r="FO13" s="2628"/>
      <c r="FP13" s="2628"/>
      <c r="FQ13" s="2628"/>
      <c r="FR13" s="2628"/>
      <c r="FS13" s="2628"/>
      <c r="FT13" s="2628"/>
      <c r="FU13" s="2628"/>
      <c r="FV13" s="2628"/>
      <c r="FW13" s="2628"/>
      <c r="FX13" s="2628"/>
      <c r="FY13" s="2628"/>
      <c r="FZ13" s="2628"/>
      <c r="GA13" s="2628"/>
      <c r="GB13" s="2628"/>
      <c r="GC13" s="2628"/>
      <c r="GD13" s="2628"/>
      <c r="GE13" s="2628"/>
      <c r="GF13" s="2628"/>
      <c r="GG13" s="2628"/>
      <c r="GH13" s="2628"/>
      <c r="GI13" s="2628"/>
      <c r="GJ13" s="2628"/>
      <c r="GK13" s="2628"/>
      <c r="GL13" s="2628"/>
      <c r="GM13" s="2628"/>
      <c r="GN13" s="2628"/>
      <c r="GO13" s="2628"/>
      <c r="GP13" s="2628"/>
      <c r="GQ13" s="2628"/>
      <c r="GR13" s="2628"/>
      <c r="GS13" s="2628"/>
      <c r="GT13" s="2628"/>
      <c r="GU13" s="2628"/>
      <c r="GV13" s="2628"/>
      <c r="GW13" s="2628"/>
      <c r="GX13" s="2628"/>
      <c r="GY13" s="2628"/>
      <c r="GZ13" s="2628"/>
      <c r="HA13" s="2628"/>
      <c r="HB13" s="2628"/>
      <c r="HC13" s="2628"/>
      <c r="HD13" s="2628"/>
      <c r="HE13" s="2628"/>
      <c r="HF13" s="2628"/>
      <c r="HG13" s="2628"/>
      <c r="HH13" s="2628"/>
      <c r="HI13" s="2628"/>
      <c r="HJ13" s="2628"/>
      <c r="HK13" s="2628"/>
      <c r="HL13" s="2628"/>
      <c r="HM13" s="2628"/>
      <c r="HN13" s="2628"/>
      <c r="HO13" s="2628"/>
      <c r="HP13" s="2628"/>
      <c r="HQ13" s="2628"/>
      <c r="HR13" s="2628"/>
      <c r="HS13" s="2628"/>
      <c r="HT13" s="2628"/>
      <c r="HU13" s="2628"/>
      <c r="HV13" s="2628"/>
      <c r="HW13" s="2628"/>
      <c r="HX13" s="2628"/>
      <c r="HY13" s="2628"/>
      <c r="HZ13" s="2628"/>
      <c r="IA13" s="2628"/>
      <c r="IB13" s="2628"/>
      <c r="IC13" s="2628"/>
      <c r="ID13" s="2628"/>
      <c r="IE13" s="2628"/>
      <c r="IF13" s="2628"/>
      <c r="IG13" s="2628"/>
      <c r="IH13" s="2628"/>
      <c r="II13" s="2628"/>
      <c r="IJ13" s="2628"/>
      <c r="IK13" s="2628"/>
      <c r="IL13" s="2628"/>
      <c r="IM13" s="2628"/>
      <c r="IN13" s="2628"/>
      <c r="IO13" s="2628"/>
      <c r="IP13" s="2628"/>
      <c r="IQ13" s="2628"/>
      <c r="IR13" s="2628"/>
      <c r="IS13" s="2628"/>
      <c r="IT13" s="2628"/>
      <c r="IU13" s="2628"/>
      <c r="IV13" s="2628"/>
      <c r="IW13" s="2629"/>
    </row>
    <row r="14" spans="1:257" ht="15.6">
      <c r="A14" s="2623"/>
      <c r="B14" s="2624"/>
      <c r="C14" s="2631">
        <v>44701</v>
      </c>
      <c r="D14" s="2630">
        <v>3.7</v>
      </c>
      <c r="E14" s="2630">
        <v>3.7</v>
      </c>
      <c r="F14" s="2630">
        <v>3.7</v>
      </c>
      <c r="G14" s="2630">
        <v>3.7</v>
      </c>
      <c r="H14" s="2630">
        <v>4.45</v>
      </c>
      <c r="I14" s="2626"/>
      <c r="J14" s="2626"/>
      <c r="K14" s="2623"/>
      <c r="L14" s="2630"/>
      <c r="M14" s="2631">
        <v>42242</v>
      </c>
      <c r="N14" s="2630">
        <v>0.35</v>
      </c>
      <c r="O14" s="2630">
        <v>1.35</v>
      </c>
      <c r="P14" s="2630">
        <v>1.55</v>
      </c>
      <c r="Q14" s="2630">
        <v>1.75</v>
      </c>
      <c r="R14" s="2630">
        <v>2.35</v>
      </c>
      <c r="S14" s="2630">
        <v>3</v>
      </c>
      <c r="T14" s="2630"/>
      <c r="U14" s="2630"/>
      <c r="V14" s="2630"/>
      <c r="W14" s="2630"/>
      <c r="X14" s="2630"/>
      <c r="Y14" s="2630"/>
      <c r="Z14" s="2630"/>
    </row>
    <row r="15" spans="1:257" ht="15.6">
      <c r="A15" s="2623"/>
      <c r="B15" s="2624"/>
      <c r="C15" s="2631">
        <v>44581</v>
      </c>
      <c r="D15" s="2630">
        <v>3.7</v>
      </c>
      <c r="E15" s="2630">
        <f>D15</f>
        <v>3.7</v>
      </c>
      <c r="F15" s="2630">
        <f>D15</f>
        <v>3.7</v>
      </c>
      <c r="G15" s="2630">
        <f>D15</f>
        <v>3.7</v>
      </c>
      <c r="H15" s="2630">
        <v>4.5999999999999996</v>
      </c>
      <c r="I15" s="2626"/>
      <c r="J15" s="2626"/>
      <c r="L15" s="2630"/>
      <c r="M15" s="2631">
        <v>42183</v>
      </c>
      <c r="N15" s="2630">
        <v>0.35</v>
      </c>
      <c r="O15" s="2630">
        <v>1.6</v>
      </c>
      <c r="P15" s="2630">
        <v>1.8</v>
      </c>
      <c r="Q15" s="2630">
        <v>2</v>
      </c>
      <c r="R15" s="2630">
        <v>2.6</v>
      </c>
      <c r="S15" s="2630">
        <v>3.25</v>
      </c>
      <c r="T15" s="2630"/>
      <c r="U15" s="2630"/>
      <c r="V15" s="2630"/>
      <c r="W15" s="2630"/>
      <c r="X15" s="2630"/>
      <c r="Y15" s="2630"/>
      <c r="Z15" s="2630"/>
    </row>
    <row r="16" spans="1:257" ht="15.6">
      <c r="A16" s="2623"/>
      <c r="B16" s="2624"/>
      <c r="C16" s="2631">
        <v>44550</v>
      </c>
      <c r="D16" s="2630">
        <v>3.8</v>
      </c>
      <c r="E16" s="2630">
        <f>D16</f>
        <v>3.8</v>
      </c>
      <c r="F16" s="2630">
        <f>D16</f>
        <v>3.8</v>
      </c>
      <c r="G16" s="2630">
        <f>D16</f>
        <v>3.8</v>
      </c>
      <c r="H16" s="2630">
        <v>4.6500000000000004</v>
      </c>
      <c r="I16" s="2626"/>
      <c r="J16" s="2626"/>
      <c r="L16" s="2630"/>
      <c r="M16" s="2631">
        <v>42135</v>
      </c>
      <c r="N16" s="2630">
        <v>0.35</v>
      </c>
      <c r="O16" s="2630">
        <v>1.85</v>
      </c>
      <c r="P16" s="2630">
        <v>2.0499999999999998</v>
      </c>
      <c r="Q16" s="2630">
        <v>2.25</v>
      </c>
      <c r="R16" s="2630">
        <v>2.85</v>
      </c>
      <c r="S16" s="2630">
        <v>3.5</v>
      </c>
      <c r="T16" s="2630"/>
      <c r="U16" s="2630"/>
      <c r="V16" s="2630"/>
      <c r="W16" s="2630"/>
      <c r="X16" s="2630"/>
      <c r="Y16" s="2630"/>
      <c r="Z16" s="2630"/>
    </row>
    <row r="17" spans="1:256" ht="15.6">
      <c r="A17" s="2623"/>
      <c r="B17" s="2630"/>
      <c r="C17" s="2631">
        <v>43941</v>
      </c>
      <c r="D17" s="2630">
        <v>3.85</v>
      </c>
      <c r="E17" s="2630">
        <v>3.85</v>
      </c>
      <c r="F17" s="2630">
        <v>3.85</v>
      </c>
      <c r="G17" s="2630">
        <v>3.85</v>
      </c>
      <c r="H17" s="2630">
        <v>4.6500000000000004</v>
      </c>
      <c r="I17" s="2630"/>
      <c r="J17" s="2630"/>
      <c r="L17" s="2630"/>
      <c r="M17" s="2631">
        <v>42064</v>
      </c>
      <c r="N17" s="2630">
        <v>0.35</v>
      </c>
      <c r="O17" s="2630">
        <v>2.1</v>
      </c>
      <c r="P17" s="2630">
        <v>2.2999999999999998</v>
      </c>
      <c r="Q17" s="2630">
        <v>2.5</v>
      </c>
      <c r="R17" s="2630">
        <v>3.1</v>
      </c>
      <c r="S17" s="2630">
        <v>3.75</v>
      </c>
      <c r="T17" s="2630">
        <v>4.5</v>
      </c>
      <c r="U17" s="2630">
        <v>2.35</v>
      </c>
      <c r="V17" s="2630">
        <v>2.5499999999999998</v>
      </c>
      <c r="W17" s="2630">
        <v>2.75</v>
      </c>
      <c r="X17" s="2630"/>
      <c r="Y17" s="2630">
        <v>0.8</v>
      </c>
      <c r="Z17" s="2630">
        <v>1.35</v>
      </c>
    </row>
    <row r="18" spans="1:256" ht="16.8">
      <c r="A18" s="2623"/>
      <c r="B18" s="2630"/>
      <c r="C18" s="2631">
        <v>43881</v>
      </c>
      <c r="D18" s="2630">
        <v>4.05</v>
      </c>
      <c r="E18" s="2630">
        <v>4.05</v>
      </c>
      <c r="F18" s="2630">
        <v>4.05</v>
      </c>
      <c r="G18" s="2630">
        <v>4.05</v>
      </c>
      <c r="H18" s="2630">
        <v>4.75</v>
      </c>
      <c r="I18" s="2630"/>
      <c r="J18" s="2630"/>
      <c r="L18" s="3193"/>
      <c r="M18" s="3192">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3195" customFormat="1" ht="15.6">
      <c r="A19" s="2623"/>
      <c r="B19" s="2630"/>
      <c r="C19" s="2631">
        <v>43789</v>
      </c>
      <c r="D19" s="2630">
        <v>4.1500000000000004</v>
      </c>
      <c r="E19" s="2630">
        <v>4.1500000000000004</v>
      </c>
      <c r="F19" s="2630">
        <v>4.1500000000000004</v>
      </c>
      <c r="G19" s="2630">
        <v>4.1500000000000004</v>
      </c>
      <c r="H19" s="2630">
        <v>4.8</v>
      </c>
      <c r="I19" s="2630"/>
      <c r="J19" s="2630"/>
      <c r="K19" s="2581"/>
      <c r="L19" s="2630"/>
      <c r="M19" s="2631">
        <v>41096</v>
      </c>
      <c r="N19" s="2630">
        <v>0.35</v>
      </c>
      <c r="O19" s="2630">
        <v>2.6</v>
      </c>
      <c r="P19" s="2630">
        <v>2.8</v>
      </c>
      <c r="Q19" s="2630">
        <v>3</v>
      </c>
      <c r="R19" s="2630">
        <v>3.75</v>
      </c>
      <c r="S19" s="2630">
        <v>4.25</v>
      </c>
      <c r="T19" s="2630">
        <v>4.75</v>
      </c>
      <c r="U19" s="2630">
        <v>2.85</v>
      </c>
      <c r="V19" s="2630">
        <v>2.9</v>
      </c>
      <c r="W19" s="2630">
        <v>3</v>
      </c>
      <c r="X19" s="2630">
        <v>1.1499999999999999</v>
      </c>
      <c r="Y19" s="2630">
        <v>0.8</v>
      </c>
      <c r="Z19" s="2630">
        <v>1.35</v>
      </c>
      <c r="AA19" s="2622"/>
      <c r="AB19" s="2622"/>
      <c r="AC19" s="2622"/>
      <c r="AD19" s="2622"/>
      <c r="AE19" s="2622"/>
      <c r="AF19" s="2622"/>
      <c r="AG19" s="2622"/>
      <c r="AH19" s="2622"/>
      <c r="AI19" s="2622"/>
      <c r="AJ19" s="2622"/>
      <c r="AK19" s="2622"/>
      <c r="AL19" s="2622"/>
      <c r="AM19" s="2622"/>
      <c r="AN19" s="2622"/>
      <c r="AO19" s="2622"/>
      <c r="AP19" s="2622"/>
      <c r="AQ19" s="2622"/>
      <c r="AR19" s="2622"/>
      <c r="AS19" s="2622"/>
      <c r="AT19" s="2622"/>
      <c r="AU19" s="2622"/>
      <c r="AV19" s="2622"/>
      <c r="AW19" s="2622"/>
      <c r="AX19" s="2622"/>
      <c r="AY19" s="2622"/>
      <c r="AZ19" s="2622"/>
      <c r="BA19" s="2622"/>
      <c r="BB19" s="2622"/>
      <c r="BC19" s="2622"/>
      <c r="BD19" s="2622"/>
      <c r="BE19" s="2622"/>
      <c r="BF19" s="2622"/>
      <c r="BG19" s="2622"/>
      <c r="BH19" s="2622"/>
      <c r="BI19" s="2622"/>
      <c r="BJ19" s="2622"/>
      <c r="BK19" s="2622"/>
      <c r="BL19" s="2622"/>
      <c r="BM19" s="2622"/>
      <c r="BN19" s="2622"/>
      <c r="BO19" s="2622"/>
      <c r="BP19" s="2622"/>
      <c r="BQ19" s="2622"/>
      <c r="BR19" s="2622"/>
      <c r="BS19" s="2622"/>
      <c r="BT19" s="2622"/>
      <c r="BU19" s="2622"/>
      <c r="BV19" s="2622"/>
      <c r="BW19" s="2622"/>
      <c r="BX19" s="2622"/>
      <c r="BY19" s="2622"/>
      <c r="BZ19" s="2622"/>
      <c r="CA19" s="2622"/>
      <c r="CB19" s="2622"/>
      <c r="CC19" s="2622"/>
      <c r="CD19" s="2622"/>
      <c r="CE19" s="2622"/>
      <c r="CF19" s="2622"/>
      <c r="CG19" s="2622"/>
      <c r="CH19" s="2622"/>
      <c r="CI19" s="2622"/>
      <c r="CJ19" s="2622"/>
      <c r="CK19" s="2622"/>
      <c r="CL19" s="2622"/>
      <c r="CM19" s="2622"/>
      <c r="CN19" s="2622"/>
      <c r="CO19" s="2622"/>
      <c r="CP19" s="2622"/>
      <c r="CQ19" s="2622"/>
      <c r="CR19" s="2622"/>
      <c r="CS19" s="2622"/>
      <c r="CT19" s="2622"/>
      <c r="CU19" s="2622"/>
      <c r="CV19" s="2622"/>
      <c r="CW19" s="2622"/>
      <c r="CX19" s="2622"/>
      <c r="CY19" s="2622"/>
      <c r="CZ19" s="2622"/>
      <c r="DA19" s="2622"/>
      <c r="DB19" s="2622"/>
      <c r="DC19" s="2622"/>
      <c r="DD19" s="2622"/>
      <c r="DE19" s="2622"/>
      <c r="DF19" s="2622"/>
      <c r="DG19" s="2622"/>
      <c r="DH19" s="2622"/>
      <c r="DI19" s="2622"/>
      <c r="DJ19" s="2622"/>
      <c r="DK19" s="2622"/>
      <c r="DL19" s="2622"/>
      <c r="DM19" s="2622"/>
      <c r="DN19" s="2622"/>
      <c r="DO19" s="2622"/>
      <c r="DP19" s="2622"/>
      <c r="DQ19" s="2622"/>
      <c r="DR19" s="2622"/>
      <c r="DS19" s="2622"/>
      <c r="DT19" s="2622"/>
      <c r="DU19" s="2622"/>
      <c r="DV19" s="2622"/>
      <c r="DW19" s="2622"/>
      <c r="DX19" s="2622"/>
      <c r="DY19" s="2622"/>
      <c r="DZ19" s="2622"/>
      <c r="EA19" s="2622"/>
      <c r="EB19" s="2622"/>
      <c r="EC19" s="2622"/>
      <c r="ED19" s="2622"/>
      <c r="EE19" s="2622"/>
      <c r="EF19" s="2622"/>
      <c r="EG19" s="2622"/>
      <c r="EH19" s="2622"/>
      <c r="EI19" s="2622"/>
      <c r="EJ19" s="2622"/>
      <c r="EK19" s="2622"/>
      <c r="EL19" s="2622"/>
      <c r="EM19" s="2622"/>
      <c r="EN19" s="2622"/>
      <c r="EO19" s="2622"/>
      <c r="EP19" s="2622"/>
      <c r="EQ19" s="2622"/>
      <c r="ER19" s="2622"/>
      <c r="ES19" s="2622"/>
      <c r="ET19" s="2622"/>
      <c r="EU19" s="2622"/>
      <c r="EV19" s="2622"/>
      <c r="EW19" s="2622"/>
      <c r="EX19" s="2622"/>
      <c r="EY19" s="2622"/>
      <c r="EZ19" s="2622"/>
      <c r="FA19" s="2622"/>
      <c r="FB19" s="2622"/>
      <c r="FC19" s="2622"/>
      <c r="FD19" s="2622"/>
      <c r="FE19" s="2622"/>
      <c r="FF19" s="2622"/>
      <c r="FG19" s="2622"/>
      <c r="FH19" s="2622"/>
      <c r="FI19" s="2622"/>
      <c r="FJ19" s="2622"/>
      <c r="FK19" s="2622"/>
      <c r="FL19" s="2622"/>
      <c r="FM19" s="2622"/>
      <c r="FN19" s="2622"/>
      <c r="FO19" s="2622"/>
      <c r="FP19" s="2622"/>
      <c r="FQ19" s="2622"/>
      <c r="FR19" s="2622"/>
      <c r="FS19" s="2622"/>
      <c r="FT19" s="2622"/>
      <c r="FU19" s="2622"/>
      <c r="FV19" s="2622"/>
      <c r="FW19" s="2622"/>
      <c r="FX19" s="2622"/>
      <c r="FY19" s="2622"/>
      <c r="FZ19" s="2622"/>
      <c r="GA19" s="2622"/>
      <c r="GB19" s="2622"/>
      <c r="GC19" s="2622"/>
      <c r="GD19" s="2622"/>
      <c r="GE19" s="2622"/>
      <c r="GF19" s="2622"/>
      <c r="GG19" s="2622"/>
      <c r="GH19" s="2622"/>
      <c r="GI19" s="2622"/>
      <c r="GJ19" s="2622"/>
      <c r="GK19" s="2622"/>
      <c r="GL19" s="2622"/>
      <c r="GM19" s="2622"/>
      <c r="GN19" s="2622"/>
      <c r="GO19" s="2622"/>
      <c r="GP19" s="2622"/>
      <c r="GQ19" s="2622"/>
      <c r="GR19" s="2622"/>
      <c r="GS19" s="2622"/>
      <c r="GT19" s="2622"/>
      <c r="GU19" s="2622"/>
      <c r="GV19" s="2622"/>
      <c r="GW19" s="2622"/>
      <c r="GX19" s="2622"/>
      <c r="GY19" s="2622"/>
      <c r="GZ19" s="2622"/>
      <c r="HA19" s="2622"/>
      <c r="HB19" s="2622"/>
      <c r="HC19" s="2622"/>
      <c r="HD19" s="2622"/>
      <c r="HE19" s="2622"/>
      <c r="HF19" s="2622"/>
      <c r="HG19" s="2622"/>
      <c r="HH19" s="2622"/>
      <c r="HI19" s="2622"/>
      <c r="HJ19" s="2622"/>
      <c r="HK19" s="2622"/>
      <c r="HL19" s="2622"/>
      <c r="HM19" s="2622"/>
      <c r="HN19" s="2622"/>
      <c r="HO19" s="2622"/>
      <c r="HP19" s="2622"/>
      <c r="HQ19" s="2622"/>
      <c r="HR19" s="2622"/>
      <c r="HS19" s="2622"/>
      <c r="HT19" s="2622"/>
      <c r="HU19" s="2622"/>
      <c r="HV19" s="2622"/>
      <c r="HW19" s="2622"/>
      <c r="HX19" s="2622"/>
      <c r="HY19" s="2622"/>
      <c r="HZ19" s="2622"/>
      <c r="IA19" s="2622"/>
      <c r="IB19" s="2622"/>
      <c r="IC19" s="2622"/>
      <c r="ID19" s="2622"/>
      <c r="IE19" s="2622"/>
      <c r="IF19" s="2622"/>
      <c r="IG19" s="2622"/>
      <c r="IH19" s="2622"/>
      <c r="II19" s="2622"/>
      <c r="IJ19" s="2622"/>
      <c r="IK19" s="2622"/>
      <c r="IL19" s="2622"/>
      <c r="IM19" s="2622"/>
      <c r="IN19" s="2622"/>
      <c r="IO19" s="2622"/>
      <c r="IP19" s="2622"/>
      <c r="IQ19" s="2622"/>
      <c r="IR19" s="2622"/>
      <c r="IS19" s="2622"/>
      <c r="IT19" s="2622"/>
      <c r="IU19" s="2622"/>
      <c r="IV19" s="2622"/>
    </row>
    <row r="20" spans="1:256" ht="15.6">
      <c r="A20" s="2623"/>
      <c r="B20" s="2630"/>
      <c r="C20" s="2631">
        <v>43728</v>
      </c>
      <c r="D20" s="2630">
        <v>4.2</v>
      </c>
      <c r="E20" s="2630">
        <v>4.2</v>
      </c>
      <c r="F20" s="2630">
        <v>4.2</v>
      </c>
      <c r="G20" s="2630">
        <v>4.2</v>
      </c>
      <c r="H20" s="2630">
        <v>4.8499999999999996</v>
      </c>
      <c r="I20" s="2630"/>
      <c r="J20" s="2630"/>
      <c r="K20" s="2617"/>
      <c r="L20" s="2630"/>
      <c r="M20" s="2631">
        <v>41068</v>
      </c>
      <c r="N20" s="2630">
        <v>0.4</v>
      </c>
      <c r="O20" s="2630">
        <v>2.85</v>
      </c>
      <c r="P20" s="2630">
        <v>3.05</v>
      </c>
      <c r="Q20" s="2630">
        <v>3.25</v>
      </c>
      <c r="R20" s="2630">
        <v>4.0999999999999996</v>
      </c>
      <c r="S20" s="2630">
        <v>4.6500000000000004</v>
      </c>
      <c r="T20" s="2630">
        <v>5.0999999999999996</v>
      </c>
      <c r="U20" s="2630">
        <v>3.1</v>
      </c>
      <c r="V20" s="2630">
        <v>3.15</v>
      </c>
      <c r="W20" s="2630">
        <v>3.25</v>
      </c>
      <c r="X20" s="2630">
        <v>1.31</v>
      </c>
      <c r="Y20" s="2630">
        <v>0.94</v>
      </c>
      <c r="Z20" s="2630">
        <v>1.49</v>
      </c>
    </row>
    <row r="21" spans="1:256" ht="15.6">
      <c r="A21" s="2623"/>
      <c r="B21" s="2624" t="s">
        <v>2732</v>
      </c>
      <c r="C21" s="2632">
        <v>43697</v>
      </c>
      <c r="D21" s="3187">
        <v>4.25</v>
      </c>
      <c r="E21" s="3187">
        <v>4.25</v>
      </c>
      <c r="F21" s="3187">
        <v>4.25</v>
      </c>
      <c r="G21" s="3187">
        <v>4.25</v>
      </c>
      <c r="H21" s="3187">
        <v>4.8499999999999996</v>
      </c>
      <c r="I21" s="3187"/>
      <c r="J21" s="3187"/>
      <c r="L21" s="2630"/>
      <c r="M21" s="2631">
        <v>40731</v>
      </c>
      <c r="N21" s="2630">
        <v>0.5</v>
      </c>
      <c r="O21" s="2630">
        <v>3.1</v>
      </c>
      <c r="P21" s="2630">
        <v>3.3</v>
      </c>
      <c r="Q21" s="2630">
        <v>3.5</v>
      </c>
      <c r="R21" s="2630">
        <v>4.4000000000000004</v>
      </c>
      <c r="S21" s="2630">
        <v>5</v>
      </c>
      <c r="T21" s="2630">
        <v>5.5</v>
      </c>
      <c r="U21" s="2630">
        <v>3.1</v>
      </c>
      <c r="V21" s="2630">
        <v>3.3</v>
      </c>
      <c r="W21" s="2630">
        <v>3.5</v>
      </c>
      <c r="X21" s="2630">
        <v>1.31</v>
      </c>
      <c r="Y21" s="2630">
        <v>0.95</v>
      </c>
      <c r="Z21" s="2630">
        <v>1.49</v>
      </c>
    </row>
    <row r="22" spans="1:256" ht="15.6">
      <c r="A22" s="3190"/>
      <c r="B22" s="3191"/>
      <c r="C22" s="3192">
        <v>42301</v>
      </c>
      <c r="D22" s="3193">
        <v>4.3499999999999996</v>
      </c>
      <c r="E22" s="3193">
        <v>4.3499999999999996</v>
      </c>
      <c r="F22" s="3193">
        <v>4.75</v>
      </c>
      <c r="G22" s="3193">
        <v>4.75</v>
      </c>
      <c r="H22" s="3193">
        <v>4.9000000000000004</v>
      </c>
      <c r="I22" s="3193"/>
      <c r="J22" s="3193"/>
      <c r="L22" s="2630"/>
      <c r="M22" s="2631">
        <v>40639</v>
      </c>
      <c r="N22" s="2630">
        <v>0.5</v>
      </c>
      <c r="O22" s="2630">
        <v>2.85</v>
      </c>
      <c r="P22" s="2630">
        <v>3.05</v>
      </c>
      <c r="Q22" s="2630">
        <v>3.25</v>
      </c>
      <c r="R22" s="2630">
        <v>4.1500000000000004</v>
      </c>
      <c r="S22" s="2630">
        <v>4.75</v>
      </c>
      <c r="T22" s="2630">
        <v>5.25</v>
      </c>
      <c r="U22" s="2630">
        <v>2.85</v>
      </c>
      <c r="V22" s="2630">
        <v>3.05</v>
      </c>
      <c r="W22" s="2630">
        <v>3.25</v>
      </c>
      <c r="X22" s="2630">
        <v>1.31</v>
      </c>
      <c r="Y22" s="2630">
        <v>0.95</v>
      </c>
      <c r="Z22" s="2630">
        <v>1.49</v>
      </c>
    </row>
    <row r="23" spans="1:256">
      <c r="B23" s="2630"/>
      <c r="C23" s="2631">
        <v>42242</v>
      </c>
      <c r="D23" s="2630">
        <v>4.5999999999999996</v>
      </c>
      <c r="E23" s="2630">
        <v>4.5999999999999996</v>
      </c>
      <c r="F23" s="2630">
        <v>5</v>
      </c>
      <c r="G23" s="2630">
        <v>5</v>
      </c>
      <c r="H23" s="2630">
        <v>5.15</v>
      </c>
      <c r="I23" s="2630">
        <v>2.75</v>
      </c>
      <c r="J23" s="2630">
        <v>3.25</v>
      </c>
      <c r="L23" s="2630"/>
      <c r="M23" s="2631">
        <v>40583</v>
      </c>
      <c r="N23" s="2630">
        <v>0.4</v>
      </c>
      <c r="O23" s="2630">
        <v>2.6</v>
      </c>
      <c r="P23" s="2630">
        <v>2.8</v>
      </c>
      <c r="Q23" s="2630">
        <v>3</v>
      </c>
      <c r="R23" s="2630">
        <v>3.9</v>
      </c>
      <c r="S23" s="2630">
        <v>4.5</v>
      </c>
      <c r="T23" s="2630">
        <v>5</v>
      </c>
      <c r="U23" s="2630">
        <v>2.6</v>
      </c>
      <c r="V23" s="2630">
        <v>2.8</v>
      </c>
      <c r="W23" s="2630">
        <v>3</v>
      </c>
      <c r="X23" s="2630">
        <v>1.21</v>
      </c>
      <c r="Y23" s="2630">
        <v>0.85</v>
      </c>
      <c r="Z23" s="2630">
        <v>1.39</v>
      </c>
    </row>
    <row r="24" spans="1:256">
      <c r="B24" s="2630"/>
      <c r="C24" s="2631">
        <v>42183</v>
      </c>
      <c r="D24" s="2630">
        <v>4.8499999999999996</v>
      </c>
      <c r="E24" s="2630">
        <v>4.8499999999999996</v>
      </c>
      <c r="F24" s="2630">
        <v>5.25</v>
      </c>
      <c r="G24" s="2630">
        <v>5.25</v>
      </c>
      <c r="H24" s="2630">
        <v>5.4</v>
      </c>
      <c r="I24" s="2630">
        <v>3</v>
      </c>
      <c r="J24" s="2630">
        <v>3.5</v>
      </c>
      <c r="L24" s="2630"/>
      <c r="M24" s="2631">
        <v>40538</v>
      </c>
      <c r="N24" s="2630">
        <v>0.36</v>
      </c>
      <c r="O24" s="2630">
        <v>2.25</v>
      </c>
      <c r="P24" s="2630">
        <v>2.5</v>
      </c>
      <c r="Q24" s="2630">
        <v>2.75</v>
      </c>
      <c r="R24" s="2630">
        <v>3.55</v>
      </c>
      <c r="S24" s="2630">
        <v>4.1500000000000004</v>
      </c>
      <c r="T24" s="2630">
        <v>4.55</v>
      </c>
      <c r="U24" s="2630">
        <v>2.16</v>
      </c>
      <c r="V24" s="2630">
        <v>2.5</v>
      </c>
      <c r="W24" s="2630">
        <v>2.85</v>
      </c>
      <c r="X24" s="2630">
        <v>1.17</v>
      </c>
      <c r="Y24" s="2630">
        <v>0.81</v>
      </c>
      <c r="Z24" s="2630">
        <v>1.35</v>
      </c>
    </row>
    <row r="25" spans="1:256">
      <c r="B25" s="2630"/>
      <c r="C25" s="2631">
        <v>42135</v>
      </c>
      <c r="D25" s="2630">
        <v>5.0999999999999996</v>
      </c>
      <c r="E25" s="2630">
        <v>5.0999999999999996</v>
      </c>
      <c r="F25" s="2630">
        <v>5.5</v>
      </c>
      <c r="G25" s="2630">
        <v>5.5</v>
      </c>
      <c r="H25" s="2630">
        <v>5.65</v>
      </c>
      <c r="I25" s="2630">
        <v>3.25</v>
      </c>
      <c r="J25" s="2630">
        <v>3.75</v>
      </c>
      <c r="L25" s="2630"/>
      <c r="M25" s="2631">
        <v>40471</v>
      </c>
      <c r="N25" s="2630">
        <v>0.36</v>
      </c>
      <c r="O25" s="2630">
        <v>1.91</v>
      </c>
      <c r="P25" s="2630">
        <v>2.2000000000000002</v>
      </c>
      <c r="Q25" s="2630">
        <v>2.5</v>
      </c>
      <c r="R25" s="2630">
        <v>3.25</v>
      </c>
      <c r="S25" s="2630">
        <v>3.85</v>
      </c>
      <c r="T25" s="2630">
        <v>4.2</v>
      </c>
      <c r="U25" s="2630">
        <v>1.91</v>
      </c>
      <c r="V25" s="2630">
        <v>2.2000000000000002</v>
      </c>
      <c r="W25" s="2630">
        <v>2.5</v>
      </c>
      <c r="X25" s="2630">
        <v>1.17</v>
      </c>
      <c r="Y25" s="2630">
        <v>0.81</v>
      </c>
      <c r="Z25" s="2630">
        <v>1.35</v>
      </c>
    </row>
    <row r="26" spans="1:256">
      <c r="B26" s="2630"/>
      <c r="C26" s="2631">
        <v>42064</v>
      </c>
      <c r="D26" s="2630">
        <v>5.35</v>
      </c>
      <c r="E26" s="2630">
        <v>5.35</v>
      </c>
      <c r="F26" s="2630">
        <v>5.75</v>
      </c>
      <c r="G26" s="2630">
        <v>5.75</v>
      </c>
      <c r="H26" s="2630">
        <v>5.9</v>
      </c>
      <c r="I26" s="2630"/>
      <c r="J26" s="2630"/>
      <c r="L26" s="2630"/>
      <c r="M26" s="2631">
        <v>39805</v>
      </c>
      <c r="N26" s="2630">
        <v>0.36</v>
      </c>
      <c r="O26" s="2630">
        <v>1.71</v>
      </c>
      <c r="P26" s="2630">
        <v>1.98</v>
      </c>
      <c r="Q26" s="2630">
        <v>2.25</v>
      </c>
      <c r="R26" s="2630">
        <v>2.79</v>
      </c>
      <c r="S26" s="2630">
        <v>3.33</v>
      </c>
      <c r="T26" s="2630">
        <v>3.6</v>
      </c>
      <c r="U26" s="2630">
        <v>1.71</v>
      </c>
      <c r="V26" s="2630">
        <v>1.98</v>
      </c>
      <c r="W26" s="2630">
        <v>2.25</v>
      </c>
      <c r="X26" s="2630">
        <v>1.17</v>
      </c>
      <c r="Y26" s="2630">
        <v>0.81</v>
      </c>
      <c r="Z26" s="2630">
        <v>1.35</v>
      </c>
    </row>
    <row r="27" spans="1:256">
      <c r="B27" s="2630"/>
      <c r="C27" s="2631">
        <v>41965</v>
      </c>
      <c r="D27" s="2630">
        <v>5.6</v>
      </c>
      <c r="E27" s="2630">
        <v>5.6</v>
      </c>
      <c r="F27" s="2630">
        <v>6</v>
      </c>
      <c r="G27" s="2630">
        <v>6</v>
      </c>
      <c r="H27" s="2630">
        <v>6.15</v>
      </c>
      <c r="I27" s="2630"/>
      <c r="J27" s="2630"/>
      <c r="L27" s="2630"/>
      <c r="M27" s="2631">
        <v>39779</v>
      </c>
      <c r="N27" s="2630">
        <v>0.36</v>
      </c>
      <c r="O27" s="2630">
        <v>1.98</v>
      </c>
      <c r="P27" s="2630">
        <v>2.25</v>
      </c>
      <c r="Q27" s="2630">
        <v>2.52</v>
      </c>
      <c r="R27" s="2630">
        <v>3.06</v>
      </c>
      <c r="S27" s="2630">
        <v>3.6</v>
      </c>
      <c r="T27" s="2630">
        <v>3.87</v>
      </c>
      <c r="U27" s="2630">
        <v>1.98</v>
      </c>
      <c r="V27" s="2630">
        <v>2.25</v>
      </c>
      <c r="W27" s="2630">
        <v>2.52</v>
      </c>
      <c r="X27" s="2630">
        <v>1.17</v>
      </c>
      <c r="Y27" s="2630">
        <v>0.81</v>
      </c>
      <c r="Z27" s="2630">
        <v>1.35</v>
      </c>
    </row>
    <row r="28" spans="1:256">
      <c r="B28" s="2630"/>
      <c r="C28" s="2631">
        <v>41096</v>
      </c>
      <c r="D28" s="2630">
        <v>5.6</v>
      </c>
      <c r="E28" s="2630">
        <v>6</v>
      </c>
      <c r="F28" s="2630">
        <v>6.15</v>
      </c>
      <c r="G28" s="2630">
        <v>6.4</v>
      </c>
      <c r="H28" s="2630">
        <v>6.55</v>
      </c>
      <c r="I28" s="2630">
        <v>4</v>
      </c>
      <c r="J28" s="2630">
        <v>4.5</v>
      </c>
      <c r="L28" s="2630"/>
      <c r="M28" s="2631">
        <v>39751</v>
      </c>
      <c r="N28" s="2630">
        <v>0.72</v>
      </c>
      <c r="O28" s="2630">
        <v>2.88</v>
      </c>
      <c r="P28" s="2630">
        <v>3.24</v>
      </c>
      <c r="Q28" s="2630">
        <v>3.6</v>
      </c>
      <c r="R28" s="2630">
        <v>4.1399999999999997</v>
      </c>
      <c r="S28" s="2630">
        <v>4.7699999999999996</v>
      </c>
      <c r="T28" s="2630">
        <v>5.13</v>
      </c>
      <c r="U28" s="2630">
        <v>2.88</v>
      </c>
      <c r="V28" s="2630">
        <v>3.24</v>
      </c>
      <c r="W28" s="2630">
        <v>3.6</v>
      </c>
      <c r="X28" s="2630">
        <v>1.53</v>
      </c>
      <c r="Y28" s="2630">
        <v>1.17</v>
      </c>
      <c r="Z28" s="2630">
        <v>1.71</v>
      </c>
    </row>
    <row r="29" spans="1:256">
      <c r="B29" s="2630"/>
      <c r="C29" s="2631">
        <v>41068</v>
      </c>
      <c r="D29" s="2630">
        <v>5.85</v>
      </c>
      <c r="E29" s="2630">
        <v>6.31</v>
      </c>
      <c r="F29" s="2630">
        <v>6.4</v>
      </c>
      <c r="G29" s="2630">
        <v>6.65</v>
      </c>
      <c r="H29" s="2630">
        <v>6.8</v>
      </c>
      <c r="I29" s="2630">
        <v>4.2</v>
      </c>
      <c r="J29" s="2630">
        <v>4.7</v>
      </c>
      <c r="L29" s="2630"/>
      <c r="M29" s="2632">
        <v>39736</v>
      </c>
      <c r="N29" s="2630">
        <v>0.72</v>
      </c>
      <c r="O29" s="2630">
        <v>3.15</v>
      </c>
      <c r="P29" s="2630">
        <v>3.51</v>
      </c>
      <c r="Q29" s="2630">
        <v>3.87</v>
      </c>
      <c r="R29" s="2630">
        <v>4.41</v>
      </c>
      <c r="S29" s="2630">
        <v>5.13</v>
      </c>
      <c r="T29" s="2630">
        <v>5.58</v>
      </c>
      <c r="U29" s="2630">
        <v>3.15</v>
      </c>
      <c r="V29" s="2630">
        <v>3.51</v>
      </c>
      <c r="W29" s="2630">
        <v>3.87</v>
      </c>
      <c r="X29" s="2630">
        <v>1.53</v>
      </c>
      <c r="Y29" s="2630">
        <v>1.17</v>
      </c>
      <c r="Z29" s="2630">
        <v>1.71</v>
      </c>
    </row>
    <row r="30" spans="1:256">
      <c r="B30" s="2630"/>
      <c r="C30" s="2631">
        <v>40731</v>
      </c>
      <c r="D30" s="2630">
        <v>6.1</v>
      </c>
      <c r="E30" s="2630">
        <v>6.56</v>
      </c>
      <c r="F30" s="2630">
        <v>6.65</v>
      </c>
      <c r="G30" s="2630">
        <v>6.9</v>
      </c>
      <c r="H30" s="2630">
        <v>7.05</v>
      </c>
      <c r="I30" s="2630">
        <v>4.45</v>
      </c>
      <c r="J30" s="2630">
        <v>4.9000000000000004</v>
      </c>
      <c r="L30" s="2630"/>
      <c r="M30" s="2631">
        <v>39730</v>
      </c>
      <c r="N30" s="2630">
        <v>0.72</v>
      </c>
      <c r="O30" s="2630">
        <v>3.15</v>
      </c>
      <c r="P30" s="2630">
        <v>3.51</v>
      </c>
      <c r="Q30" s="2630">
        <v>3.87</v>
      </c>
      <c r="R30" s="2630">
        <v>4.41</v>
      </c>
      <c r="S30" s="2630">
        <v>5.13</v>
      </c>
      <c r="T30" s="2630">
        <v>5.58</v>
      </c>
      <c r="U30" s="2630">
        <v>3.15</v>
      </c>
      <c r="V30" s="2630">
        <v>3.51</v>
      </c>
      <c r="W30" s="2630">
        <v>3.87</v>
      </c>
      <c r="X30" s="2630">
        <v>1.53</v>
      </c>
      <c r="Y30" s="2630">
        <v>1.17</v>
      </c>
      <c r="Z30" s="2630">
        <v>1.71</v>
      </c>
    </row>
    <row r="31" spans="1:256">
      <c r="B31" s="2630"/>
      <c r="C31" s="2631">
        <v>40639</v>
      </c>
      <c r="D31" s="2630">
        <v>5.85</v>
      </c>
      <c r="E31" s="2630">
        <v>6.31</v>
      </c>
      <c r="F31" s="2630">
        <v>6.4</v>
      </c>
      <c r="G31" s="2630">
        <v>6.65</v>
      </c>
      <c r="H31" s="2630">
        <v>6.8</v>
      </c>
      <c r="I31" s="2630">
        <v>4.2</v>
      </c>
      <c r="J31" s="2630">
        <v>4.7</v>
      </c>
      <c r="L31" s="2630"/>
      <c r="M31" s="2631">
        <v>39437</v>
      </c>
      <c r="N31" s="2630">
        <v>0.72</v>
      </c>
      <c r="O31" s="2630">
        <v>3.33</v>
      </c>
      <c r="P31" s="2630">
        <v>3.78</v>
      </c>
      <c r="Q31" s="2630">
        <v>4.1399999999999997</v>
      </c>
      <c r="R31" s="2630">
        <v>4.68</v>
      </c>
      <c r="S31" s="2630">
        <v>5.4</v>
      </c>
      <c r="T31" s="2630">
        <v>5.85</v>
      </c>
      <c r="U31" s="2630">
        <v>3.33</v>
      </c>
      <c r="V31" s="2630">
        <v>3.78</v>
      </c>
      <c r="W31" s="2630">
        <v>4.1399999999999997</v>
      </c>
      <c r="X31" s="2630">
        <v>1.53</v>
      </c>
      <c r="Y31" s="2630">
        <v>1.17</v>
      </c>
      <c r="Z31" s="2630">
        <v>1.71</v>
      </c>
    </row>
    <row r="32" spans="1:256">
      <c r="B32" s="2630"/>
      <c r="C32" s="2631">
        <v>40583</v>
      </c>
      <c r="D32" s="2630">
        <v>5.6</v>
      </c>
      <c r="E32" s="2630">
        <v>6.06</v>
      </c>
      <c r="F32" s="2630">
        <v>6.1</v>
      </c>
      <c r="G32" s="2630">
        <v>6.45</v>
      </c>
      <c r="H32" s="2630">
        <v>6.6</v>
      </c>
      <c r="I32" s="2630">
        <v>4</v>
      </c>
      <c r="J32" s="2630">
        <v>4.5</v>
      </c>
      <c r="L32" s="2630"/>
      <c r="M32" s="2631">
        <v>39340</v>
      </c>
      <c r="N32" s="2630">
        <v>0.81</v>
      </c>
      <c r="O32" s="2630">
        <v>2.88</v>
      </c>
      <c r="P32" s="2630">
        <v>3.42</v>
      </c>
      <c r="Q32" s="2630">
        <v>3.87</v>
      </c>
      <c r="R32" s="2630">
        <v>4.5</v>
      </c>
      <c r="S32" s="2630">
        <v>5.22</v>
      </c>
      <c r="T32" s="2630">
        <v>5.76</v>
      </c>
      <c r="U32" s="2630">
        <v>2.88</v>
      </c>
      <c r="V32" s="2630">
        <v>3.42</v>
      </c>
      <c r="W32" s="2630">
        <v>3.87</v>
      </c>
      <c r="X32" s="2630">
        <v>1.53</v>
      </c>
      <c r="Y32" s="2630">
        <v>1.17</v>
      </c>
      <c r="Z32" s="2630">
        <v>1.71</v>
      </c>
    </row>
    <row r="33" spans="2:26">
      <c r="B33" s="2630"/>
      <c r="C33" s="2631">
        <v>40538</v>
      </c>
      <c r="D33" s="2630">
        <v>5.35</v>
      </c>
      <c r="E33" s="2630">
        <v>5.81</v>
      </c>
      <c r="F33" s="2630">
        <v>5.85</v>
      </c>
      <c r="G33" s="2630">
        <v>6.22</v>
      </c>
      <c r="H33" s="2630">
        <v>6.4</v>
      </c>
      <c r="I33" s="2630">
        <v>3.75</v>
      </c>
      <c r="J33" s="2630">
        <v>4.3</v>
      </c>
      <c r="L33" s="2630"/>
      <c r="M33" s="2631">
        <v>39316</v>
      </c>
      <c r="N33" s="2630">
        <v>0.81</v>
      </c>
      <c r="O33" s="2630">
        <v>2.61</v>
      </c>
      <c r="P33" s="2630">
        <v>3.15</v>
      </c>
      <c r="Q33" s="2630">
        <v>3.6</v>
      </c>
      <c r="R33" s="2630">
        <v>4.2300000000000004</v>
      </c>
      <c r="S33" s="2630">
        <v>4.95</v>
      </c>
      <c r="T33" s="2630">
        <v>5.49</v>
      </c>
      <c r="U33" s="2630">
        <v>2.61</v>
      </c>
      <c r="V33" s="2630">
        <v>3.15</v>
      </c>
      <c r="W33" s="2630">
        <v>3.6</v>
      </c>
      <c r="X33" s="2630">
        <v>1.53</v>
      </c>
      <c r="Y33" s="2630">
        <v>1.17</v>
      </c>
      <c r="Z33" s="2630">
        <v>1.71</v>
      </c>
    </row>
    <row r="34" spans="2:26">
      <c r="B34" s="2630"/>
      <c r="C34" s="2631">
        <v>40471</v>
      </c>
      <c r="D34" s="2630">
        <v>5.0999999999999996</v>
      </c>
      <c r="E34" s="2630">
        <v>5.56</v>
      </c>
      <c r="F34" s="2630">
        <v>5.6</v>
      </c>
      <c r="G34" s="2630">
        <v>5.96</v>
      </c>
      <c r="H34" s="2630">
        <v>6.14</v>
      </c>
      <c r="I34" s="2630">
        <v>3.5</v>
      </c>
      <c r="J34" s="2630">
        <v>4.05</v>
      </c>
      <c r="L34" s="2630"/>
      <c r="M34" s="2631">
        <v>39284</v>
      </c>
      <c r="N34" s="2630">
        <v>0.81</v>
      </c>
      <c r="O34" s="2630">
        <v>2.34</v>
      </c>
      <c r="P34" s="2630">
        <v>2.88</v>
      </c>
      <c r="Q34" s="2630">
        <v>3.33</v>
      </c>
      <c r="R34" s="2630">
        <v>3.96</v>
      </c>
      <c r="S34" s="2630">
        <v>4.68</v>
      </c>
      <c r="T34" s="2630">
        <v>5.22</v>
      </c>
      <c r="U34" s="2630">
        <v>2.34</v>
      </c>
      <c r="V34" s="2630">
        <v>2.88</v>
      </c>
      <c r="W34" s="2630">
        <v>3.33</v>
      </c>
      <c r="X34" s="2630">
        <v>1.53</v>
      </c>
      <c r="Y34" s="2630">
        <v>1.17</v>
      </c>
      <c r="Z34" s="2630">
        <v>1.71</v>
      </c>
    </row>
    <row r="35" spans="2:26">
      <c r="B35" s="2630"/>
      <c r="C35" s="2631">
        <v>39805</v>
      </c>
      <c r="D35" s="2630">
        <v>4.8600000000000003</v>
      </c>
      <c r="E35" s="2630">
        <v>5.31</v>
      </c>
      <c r="F35" s="2630">
        <v>5.4</v>
      </c>
      <c r="G35" s="2630">
        <v>5.76</v>
      </c>
      <c r="H35" s="2630">
        <v>5.94</v>
      </c>
      <c r="I35" s="2630">
        <v>3.33</v>
      </c>
      <c r="J35" s="2630">
        <v>3.87</v>
      </c>
      <c r="L35" s="2630"/>
      <c r="M35" s="2631">
        <v>39221</v>
      </c>
      <c r="N35" s="2630">
        <v>0.72</v>
      </c>
      <c r="O35" s="2630">
        <v>2.0699999999999998</v>
      </c>
      <c r="P35" s="2630">
        <v>2.61</v>
      </c>
      <c r="Q35" s="2630">
        <v>3.06</v>
      </c>
      <c r="R35" s="2630">
        <v>3.69</v>
      </c>
      <c r="S35" s="2630">
        <v>4.41</v>
      </c>
      <c r="T35" s="2630">
        <v>4.95</v>
      </c>
      <c r="U35" s="2630">
        <v>2.0699999999999998</v>
      </c>
      <c r="V35" s="2630">
        <v>2.61</v>
      </c>
      <c r="W35" s="2630">
        <v>3.06</v>
      </c>
      <c r="X35" s="2630">
        <v>1.44</v>
      </c>
      <c r="Y35" s="2630">
        <v>1.08</v>
      </c>
      <c r="Z35" s="2630">
        <v>1.62</v>
      </c>
    </row>
    <row r="36" spans="2:26">
      <c r="B36" s="2630"/>
      <c r="C36" s="2631">
        <v>39779</v>
      </c>
      <c r="D36" s="2630">
        <v>5.04</v>
      </c>
      <c r="E36" s="2630">
        <v>5.58</v>
      </c>
      <c r="F36" s="2630">
        <v>5.67</v>
      </c>
      <c r="G36" s="2630">
        <v>5.94</v>
      </c>
      <c r="H36" s="2630">
        <v>6.12</v>
      </c>
      <c r="I36" s="2630">
        <v>3.51</v>
      </c>
      <c r="J36" s="2630">
        <v>4.05</v>
      </c>
      <c r="L36" s="2630"/>
      <c r="M36" s="2631">
        <v>39159</v>
      </c>
      <c r="N36" s="2630">
        <v>0.72</v>
      </c>
      <c r="O36" s="2630">
        <v>1.98</v>
      </c>
      <c r="P36" s="2630">
        <v>2.4300000000000002</v>
      </c>
      <c r="Q36" s="2630">
        <v>2.79</v>
      </c>
      <c r="R36" s="2630">
        <v>3.33</v>
      </c>
      <c r="S36" s="2630">
        <v>3.96</v>
      </c>
      <c r="T36" s="2630">
        <v>4.41</v>
      </c>
      <c r="U36" s="2630">
        <v>1.98</v>
      </c>
      <c r="V36" s="2630">
        <v>2.4300000000000002</v>
      </c>
      <c r="W36" s="2630">
        <v>2.79</v>
      </c>
      <c r="X36" s="2630">
        <v>1.44</v>
      </c>
      <c r="Y36" s="2630">
        <v>1.08</v>
      </c>
      <c r="Z36" s="2630">
        <v>1.62</v>
      </c>
    </row>
    <row r="37" spans="2:26">
      <c r="B37" s="2630"/>
      <c r="C37" s="2631">
        <v>39751</v>
      </c>
      <c r="D37" s="2630">
        <v>6.03</v>
      </c>
      <c r="E37" s="2630">
        <v>6.66</v>
      </c>
      <c r="F37" s="2630">
        <v>6.75</v>
      </c>
      <c r="G37" s="2630">
        <v>7.02</v>
      </c>
      <c r="H37" s="2630">
        <v>7.2</v>
      </c>
      <c r="I37" s="2630">
        <v>4.05</v>
      </c>
      <c r="J37" s="2630">
        <v>4.59</v>
      </c>
      <c r="L37" s="2630"/>
      <c r="M37" s="2631">
        <v>38948</v>
      </c>
      <c r="N37" s="2630">
        <v>0.72</v>
      </c>
      <c r="O37" s="2630">
        <v>1.8</v>
      </c>
      <c r="P37" s="2630">
        <v>2.25</v>
      </c>
      <c r="Q37" s="2630">
        <v>2.52</v>
      </c>
      <c r="R37" s="2630">
        <v>3.06</v>
      </c>
      <c r="S37" s="2630">
        <v>3.69</v>
      </c>
      <c r="T37" s="2630">
        <v>4.1399999999999997</v>
      </c>
      <c r="U37" s="2630">
        <v>1.8</v>
      </c>
      <c r="V37" s="2630">
        <v>2.25</v>
      </c>
      <c r="W37" s="2630">
        <v>2.52</v>
      </c>
      <c r="X37" s="2630">
        <v>1.44</v>
      </c>
      <c r="Y37" s="2630">
        <v>1.08</v>
      </c>
      <c r="Z37" s="2630">
        <v>1.62</v>
      </c>
    </row>
    <row r="38" spans="2:26">
      <c r="B38" s="2630"/>
      <c r="C38" s="2632">
        <v>39748</v>
      </c>
      <c r="D38" s="2630">
        <v>6.12</v>
      </c>
      <c r="E38" s="2630">
        <v>6.93</v>
      </c>
      <c r="F38" s="2630">
        <v>7.02</v>
      </c>
      <c r="G38" s="2630">
        <v>7.29</v>
      </c>
      <c r="H38" s="2630">
        <v>7.47</v>
      </c>
      <c r="I38" s="2630">
        <v>4.05</v>
      </c>
      <c r="J38" s="2630">
        <v>4.59</v>
      </c>
      <c r="L38" s="2630"/>
      <c r="M38" s="2631">
        <v>38289</v>
      </c>
      <c r="N38" s="2630">
        <v>0.72</v>
      </c>
      <c r="O38" s="2630">
        <v>1.71</v>
      </c>
      <c r="P38" s="2630">
        <v>2.0699999999999998</v>
      </c>
      <c r="Q38" s="2630">
        <v>2.25</v>
      </c>
      <c r="R38" s="2630">
        <v>2.7</v>
      </c>
      <c r="S38" s="2630">
        <v>3.24</v>
      </c>
      <c r="T38" s="2630">
        <v>3.6</v>
      </c>
      <c r="U38" s="2630">
        <v>1.71</v>
      </c>
      <c r="V38" s="2630">
        <v>2.0699999999999998</v>
      </c>
      <c r="W38" s="2630">
        <v>2.25</v>
      </c>
      <c r="X38" s="2630">
        <v>1.44</v>
      </c>
      <c r="Y38" s="2630">
        <v>1.08</v>
      </c>
      <c r="Z38" s="2630">
        <v>1.62</v>
      </c>
    </row>
    <row r="39" spans="2:26">
      <c r="B39" s="2630"/>
      <c r="C39" s="2631">
        <v>39730</v>
      </c>
      <c r="D39" s="2630">
        <v>6.12</v>
      </c>
      <c r="E39" s="2630">
        <v>6.93</v>
      </c>
      <c r="F39" s="2630">
        <v>7.02</v>
      </c>
      <c r="G39" s="2630">
        <v>7.29</v>
      </c>
      <c r="H39" s="2630">
        <v>7.47</v>
      </c>
      <c r="I39" s="2630">
        <v>4.32</v>
      </c>
      <c r="J39" s="2630">
        <v>4.8600000000000003</v>
      </c>
      <c r="L39" s="2630"/>
      <c r="M39" s="2631">
        <v>37308</v>
      </c>
      <c r="N39" s="2630">
        <v>0.72</v>
      </c>
      <c r="O39" s="2630">
        <v>1.71</v>
      </c>
      <c r="P39" s="2630">
        <v>1.89</v>
      </c>
      <c r="Q39" s="2630">
        <v>1.98</v>
      </c>
      <c r="R39" s="2630">
        <v>2.25</v>
      </c>
      <c r="S39" s="2630">
        <v>2.52</v>
      </c>
      <c r="T39" s="2630">
        <v>2.79</v>
      </c>
      <c r="U39" s="2630">
        <v>1.71</v>
      </c>
      <c r="V39" s="2630">
        <v>1.89</v>
      </c>
      <c r="W39" s="2630">
        <v>1.98</v>
      </c>
      <c r="X39" s="2630">
        <v>1.44</v>
      </c>
      <c r="Y39" s="2630">
        <v>1.08</v>
      </c>
      <c r="Z39" s="2630">
        <v>1.62</v>
      </c>
    </row>
    <row r="40" spans="2:26">
      <c r="B40" s="2630"/>
      <c r="C40" s="2631">
        <v>39707</v>
      </c>
      <c r="D40" s="2630">
        <v>6.21</v>
      </c>
      <c r="E40" s="2630">
        <v>7.2</v>
      </c>
      <c r="F40" s="2630">
        <v>7.29</v>
      </c>
      <c r="G40" s="2630">
        <v>7.56</v>
      </c>
      <c r="H40" s="2630">
        <v>7.74</v>
      </c>
      <c r="I40" s="2630">
        <v>4.59</v>
      </c>
      <c r="J40" s="2630">
        <v>5.13</v>
      </c>
      <c r="L40" s="2630"/>
      <c r="M40" s="2631">
        <v>36321</v>
      </c>
      <c r="N40" s="2630">
        <v>0.99</v>
      </c>
      <c r="O40" s="2630">
        <v>1.98</v>
      </c>
      <c r="P40" s="2630">
        <v>2.16</v>
      </c>
      <c r="Q40" s="2630">
        <v>2.25</v>
      </c>
      <c r="R40" s="2630">
        <v>2.4300000000000002</v>
      </c>
      <c r="S40" s="2630">
        <v>2.7</v>
      </c>
      <c r="T40" s="2630">
        <v>2.88</v>
      </c>
      <c r="U40" s="2630">
        <v>1.98</v>
      </c>
      <c r="V40" s="2630">
        <v>2.16</v>
      </c>
      <c r="W40" s="2630">
        <v>2.25</v>
      </c>
      <c r="X40" s="2630">
        <v>1.71</v>
      </c>
      <c r="Y40" s="2630">
        <v>1.35</v>
      </c>
      <c r="Z40" s="2630">
        <v>1.89</v>
      </c>
    </row>
    <row r="41" spans="2:26">
      <c r="B41" s="2630"/>
      <c r="C41" s="2631">
        <v>39437</v>
      </c>
      <c r="D41" s="2630">
        <v>6.57</v>
      </c>
      <c r="E41" s="2630">
        <v>7.47</v>
      </c>
      <c r="F41" s="2630">
        <v>7.56</v>
      </c>
      <c r="G41" s="2630">
        <v>7.74</v>
      </c>
      <c r="H41" s="2630">
        <v>7.83</v>
      </c>
      <c r="I41" s="2630">
        <v>4.7699999999999996</v>
      </c>
      <c r="J41" s="2630">
        <v>5.22</v>
      </c>
      <c r="L41" s="2630"/>
      <c r="M41" s="2631">
        <v>36136</v>
      </c>
      <c r="N41" s="2630">
        <v>1.44</v>
      </c>
      <c r="O41" s="2630">
        <v>2.79</v>
      </c>
      <c r="P41" s="2630">
        <v>3.33</v>
      </c>
      <c r="Q41" s="2630">
        <v>3.78</v>
      </c>
      <c r="R41" s="2630">
        <v>3.96</v>
      </c>
      <c r="S41" s="2630">
        <v>4.1399999999999997</v>
      </c>
      <c r="T41" s="2630">
        <v>4.5</v>
      </c>
      <c r="U41" s="2630">
        <v>3.33</v>
      </c>
      <c r="V41" s="2630">
        <v>3.78</v>
      </c>
      <c r="W41" s="2630">
        <v>4.1399999999999997</v>
      </c>
      <c r="X41" s="2630">
        <v>2.16</v>
      </c>
      <c r="Y41" s="2630">
        <v>1.8</v>
      </c>
      <c r="Z41" s="2630">
        <v>2.34</v>
      </c>
    </row>
    <row r="42" spans="2:26">
      <c r="B42" s="2630"/>
      <c r="C42" s="2631">
        <v>39340</v>
      </c>
      <c r="D42" s="2630">
        <v>6.48</v>
      </c>
      <c r="E42" s="2630">
        <v>7.29</v>
      </c>
      <c r="F42" s="2630">
        <v>7.47</v>
      </c>
      <c r="G42" s="2630">
        <v>7.65</v>
      </c>
      <c r="H42" s="2630">
        <v>7.83</v>
      </c>
      <c r="I42" s="2630">
        <v>4.7699999999999996</v>
      </c>
      <c r="J42" s="2630">
        <v>5.22</v>
      </c>
      <c r="L42" s="2630"/>
      <c r="M42" s="2631">
        <v>35977</v>
      </c>
      <c r="N42" s="2630">
        <v>1.44</v>
      </c>
      <c r="O42" s="2630">
        <v>2.79</v>
      </c>
      <c r="P42" s="2630">
        <v>3.96</v>
      </c>
      <c r="Q42" s="2630">
        <v>4.7699999999999996</v>
      </c>
      <c r="R42" s="2630">
        <v>4.8600000000000003</v>
      </c>
      <c r="S42" s="2630">
        <v>4.95</v>
      </c>
      <c r="T42" s="2630">
        <v>5.22</v>
      </c>
      <c r="U42" s="2630">
        <v>3.96</v>
      </c>
      <c r="V42" s="2630">
        <v>4.7699999999999996</v>
      </c>
      <c r="W42" s="2630">
        <v>4.95</v>
      </c>
      <c r="X42" s="2630" t="s">
        <v>2534</v>
      </c>
      <c r="Y42" s="2630" t="s">
        <v>2534</v>
      </c>
      <c r="Z42" s="2630" t="s">
        <v>2534</v>
      </c>
    </row>
    <row r="43" spans="2:26">
      <c r="B43" s="2630"/>
      <c r="C43" s="2631">
        <v>39316</v>
      </c>
      <c r="D43" s="2630">
        <v>6.21</v>
      </c>
      <c r="E43" s="2630">
        <v>7.02</v>
      </c>
      <c r="F43" s="2630">
        <v>7.2</v>
      </c>
      <c r="G43" s="2630">
        <v>7.38</v>
      </c>
      <c r="H43" s="2630">
        <v>7.56</v>
      </c>
      <c r="I43" s="2630">
        <v>4.59</v>
      </c>
      <c r="J43" s="2630">
        <v>5.04</v>
      </c>
      <c r="L43" s="2630"/>
      <c r="M43" s="2631">
        <v>35879</v>
      </c>
      <c r="N43" s="2630">
        <v>1.71</v>
      </c>
      <c r="O43" s="2630">
        <v>2.88</v>
      </c>
      <c r="P43" s="2630">
        <v>4.1399999999999997</v>
      </c>
      <c r="Q43" s="2630">
        <v>5.22</v>
      </c>
      <c r="R43" s="2630">
        <v>5.58</v>
      </c>
      <c r="S43" s="2630">
        <v>6.21</v>
      </c>
      <c r="T43" s="2630">
        <v>6.66</v>
      </c>
      <c r="U43" s="2630">
        <v>4.1399999999999997</v>
      </c>
      <c r="V43" s="2630">
        <v>5.22</v>
      </c>
      <c r="W43" s="2630">
        <v>6.21</v>
      </c>
      <c r="X43" s="2630" t="s">
        <v>2534</v>
      </c>
      <c r="Y43" s="2630" t="s">
        <v>2534</v>
      </c>
      <c r="Z43" s="2630" t="s">
        <v>2534</v>
      </c>
    </row>
    <row r="44" spans="2:26">
      <c r="B44" s="2630"/>
      <c r="C44" s="2631">
        <v>39284</v>
      </c>
      <c r="D44" s="2630">
        <v>6.03</v>
      </c>
      <c r="E44" s="2630">
        <v>6.84</v>
      </c>
      <c r="F44" s="2630">
        <v>7.02</v>
      </c>
      <c r="G44" s="2630">
        <v>7.2</v>
      </c>
      <c r="H44" s="2630">
        <v>7.38</v>
      </c>
      <c r="I44" s="2630">
        <v>4.5</v>
      </c>
      <c r="J44" s="2630">
        <v>4.95</v>
      </c>
      <c r="L44" s="2630"/>
      <c r="M44" s="2631">
        <v>35726</v>
      </c>
      <c r="N44" s="2630">
        <v>1.71</v>
      </c>
      <c r="O44" s="2630">
        <v>2.88</v>
      </c>
      <c r="P44" s="2630">
        <v>4.1399999999999997</v>
      </c>
      <c r="Q44" s="2630">
        <v>5.67</v>
      </c>
      <c r="R44" s="2630">
        <v>5.94</v>
      </c>
      <c r="S44" s="2630">
        <v>6.21</v>
      </c>
      <c r="T44" s="2630">
        <v>6.66</v>
      </c>
      <c r="U44" s="2630">
        <v>4.1399999999999997</v>
      </c>
      <c r="V44" s="2630">
        <v>5.67</v>
      </c>
      <c r="W44" s="2630">
        <v>6.21</v>
      </c>
      <c r="X44" s="2630" t="s">
        <v>2534</v>
      </c>
      <c r="Y44" s="2630" t="s">
        <v>2534</v>
      </c>
      <c r="Z44" s="2630" t="s">
        <v>2534</v>
      </c>
    </row>
    <row r="45" spans="2:26">
      <c r="B45" s="2630"/>
      <c r="C45" s="2631">
        <v>39221</v>
      </c>
      <c r="D45" s="2630">
        <v>5.85</v>
      </c>
      <c r="E45" s="2630">
        <v>6.57</v>
      </c>
      <c r="F45" s="2630">
        <v>6.75</v>
      </c>
      <c r="G45" s="2630">
        <v>6.93</v>
      </c>
      <c r="H45" s="2630">
        <v>7.2</v>
      </c>
      <c r="I45" s="2630">
        <v>4.41</v>
      </c>
      <c r="J45" s="2630">
        <v>4.8600000000000003</v>
      </c>
      <c r="L45" s="2630"/>
      <c r="M45" s="2631">
        <v>35300</v>
      </c>
      <c r="N45" s="2630">
        <v>1.98</v>
      </c>
      <c r="O45" s="2630">
        <v>3.33</v>
      </c>
      <c r="P45" s="2630">
        <v>5.4</v>
      </c>
      <c r="Q45" s="2630">
        <v>7.47</v>
      </c>
      <c r="R45" s="2630">
        <v>7.92</v>
      </c>
      <c r="S45" s="2630">
        <v>8.2799999999999994</v>
      </c>
      <c r="T45" s="2630">
        <v>9</v>
      </c>
      <c r="U45" s="2630">
        <v>5.4</v>
      </c>
      <c r="V45" s="2630">
        <v>7.47</v>
      </c>
      <c r="W45" s="2630">
        <v>8.2799999999999994</v>
      </c>
      <c r="X45" s="2630" t="s">
        <v>2534</v>
      </c>
      <c r="Y45" s="2630" t="s">
        <v>2534</v>
      </c>
      <c r="Z45" s="2630" t="s">
        <v>2534</v>
      </c>
    </row>
    <row r="46" spans="2:26">
      <c r="B46" s="2630"/>
      <c r="C46" s="2631">
        <v>39159</v>
      </c>
      <c r="D46" s="2630">
        <v>5.67</v>
      </c>
      <c r="E46" s="2630">
        <v>6.39</v>
      </c>
      <c r="F46" s="2630">
        <v>6.57</v>
      </c>
      <c r="G46" s="2630">
        <v>6.75</v>
      </c>
      <c r="H46" s="2630">
        <v>7.11</v>
      </c>
      <c r="I46" s="2630">
        <v>4.32</v>
      </c>
      <c r="J46" s="2630">
        <v>4.7699999999999996</v>
      </c>
      <c r="L46" s="2630"/>
      <c r="M46" s="2631">
        <v>35186</v>
      </c>
      <c r="N46" s="2630">
        <v>2.97</v>
      </c>
      <c r="O46" s="2630">
        <v>4.8600000000000003</v>
      </c>
      <c r="P46" s="2630">
        <v>7.2</v>
      </c>
      <c r="Q46" s="2630">
        <v>9.18</v>
      </c>
      <c r="R46" s="2630">
        <v>9.9</v>
      </c>
      <c r="S46" s="2630">
        <v>10.8</v>
      </c>
      <c r="T46" s="2630">
        <v>12.06</v>
      </c>
      <c r="U46" s="2630">
        <v>7.2</v>
      </c>
      <c r="V46" s="2630">
        <v>9.18</v>
      </c>
      <c r="W46" s="2630">
        <v>10.8</v>
      </c>
      <c r="X46" s="2630" t="s">
        <v>2534</v>
      </c>
      <c r="Y46" s="2630" t="s">
        <v>2534</v>
      </c>
      <c r="Z46" s="2630" t="s">
        <v>2534</v>
      </c>
    </row>
    <row r="47" spans="2:26">
      <c r="B47" s="2630"/>
      <c r="C47" s="2631">
        <v>38948</v>
      </c>
      <c r="D47" s="2630">
        <v>5.58</v>
      </c>
      <c r="E47" s="2630">
        <v>6.12</v>
      </c>
      <c r="F47" s="2630">
        <v>6.3</v>
      </c>
      <c r="G47" s="2630">
        <v>6.48</v>
      </c>
      <c r="H47" s="2630">
        <v>6.84</v>
      </c>
      <c r="I47" s="2630">
        <v>4.1399999999999997</v>
      </c>
      <c r="J47" s="2630">
        <v>4.59</v>
      </c>
      <c r="L47" s="2630"/>
      <c r="M47" s="2631">
        <v>34161</v>
      </c>
      <c r="N47" s="2630">
        <v>3.15</v>
      </c>
      <c r="O47" s="2630">
        <v>6.66</v>
      </c>
      <c r="P47" s="2630">
        <v>9</v>
      </c>
      <c r="Q47" s="2630">
        <v>10.98</v>
      </c>
      <c r="R47" s="2630">
        <v>11.7</v>
      </c>
      <c r="S47" s="2630">
        <v>12.24</v>
      </c>
      <c r="T47" s="2630">
        <v>13.86</v>
      </c>
      <c r="U47" s="2630">
        <v>9</v>
      </c>
      <c r="V47" s="2630">
        <v>10.98</v>
      </c>
      <c r="W47" s="2630">
        <v>12.24</v>
      </c>
      <c r="X47" s="2630" t="s">
        <v>2534</v>
      </c>
      <c r="Y47" s="2630" t="s">
        <v>2534</v>
      </c>
      <c r="Z47" s="2630" t="s">
        <v>2534</v>
      </c>
    </row>
    <row r="48" spans="2:26">
      <c r="B48" s="2630"/>
      <c r="C48" s="2631">
        <v>38835</v>
      </c>
      <c r="D48" s="2630">
        <v>5.4</v>
      </c>
      <c r="E48" s="2630">
        <v>5.85</v>
      </c>
      <c r="F48" s="2630">
        <v>6.03</v>
      </c>
      <c r="G48" s="2630">
        <v>6.12</v>
      </c>
      <c r="H48" s="2630">
        <v>6.39</v>
      </c>
      <c r="I48" s="2630">
        <v>4.1399999999999997</v>
      </c>
      <c r="J48" s="2630">
        <v>4.59</v>
      </c>
      <c r="L48" s="2630"/>
      <c r="M48" s="2631">
        <v>34104</v>
      </c>
      <c r="N48" s="2630">
        <v>2.16</v>
      </c>
      <c r="O48" s="2630">
        <v>4.8600000000000003</v>
      </c>
      <c r="P48" s="2630">
        <v>7.2</v>
      </c>
      <c r="Q48" s="2630">
        <v>9.18</v>
      </c>
      <c r="R48" s="2630">
        <v>9.9</v>
      </c>
      <c r="S48" s="2630">
        <v>10.8</v>
      </c>
      <c r="T48" s="2630">
        <v>12.06</v>
      </c>
      <c r="U48" s="2630">
        <v>7.2</v>
      </c>
      <c r="V48" s="2630">
        <v>9.18</v>
      </c>
      <c r="W48" s="2630">
        <v>10.8</v>
      </c>
      <c r="X48" s="2630" t="s">
        <v>2534</v>
      </c>
      <c r="Y48" s="2630" t="s">
        <v>2534</v>
      </c>
      <c r="Z48" s="2630" t="s">
        <v>2534</v>
      </c>
    </row>
    <row r="49" spans="2:26">
      <c r="B49" s="2630"/>
      <c r="C49" s="2631">
        <v>38428</v>
      </c>
      <c r="D49" s="2630">
        <v>5.22</v>
      </c>
      <c r="E49" s="2630">
        <v>5.58</v>
      </c>
      <c r="F49" s="2630">
        <v>5.76</v>
      </c>
      <c r="G49" s="2630">
        <v>5.85</v>
      </c>
      <c r="H49" s="2630">
        <v>6.12</v>
      </c>
      <c r="I49" s="2630">
        <v>3.96</v>
      </c>
      <c r="J49" s="2630">
        <v>4.41</v>
      </c>
      <c r="L49" s="2630"/>
      <c r="M49" s="2631">
        <v>33349</v>
      </c>
      <c r="N49" s="2630">
        <v>1.8</v>
      </c>
      <c r="O49" s="2630">
        <v>3.24</v>
      </c>
      <c r="P49" s="2630">
        <v>5.4</v>
      </c>
      <c r="Q49" s="2630">
        <v>7.56</v>
      </c>
      <c r="R49" s="2630">
        <v>7.92</v>
      </c>
      <c r="S49" s="2630">
        <v>8.2799999999999994</v>
      </c>
      <c r="T49" s="2630">
        <v>9</v>
      </c>
      <c r="U49" s="2630">
        <v>6.12</v>
      </c>
      <c r="V49" s="2630">
        <v>6.84</v>
      </c>
      <c r="W49" s="2630">
        <v>7.56</v>
      </c>
      <c r="X49" s="2630" t="s">
        <v>2534</v>
      </c>
      <c r="Y49" s="2630" t="s">
        <v>2534</v>
      </c>
      <c r="Z49" s="2630" t="s">
        <v>2534</v>
      </c>
    </row>
    <row r="50" spans="2:26">
      <c r="B50" s="2630"/>
      <c r="C50" s="2631">
        <v>38289</v>
      </c>
      <c r="D50" s="2630">
        <v>5.22</v>
      </c>
      <c r="E50" s="2630">
        <v>5.58</v>
      </c>
      <c r="F50" s="2630">
        <v>5.76</v>
      </c>
      <c r="G50" s="2630">
        <v>5.85</v>
      </c>
      <c r="H50" s="2630">
        <v>6.12</v>
      </c>
      <c r="I50" s="2630">
        <v>3.78</v>
      </c>
      <c r="J50" s="2630">
        <v>4.2300000000000004</v>
      </c>
      <c r="L50" s="2630"/>
      <c r="M50" s="2631">
        <v>33106</v>
      </c>
      <c r="N50" s="2630">
        <v>2.16</v>
      </c>
      <c r="O50" s="2630">
        <v>4.32</v>
      </c>
      <c r="P50" s="2630">
        <v>6.48</v>
      </c>
      <c r="Q50" s="2630">
        <v>8.64</v>
      </c>
      <c r="R50" s="2630">
        <v>9.36</v>
      </c>
      <c r="S50" s="2630">
        <v>10.08</v>
      </c>
      <c r="T50" s="2630">
        <v>11.52</v>
      </c>
      <c r="U50" s="2630">
        <v>7.2</v>
      </c>
      <c r="V50" s="2630">
        <v>8.64</v>
      </c>
      <c r="W50" s="2630">
        <v>10.08</v>
      </c>
      <c r="X50" s="2630" t="s">
        <v>2534</v>
      </c>
      <c r="Y50" s="2630" t="s">
        <v>2534</v>
      </c>
      <c r="Z50" s="2630" t="s">
        <v>2534</v>
      </c>
    </row>
    <row r="51" spans="2:26">
      <c r="B51" s="2630"/>
      <c r="C51" s="2631">
        <v>37308</v>
      </c>
      <c r="D51" s="2630">
        <v>5.04</v>
      </c>
      <c r="E51" s="2630">
        <v>5.31</v>
      </c>
      <c r="F51" s="2630">
        <v>5.49</v>
      </c>
      <c r="G51" s="2630">
        <v>5.58</v>
      </c>
      <c r="H51" s="2630">
        <v>5.76</v>
      </c>
      <c r="I51" s="2630">
        <v>3.6</v>
      </c>
      <c r="J51" s="2630">
        <v>4.05</v>
      </c>
      <c r="L51" s="2630"/>
      <c r="M51" s="2631">
        <v>32978</v>
      </c>
      <c r="N51" s="2630">
        <v>2.88</v>
      </c>
      <c r="O51" s="2630">
        <v>6.3</v>
      </c>
      <c r="P51" s="2630">
        <v>7.74</v>
      </c>
      <c r="Q51" s="2630">
        <v>10.08</v>
      </c>
      <c r="R51" s="2630">
        <v>10.98</v>
      </c>
      <c r="S51" s="2630">
        <v>11.88</v>
      </c>
      <c r="T51" s="2630">
        <v>13.68</v>
      </c>
      <c r="U51" s="2630" t="s">
        <v>2534</v>
      </c>
      <c r="V51" s="2630" t="s">
        <v>2534</v>
      </c>
      <c r="W51" s="2630" t="s">
        <v>2534</v>
      </c>
      <c r="X51" s="2630" t="s">
        <v>2534</v>
      </c>
      <c r="Y51" s="2630" t="s">
        <v>2534</v>
      </c>
      <c r="Z51" s="2630" t="s">
        <v>2534</v>
      </c>
    </row>
    <row r="52" spans="2:26">
      <c r="B52" s="2630"/>
      <c r="C52" s="2631">
        <v>36321</v>
      </c>
      <c r="D52" s="2630">
        <v>5.58</v>
      </c>
      <c r="E52" s="2630">
        <v>5.85</v>
      </c>
      <c r="F52" s="2630">
        <v>5.94</v>
      </c>
      <c r="G52" s="2630">
        <v>6.03</v>
      </c>
      <c r="H52" s="2630">
        <v>6.21</v>
      </c>
      <c r="I52" s="2630">
        <v>4.1399999999999997</v>
      </c>
      <c r="J52" s="2630">
        <v>4.59</v>
      </c>
      <c r="L52" s="2630"/>
      <c r="M52" s="2631"/>
      <c r="N52" s="2630"/>
      <c r="O52" s="2630"/>
      <c r="P52" s="2630"/>
      <c r="Q52" s="2630"/>
      <c r="R52" s="2630"/>
      <c r="S52" s="2630"/>
      <c r="T52" s="2630"/>
      <c r="U52" s="2630"/>
      <c r="V52" s="2630"/>
      <c r="W52" s="2630"/>
      <c r="X52" s="2630"/>
      <c r="Y52" s="2630"/>
      <c r="Z52" s="2630"/>
    </row>
    <row r="53" spans="2:26">
      <c r="B53" s="2630"/>
      <c r="C53" s="2631">
        <v>36136</v>
      </c>
      <c r="D53" s="2630">
        <v>6.12</v>
      </c>
      <c r="E53" s="2630">
        <v>6.39</v>
      </c>
      <c r="F53" s="2630">
        <v>6.66</v>
      </c>
      <c r="G53" s="2630">
        <v>7.2</v>
      </c>
      <c r="H53" s="2630">
        <v>7.56</v>
      </c>
      <c r="I53" s="2630">
        <v>0</v>
      </c>
      <c r="J53" s="2630">
        <v>0</v>
      </c>
      <c r="L53" s="2630"/>
      <c r="M53" s="2631"/>
      <c r="N53" s="2630"/>
      <c r="O53" s="2630"/>
      <c r="P53" s="2630"/>
      <c r="Q53" s="2630"/>
      <c r="R53" s="2630"/>
      <c r="S53" s="2630"/>
      <c r="T53" s="2630"/>
      <c r="U53" s="2630"/>
      <c r="V53" s="2630"/>
      <c r="W53" s="2630"/>
      <c r="X53" s="2630"/>
      <c r="Y53" s="2630"/>
      <c r="Z53" s="2630"/>
    </row>
    <row r="54" spans="2:26">
      <c r="B54" s="2630"/>
      <c r="C54" s="2631">
        <v>35977</v>
      </c>
      <c r="D54" s="2630">
        <v>6.57</v>
      </c>
      <c r="E54" s="2630">
        <v>6.93</v>
      </c>
      <c r="F54" s="2630">
        <v>7.11</v>
      </c>
      <c r="G54" s="2630">
        <v>7.65</v>
      </c>
      <c r="H54" s="2630">
        <v>8.01</v>
      </c>
      <c r="I54" s="2630">
        <v>0</v>
      </c>
      <c r="J54" s="2630">
        <v>0</v>
      </c>
      <c r="L54" s="2630"/>
      <c r="M54" s="2631"/>
      <c r="N54" s="2630"/>
      <c r="O54" s="2630"/>
      <c r="P54" s="2630"/>
      <c r="Q54" s="2630"/>
      <c r="R54" s="2630"/>
      <c r="S54" s="2630"/>
      <c r="T54" s="2630"/>
      <c r="U54" s="2630"/>
      <c r="V54" s="2630"/>
      <c r="W54" s="2630"/>
      <c r="X54" s="2630"/>
      <c r="Y54" s="2630"/>
      <c r="Z54" s="2630"/>
    </row>
    <row r="55" spans="2:26">
      <c r="B55" s="2630"/>
      <c r="C55" s="2631">
        <v>35879</v>
      </c>
      <c r="D55" s="2630">
        <v>7.02</v>
      </c>
      <c r="E55" s="2630">
        <v>7.92</v>
      </c>
      <c r="F55" s="2630">
        <v>9</v>
      </c>
      <c r="G55" s="2630">
        <v>9.7200000000000006</v>
      </c>
      <c r="H55" s="2630">
        <v>10.35</v>
      </c>
      <c r="I55" s="2630">
        <v>0</v>
      </c>
      <c r="J55" s="2630">
        <v>0</v>
      </c>
      <c r="L55" s="2630"/>
      <c r="M55" s="2631"/>
      <c r="N55" s="2630"/>
      <c r="O55" s="2630"/>
      <c r="P55" s="2630"/>
      <c r="Q55" s="2630"/>
      <c r="R55" s="2630"/>
      <c r="S55" s="2630"/>
      <c r="T55" s="2630"/>
      <c r="U55" s="2630"/>
      <c r="V55" s="2630"/>
      <c r="W55" s="2630"/>
      <c r="X55" s="2630"/>
      <c r="Y55" s="2630"/>
      <c r="Z55" s="2630"/>
    </row>
    <row r="56" spans="2:26">
      <c r="B56" s="2630"/>
      <c r="C56" s="2631">
        <v>35726</v>
      </c>
      <c r="D56" s="2630">
        <v>7.65</v>
      </c>
      <c r="E56" s="2630">
        <v>8.64</v>
      </c>
      <c r="F56" s="2630">
        <v>9.36</v>
      </c>
      <c r="G56" s="2630">
        <v>9.9</v>
      </c>
      <c r="H56" s="2630">
        <v>10.53</v>
      </c>
      <c r="I56" s="2630">
        <v>0</v>
      </c>
      <c r="J56" s="2630">
        <v>0</v>
      </c>
      <c r="L56" s="2630"/>
      <c r="M56" s="2631"/>
      <c r="N56" s="2630"/>
      <c r="O56" s="2630"/>
      <c r="P56" s="2630"/>
      <c r="Q56" s="2630"/>
      <c r="R56" s="2630"/>
      <c r="S56" s="2630"/>
      <c r="T56" s="2630"/>
      <c r="U56" s="2630"/>
      <c r="V56" s="2630"/>
      <c r="W56" s="2630"/>
      <c r="X56" s="2630"/>
      <c r="Y56" s="2630"/>
      <c r="Z56" s="2630"/>
    </row>
    <row r="57" spans="2:26">
      <c r="B57" s="2630"/>
      <c r="C57" s="2631">
        <v>35300</v>
      </c>
      <c r="D57" s="2630">
        <v>9.18</v>
      </c>
      <c r="E57" s="2630">
        <v>10.08</v>
      </c>
      <c r="F57" s="2630">
        <v>10.98</v>
      </c>
      <c r="G57" s="2630">
        <v>11.7</v>
      </c>
      <c r="H57" s="2630">
        <v>12.42</v>
      </c>
      <c r="I57" s="2630">
        <v>0</v>
      </c>
      <c r="J57" s="2630">
        <v>0</v>
      </c>
      <c r="L57" s="2630"/>
      <c r="M57" s="2631"/>
      <c r="N57" s="2630"/>
      <c r="O57" s="2630"/>
      <c r="P57" s="2630"/>
      <c r="Q57" s="2630"/>
      <c r="R57" s="2630"/>
      <c r="S57" s="2630"/>
      <c r="T57" s="2630"/>
      <c r="U57" s="2630"/>
      <c r="V57" s="2630"/>
      <c r="W57" s="2630"/>
      <c r="X57" s="2630"/>
      <c r="Y57" s="2630"/>
      <c r="Z57" s="2630"/>
    </row>
    <row r="58" spans="2:26">
      <c r="B58" s="2630"/>
      <c r="C58" s="2631">
        <v>35186</v>
      </c>
      <c r="D58" s="2630">
        <v>9.7200000000000006</v>
      </c>
      <c r="E58" s="2630">
        <v>10.98</v>
      </c>
      <c r="F58" s="2630">
        <v>13.14</v>
      </c>
      <c r="G58" s="2630">
        <v>14.94</v>
      </c>
      <c r="H58" s="2630">
        <v>15.12</v>
      </c>
      <c r="I58" s="2630">
        <v>0</v>
      </c>
      <c r="J58" s="2630">
        <v>0</v>
      </c>
    </row>
    <row r="59" spans="2:26">
      <c r="B59" s="2630"/>
      <c r="C59" s="2631">
        <v>34881</v>
      </c>
      <c r="D59" s="2630">
        <v>10.08</v>
      </c>
      <c r="E59" s="2630">
        <v>12.06</v>
      </c>
      <c r="F59" s="2630">
        <v>13.5</v>
      </c>
      <c r="G59" s="2630">
        <v>15.12</v>
      </c>
      <c r="H59" s="2630">
        <v>15.3</v>
      </c>
      <c r="I59" s="2630">
        <v>0</v>
      </c>
      <c r="J59" s="2630">
        <v>0</v>
      </c>
    </row>
    <row r="60" spans="2:26">
      <c r="B60" s="2630"/>
      <c r="C60" s="2631">
        <v>34700</v>
      </c>
      <c r="D60" s="2630">
        <v>9</v>
      </c>
      <c r="E60" s="2630">
        <v>10.98</v>
      </c>
      <c r="F60" s="2630">
        <v>12.96</v>
      </c>
      <c r="G60" s="2630">
        <v>14.58</v>
      </c>
      <c r="H60" s="2630">
        <v>14.76</v>
      </c>
      <c r="I60" s="2630">
        <v>0</v>
      </c>
      <c r="J60" s="2630">
        <v>0</v>
      </c>
    </row>
    <row r="61" spans="2:26">
      <c r="B61" s="2630"/>
      <c r="C61" s="2631">
        <v>34161</v>
      </c>
      <c r="D61" s="2630">
        <v>9</v>
      </c>
      <c r="E61" s="2630">
        <v>10.98</v>
      </c>
      <c r="F61" s="2630">
        <v>12.24</v>
      </c>
      <c r="G61" s="2630">
        <v>13.86</v>
      </c>
      <c r="H61" s="2630">
        <v>14.04</v>
      </c>
      <c r="I61" s="2630">
        <v>0</v>
      </c>
      <c r="J61" s="2630">
        <v>0</v>
      </c>
    </row>
    <row r="62" spans="2:26">
      <c r="B62" s="2630"/>
      <c r="C62" s="2631">
        <v>34104</v>
      </c>
      <c r="D62" s="2630">
        <v>8.82</v>
      </c>
      <c r="E62" s="2630">
        <v>9.36</v>
      </c>
      <c r="F62" s="2630">
        <v>10.8</v>
      </c>
      <c r="G62" s="2630">
        <v>12.06</v>
      </c>
      <c r="H62" s="2630">
        <v>12.24</v>
      </c>
      <c r="I62" s="2630">
        <v>0</v>
      </c>
      <c r="J62" s="2630">
        <v>0</v>
      </c>
    </row>
    <row r="63" spans="2:26">
      <c r="B63" s="2630"/>
      <c r="C63" s="2631">
        <v>33349</v>
      </c>
      <c r="D63" s="2630">
        <v>8.1</v>
      </c>
      <c r="E63" s="2630">
        <v>8.64</v>
      </c>
      <c r="F63" s="2630">
        <v>9</v>
      </c>
      <c r="G63" s="2630">
        <v>9.5399999999999991</v>
      </c>
      <c r="H63" s="2630">
        <v>9.7200000000000006</v>
      </c>
      <c r="I63" s="2630">
        <v>0</v>
      </c>
      <c r="J63" s="2630">
        <v>0</v>
      </c>
    </row>
    <row r="64" spans="2:26">
      <c r="B64" s="2630"/>
      <c r="C64" s="2631">
        <v>33318</v>
      </c>
      <c r="D64" s="2630">
        <v>9</v>
      </c>
      <c r="E64" s="2630">
        <v>10.08</v>
      </c>
      <c r="F64" s="2630">
        <v>10.8</v>
      </c>
      <c r="G64" s="2630">
        <v>11.52</v>
      </c>
      <c r="H64" s="2630">
        <v>11.88</v>
      </c>
      <c r="I64" s="2630" t="s">
        <v>2534</v>
      </c>
      <c r="J64" s="2630" t="s">
        <v>2534</v>
      </c>
    </row>
    <row r="65" spans="2:10">
      <c r="B65" s="2630"/>
      <c r="C65" s="2631">
        <v>33106</v>
      </c>
      <c r="D65" s="2630">
        <v>8.64</v>
      </c>
      <c r="E65" s="2630">
        <v>9.36</v>
      </c>
      <c r="F65" s="2630">
        <v>10.08</v>
      </c>
      <c r="G65" s="2630">
        <v>10.8</v>
      </c>
      <c r="H65" s="2630">
        <v>11.16</v>
      </c>
      <c r="I65" s="2630">
        <v>0</v>
      </c>
      <c r="J65" s="2630">
        <v>0</v>
      </c>
    </row>
    <row r="66" spans="2:10">
      <c r="B66" s="2630"/>
      <c r="C66" s="2631">
        <v>32540</v>
      </c>
      <c r="D66" s="2630">
        <v>11.34</v>
      </c>
      <c r="E66" s="2630">
        <v>11.34</v>
      </c>
      <c r="F66" s="2630">
        <v>12.78</v>
      </c>
      <c r="G66" s="2630">
        <v>14.4</v>
      </c>
      <c r="H66" s="2630">
        <v>19.260000000000002</v>
      </c>
      <c r="I66" s="2630">
        <v>0</v>
      </c>
      <c r="J66" s="2630">
        <v>0</v>
      </c>
    </row>
    <row r="67" spans="2:10">
      <c r="B67" s="2630"/>
      <c r="C67" s="2631"/>
      <c r="D67" s="2630"/>
      <c r="E67" s="2630"/>
      <c r="F67" s="2630"/>
      <c r="G67" s="2630"/>
      <c r="H67" s="2630"/>
      <c r="I67" s="2630"/>
      <c r="J67" s="2630"/>
    </row>
    <row r="68" spans="2:10">
      <c r="B68" s="2633"/>
      <c r="C68" s="2634"/>
      <c r="D68" s="2633"/>
      <c r="E68" s="2633"/>
      <c r="F68" s="2633"/>
      <c r="G68" s="2633"/>
      <c r="H68" s="2633"/>
      <c r="I68" s="2633"/>
      <c r="J68" s="2633"/>
    </row>
    <row r="69" spans="2:10">
      <c r="B69" s="2633"/>
      <c r="C69" s="2634"/>
      <c r="D69" s="2633"/>
      <c r="E69" s="2633"/>
      <c r="F69" s="2633"/>
      <c r="G69" s="2633"/>
      <c r="H69" s="2633"/>
      <c r="I69" s="2633"/>
      <c r="J69" s="2633"/>
    </row>
    <row r="70" spans="2:10">
      <c r="B70" s="2633"/>
      <c r="C70" s="2634"/>
      <c r="D70" s="2633"/>
      <c r="E70" s="2633"/>
      <c r="F70" s="2633"/>
      <c r="G70" s="2633"/>
      <c r="H70" s="2633"/>
      <c r="I70" s="2633"/>
      <c r="J70" s="2633"/>
    </row>
    <row r="71" spans="2:10">
      <c r="B71" s="2581"/>
      <c r="C71" s="2581"/>
      <c r="D71" s="2581"/>
      <c r="E71" s="2581"/>
      <c r="F71" s="2581"/>
      <c r="G71" s="2581"/>
      <c r="H71" s="2581"/>
      <c r="I71" s="2581"/>
      <c r="J71" s="2581"/>
    </row>
    <row r="72" spans="2:10">
      <c r="B72" s="2581"/>
      <c r="C72" s="2581"/>
      <c r="D72" s="2581"/>
      <c r="E72" s="2581"/>
      <c r="F72" s="2581"/>
      <c r="G72" s="2581"/>
      <c r="H72" s="2581"/>
      <c r="I72" s="2581"/>
      <c r="J72" s="2581"/>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52" t="s">
        <v>1830</v>
      </c>
      <c r="B1" s="3452"/>
      <c r="C1" s="3452"/>
      <c r="D1" s="3452"/>
      <c r="E1" s="3452"/>
      <c r="F1" s="3452"/>
      <c r="G1" s="3452"/>
      <c r="H1" s="3452"/>
      <c r="I1" s="3452"/>
      <c r="J1" s="3452"/>
      <c r="K1" s="3452"/>
      <c r="L1" s="3452"/>
      <c r="M1" s="3452"/>
      <c r="N1" s="3452"/>
      <c r="O1" s="3452"/>
      <c r="P1" s="3452"/>
      <c r="Q1" s="3452"/>
      <c r="R1" s="3452"/>
    </row>
    <row r="2" spans="1:18">
      <c r="A2" s="1678" t="s">
        <v>1832</v>
      </c>
      <c r="B2" s="1678"/>
      <c r="C2" s="1678"/>
      <c r="D2" s="1678"/>
      <c r="E2" s="1678"/>
      <c r="F2" s="1678"/>
      <c r="G2" s="1678"/>
      <c r="H2" s="1678"/>
      <c r="I2" s="1679"/>
      <c r="J2" s="1679"/>
      <c r="K2" s="1680" t="str">
        <f>"估价期日："&amp;TEXT(项目基本情况!D3,"yyyy年m月d日;;")</f>
        <v>估价期日：</v>
      </c>
      <c r="L2" s="1678"/>
      <c r="M2" s="1678"/>
      <c r="N2" s="1678"/>
      <c r="O2" s="1678"/>
      <c r="P2" s="1678"/>
      <c r="Q2" s="1678"/>
      <c r="R2" s="1680" t="str">
        <f>"估价期日的国有建设用地使用权性质："&amp;项目基本情况!B16</f>
        <v>估价期日的国有建设用地使用权性质：</v>
      </c>
    </row>
    <row r="3" spans="1:18" ht="23.25" customHeight="1">
      <c r="A3" s="3453" t="s">
        <v>1821</v>
      </c>
      <c r="B3" s="3453" t="s">
        <v>2448</v>
      </c>
      <c r="C3" s="3454" t="s">
        <v>1822</v>
      </c>
      <c r="D3" s="3453" t="s">
        <v>2452</v>
      </c>
      <c r="E3" s="3456" t="s">
        <v>1823</v>
      </c>
      <c r="F3" s="3456"/>
      <c r="G3" s="3456"/>
      <c r="H3" s="3456" t="s">
        <v>1824</v>
      </c>
      <c r="I3" s="3456"/>
      <c r="J3" s="3456"/>
      <c r="K3" s="3454" t="s">
        <v>1825</v>
      </c>
      <c r="L3" s="3454" t="s">
        <v>1826</v>
      </c>
      <c r="M3" s="3453" t="s">
        <v>2449</v>
      </c>
      <c r="N3" s="3455" t="str">
        <f>"（分摊）"&amp;项目基本情况!B16&amp;"国有建设用地使用权面积/㎡"</f>
        <v>（分摊）国有建设用地使用权面积/㎡</v>
      </c>
      <c r="O3" s="3453" t="s">
        <v>1855</v>
      </c>
      <c r="P3" s="3454" t="s">
        <v>1835</v>
      </c>
      <c r="Q3" s="3454" t="s">
        <v>1856</v>
      </c>
      <c r="R3" s="3454" t="s">
        <v>1827</v>
      </c>
    </row>
    <row r="4" spans="1:18" ht="36.75" customHeight="1">
      <c r="A4" s="3453"/>
      <c r="B4" s="3453"/>
      <c r="C4" s="3454"/>
      <c r="D4" s="3453"/>
      <c r="E4" s="2414" t="s">
        <v>1834</v>
      </c>
      <c r="F4" s="2414" t="s">
        <v>2461</v>
      </c>
      <c r="G4" s="2414" t="s">
        <v>1828</v>
      </c>
      <c r="H4" s="2414" t="s">
        <v>1829</v>
      </c>
      <c r="I4" s="2414" t="s">
        <v>2462</v>
      </c>
      <c r="J4" s="2414" t="s">
        <v>1828</v>
      </c>
      <c r="K4" s="3454"/>
      <c r="L4" s="3454"/>
      <c r="M4" s="3453"/>
      <c r="N4" s="3455"/>
      <c r="O4" s="3453"/>
      <c r="P4" s="3454"/>
      <c r="Q4" s="3454"/>
      <c r="R4" s="3454"/>
    </row>
    <row r="5" spans="1:18" ht="135" customHeight="1">
      <c r="A5" s="1813" t="s">
        <v>2372</v>
      </c>
      <c r="B5" s="2507" t="s">
        <v>2370</v>
      </c>
      <c r="C5" s="2413">
        <v>22</v>
      </c>
      <c r="D5" s="2412" t="s">
        <v>2371</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t="str">
        <f>IF(项目基本情况!B16="出让",项目基本情况!D20,"——")</f>
        <v>——</v>
      </c>
      <c r="N5" s="1681" t="e">
        <f>项目基本情况!C22</f>
        <v>#DIV/0!</v>
      </c>
      <c r="O5" s="1681">
        <f>项目基本情况!C21</f>
        <v>0</v>
      </c>
      <c r="P5" s="1681" t="e">
        <f ca="1">结果表!E42</f>
        <v>#REF!</v>
      </c>
      <c r="Q5" s="1681" t="e">
        <f ca="1">结果表!D42</f>
        <v>#REF!</v>
      </c>
      <c r="R5" s="1682" t="e">
        <f ca="1">结果表!C42</f>
        <v>#REF!</v>
      </c>
    </row>
    <row r="6" spans="1:18">
      <c r="A6" s="3449" t="str">
        <f>IF(项目基本情况!B9="市场价格","——","抵押价格")</f>
        <v>抵押价格</v>
      </c>
      <c r="B6" s="3450"/>
      <c r="C6" s="3450"/>
      <c r="D6" s="3450"/>
      <c r="E6" s="3450"/>
      <c r="F6" s="3450"/>
      <c r="G6" s="3450"/>
      <c r="H6" s="3450"/>
      <c r="I6" s="3450"/>
      <c r="J6" s="3450"/>
      <c r="K6" s="3450"/>
      <c r="L6" s="3450"/>
      <c r="M6" s="3450"/>
      <c r="N6" s="3450"/>
      <c r="O6" s="3450"/>
      <c r="P6" s="3450"/>
      <c r="Q6" s="3451"/>
      <c r="R6" s="1683" t="str">
        <f>结果表!O39</f>
        <v>——</v>
      </c>
    </row>
    <row r="7" spans="1:18">
      <c r="A7" s="3449" t="str">
        <f>IF(项目基本情况!B9="市场价格","——",IF(项目基本情况!E8="已注销及未注销","抵押担保权已注销时的抵押价格","——"))</f>
        <v>——</v>
      </c>
      <c r="B7" s="3450"/>
      <c r="C7" s="3450"/>
      <c r="D7" s="3450"/>
      <c r="E7" s="3450"/>
      <c r="F7" s="3450"/>
      <c r="G7" s="3450"/>
      <c r="H7" s="3450"/>
      <c r="I7" s="3450"/>
      <c r="J7" s="3450"/>
      <c r="K7" s="3450"/>
      <c r="L7" s="3450"/>
      <c r="M7" s="3450"/>
      <c r="N7" s="3450"/>
      <c r="O7" s="3450"/>
      <c r="P7" s="3450"/>
      <c r="Q7" s="3451"/>
      <c r="R7" s="1683" t="str">
        <f>结果表!O40</f>
        <v>——</v>
      </c>
    </row>
    <row r="8" spans="1:18">
      <c r="A8" s="3449">
        <f>IF(项目基本情况!B9="市场价格","——",项目基本情况!E9)</f>
        <v>0</v>
      </c>
      <c r="B8" s="3450"/>
      <c r="C8" s="3450"/>
      <c r="D8" s="3450"/>
      <c r="E8" s="3450"/>
      <c r="F8" s="3450"/>
      <c r="G8" s="3450"/>
      <c r="H8" s="3450"/>
      <c r="I8" s="3450"/>
      <c r="J8" s="3450"/>
      <c r="K8" s="3450"/>
      <c r="L8" s="3450"/>
      <c r="M8" s="3450"/>
      <c r="N8" s="3450"/>
      <c r="O8" s="3450"/>
      <c r="P8" s="3450"/>
      <c r="Q8" s="3451"/>
      <c r="R8" s="1683" t="str">
        <f>结果表!O41</f>
        <v>——</v>
      </c>
    </row>
    <row r="9" spans="1:18">
      <c r="A9" s="1684" t="s">
        <v>1833</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1820</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673" customWidth="1"/>
    <col min="2" max="3" width="21.33203125" style="1673" customWidth="1"/>
    <col min="4" max="4" width="19.88671875" style="1673" customWidth="1"/>
    <col min="5" max="16384" width="9" style="1673"/>
  </cols>
  <sheetData>
    <row r="1" spans="1:4">
      <c r="A1" s="3458" t="s">
        <v>1857</v>
      </c>
      <c r="B1" s="3458"/>
      <c r="C1" s="3458"/>
      <c r="D1" s="3458"/>
    </row>
    <row r="2" spans="1:4" ht="47.25" customHeight="1">
      <c r="A2" s="3459" t="str">
        <f>"1.权利限制："&amp;项目基本情况!L24&amp;"未设定租赁等其他他项权利。"</f>
        <v>1.权利限制：根据估价对象《不动产权证书》原件、《国有土地使用权》复印件，截至估价期日，估价对象抵押权未见登记。未设定租赁等其他他项权利。</v>
      </c>
      <c r="B2" s="3459"/>
      <c r="C2" s="3459"/>
      <c r="D2" s="3459"/>
    </row>
    <row r="3" spans="1:4" ht="48" customHeight="1">
      <c r="A3" s="34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8"/>
      <c r="C3" s="3458"/>
      <c r="D3" s="3458"/>
    </row>
    <row r="4" spans="1:4" ht="36.75" customHeight="1">
      <c r="A4" s="3458" t="str">
        <f>"3.估价规划限制条件：详见"&amp;项目基本情况!E21&amp;"。"</f>
        <v>3.估价规划限制条件：详见《建设工程规划许可证》[]、《出让合同》[]。</v>
      </c>
      <c r="B4" s="3458"/>
      <c r="C4" s="3458"/>
      <c r="D4" s="3458"/>
    </row>
    <row r="5" spans="1:4">
      <c r="A5" s="3457" t="s">
        <v>1858</v>
      </c>
      <c r="B5" s="3457"/>
      <c r="C5" s="3457"/>
      <c r="D5" s="3457"/>
    </row>
    <row r="6" spans="1:4">
      <c r="A6" s="3458" t="s">
        <v>1836</v>
      </c>
      <c r="B6" s="3458"/>
      <c r="C6" s="3458"/>
      <c r="D6" s="3458"/>
    </row>
    <row r="7" spans="1:4" ht="33" customHeight="1">
      <c r="A7" s="3458" t="s">
        <v>2292</v>
      </c>
      <c r="B7" s="3458"/>
      <c r="C7" s="3458"/>
      <c r="D7" s="3458"/>
    </row>
    <row r="8" spans="1:4" ht="32.25" customHeight="1">
      <c r="A8" s="34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8"/>
      <c r="C8" s="3458"/>
      <c r="D8" s="3458"/>
    </row>
    <row r="9" spans="1:4" ht="33.75" customHeight="1">
      <c r="A9" s="34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8"/>
      <c r="C9" s="3458"/>
      <c r="D9" s="3458"/>
    </row>
    <row r="10" spans="1:4">
      <c r="A10" s="3458" t="str">
        <f>IF(项目基本情况!B8="抵押","4.估价师所知悉的法定优先受偿款情况为：","——")</f>
        <v>4.估价师所知悉的法定优先受偿款情况为：</v>
      </c>
      <c r="B10" s="3458"/>
      <c r="C10" s="3458"/>
      <c r="D10" s="3458"/>
    </row>
    <row r="11" spans="1:4" ht="37.5" customHeight="1">
      <c r="A11" s="346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0"/>
      <c r="C11" s="3460"/>
      <c r="D11" s="3460"/>
    </row>
    <row r="12" spans="1:4" ht="168" customHeight="1">
      <c r="A12" s="3457" t="s">
        <v>1860</v>
      </c>
      <c r="B12" s="3457"/>
      <c r="C12" s="3457"/>
      <c r="D12" s="3457"/>
    </row>
    <row r="13" spans="1:4">
      <c r="A13" s="3461" t="s">
        <v>2463</v>
      </c>
      <c r="B13" s="3461"/>
      <c r="C13" s="3461"/>
      <c r="D13" s="3461"/>
    </row>
    <row r="14" spans="1:4">
      <c r="A14" s="3460" t="str">
        <f>IF(项目基本情况!B8="抵押","综上，"&amp;结果表!K47,"——")</f>
        <v>综上，本次评估不存在估价师知悉的法定优先受偿款</v>
      </c>
      <c r="B14" s="3460"/>
      <c r="C14" s="3460"/>
      <c r="D14" s="3460"/>
    </row>
    <row r="15" spans="1:4" ht="58.5" customHeight="1">
      <c r="A15" s="34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8"/>
      <c r="C15" s="3458"/>
      <c r="D15" s="3458"/>
    </row>
    <row r="16" spans="1:4" ht="70.5" customHeight="1">
      <c r="A16" s="34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8"/>
      <c r="C16" s="3458"/>
      <c r="D16" s="3458"/>
    </row>
    <row r="17" spans="1:4">
      <c r="A17" s="3458" t="s">
        <v>2419</v>
      </c>
      <c r="B17" s="3458"/>
      <c r="C17" s="3458"/>
      <c r="D17" s="3458"/>
    </row>
    <row r="18" spans="1:4">
      <c r="A18" s="3458" t="s">
        <v>2411</v>
      </c>
      <c r="B18" s="3458"/>
      <c r="C18" s="3458"/>
      <c r="D18" s="3458"/>
    </row>
    <row r="19" spans="1:4">
      <c r="A19" s="2508" t="s">
        <v>2412</v>
      </c>
      <c r="B19" s="2508" t="s">
        <v>2413</v>
      </c>
      <c r="C19" s="2508" t="s">
        <v>2414</v>
      </c>
      <c r="D19" s="2508" t="s">
        <v>2415</v>
      </c>
    </row>
    <row r="20" spans="1:4">
      <c r="A20" s="2508" t="str">
        <f>项目基本情况!B4</f>
        <v>土地估价师</v>
      </c>
      <c r="B20" s="2508">
        <f>项目基本情况!C4</f>
        <v>0</v>
      </c>
      <c r="C20" s="2510"/>
      <c r="D20" s="1671" t="s">
        <v>2420</v>
      </c>
    </row>
    <row r="21" spans="1:4">
      <c r="A21" s="2508" t="str">
        <f>项目基本情况!D4</f>
        <v>土地估价师</v>
      </c>
      <c r="B21" s="2508">
        <f>项目基本情况!E4</f>
        <v>0</v>
      </c>
      <c r="C21" s="2510"/>
      <c r="D21" s="1671" t="s">
        <v>2421</v>
      </c>
    </row>
    <row r="23" spans="1:4">
      <c r="A23" s="3458" t="s">
        <v>2416</v>
      </c>
      <c r="B23" s="3458"/>
      <c r="C23" s="3458"/>
      <c r="D23" s="3458"/>
    </row>
    <row r="24" spans="1:4">
      <c r="A24" s="2508" t="s">
        <v>2412</v>
      </c>
      <c r="B24" s="2508" t="s">
        <v>2417</v>
      </c>
      <c r="C24" s="2508" t="s">
        <v>2414</v>
      </c>
      <c r="D24" s="2508" t="s">
        <v>2415</v>
      </c>
    </row>
    <row r="25" spans="1:4">
      <c r="A25" s="2511" t="s">
        <v>2418</v>
      </c>
      <c r="B25" s="2508" t="s">
        <v>931</v>
      </c>
      <c r="C25" s="2510"/>
      <c r="D25" s="1671" t="s">
        <v>2421</v>
      </c>
    </row>
    <row r="29" spans="1:4">
      <c r="D29" s="2509" t="s">
        <v>1831</v>
      </c>
    </row>
    <row r="30" spans="1:4">
      <c r="D30" s="25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12" customWidth="1"/>
    <col min="2" max="16384" width="14.44140625" style="1110"/>
  </cols>
  <sheetData>
    <row r="1" spans="1:7" s="1108" customFormat="1" ht="17.399999999999999">
      <c r="A1" s="1107" t="s">
        <v>65</v>
      </c>
    </row>
    <row r="3" spans="1:7">
      <c r="A3" s="1109" t="s">
        <v>66</v>
      </c>
      <c r="B3" s="1110" t="s">
        <v>67</v>
      </c>
      <c r="G3" s="1111"/>
    </row>
    <row r="4" spans="1:7">
      <c r="G4" s="1111"/>
    </row>
    <row r="5" spans="1:7">
      <c r="A5" s="1113" t="s">
        <v>45</v>
      </c>
      <c r="B5" s="1110" t="s">
        <v>46</v>
      </c>
      <c r="G5" s="1111"/>
    </row>
    <row r="6" spans="1:7">
      <c r="G6" s="1111"/>
    </row>
    <row r="7" spans="1:7">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4">
      <c r="A15" s="3469" t="s">
        <v>53</v>
      </c>
      <c r="B15" s="3470" t="s">
        <v>826</v>
      </c>
      <c r="C15" s="3466"/>
    </row>
    <row r="16" spans="1:7" ht="14.4">
      <c r="A16" s="3469"/>
      <c r="B16" s="3467" t="s">
        <v>54</v>
      </c>
      <c r="C16" s="1119" t="s">
        <v>53</v>
      </c>
    </row>
    <row r="17" spans="1:3" ht="14.4">
      <c r="A17" s="3469"/>
      <c r="B17" s="3467"/>
      <c r="C17" s="1119" t="s">
        <v>55</v>
      </c>
    </row>
    <row r="18" spans="1:3" ht="14.4">
      <c r="A18" s="3469"/>
      <c r="B18" s="3467"/>
      <c r="C18" s="1119" t="s">
        <v>56</v>
      </c>
    </row>
    <row r="19" spans="1:3" ht="14.4">
      <c r="A19" s="3469"/>
      <c r="B19" s="3465" t="s">
        <v>57</v>
      </c>
      <c r="C19" s="3466"/>
    </row>
    <row r="20" spans="1:3" ht="14.4">
      <c r="A20" s="1120" t="s">
        <v>58</v>
      </c>
      <c r="B20" s="1121"/>
      <c r="C20" s="1122"/>
    </row>
    <row r="21" spans="1:3" ht="14.4">
      <c r="A21" s="3468" t="s">
        <v>59</v>
      </c>
      <c r="B21" s="3465" t="s">
        <v>60</v>
      </c>
      <c r="C21" s="3466"/>
    </row>
    <row r="22" spans="1:3" ht="14.4">
      <c r="A22" s="3468"/>
      <c r="B22" s="3465" t="s">
        <v>61</v>
      </c>
      <c r="C22" s="3466"/>
    </row>
    <row r="23" spans="1:3" ht="14.4">
      <c r="A23" s="3468"/>
      <c r="B23" s="3465" t="s">
        <v>62</v>
      </c>
      <c r="C23" s="3466"/>
    </row>
    <row r="24" spans="1:3" ht="14.4">
      <c r="A24" s="3468"/>
      <c r="B24" s="3471" t="s">
        <v>63</v>
      </c>
      <c r="C24" s="1123" t="s">
        <v>817</v>
      </c>
    </row>
    <row r="25" spans="1:3" ht="14.4">
      <c r="A25" s="3468"/>
      <c r="B25" s="3472"/>
      <c r="C25" s="1123" t="s">
        <v>818</v>
      </c>
    </row>
    <row r="26" spans="1:3" ht="14.4">
      <c r="A26" s="3468"/>
      <c r="B26" s="3472"/>
      <c r="C26" s="1123" t="s">
        <v>819</v>
      </c>
    </row>
    <row r="27" spans="1:3" ht="14.4">
      <c r="A27" s="3468"/>
      <c r="B27" s="3472"/>
      <c r="C27" s="1123" t="s">
        <v>820</v>
      </c>
    </row>
    <row r="28" spans="1:3" ht="14.4">
      <c r="A28" s="3468"/>
      <c r="B28" s="3472"/>
      <c r="C28" s="1123" t="s">
        <v>821</v>
      </c>
    </row>
    <row r="29" spans="1:3" ht="14.4">
      <c r="A29" s="3468"/>
      <c r="B29" s="3472"/>
      <c r="C29" s="1123" t="s">
        <v>822</v>
      </c>
    </row>
    <row r="30" spans="1:3" ht="14.4">
      <c r="A30" s="3468"/>
      <c r="B30" s="3472"/>
      <c r="C30" s="1123" t="s">
        <v>823</v>
      </c>
    </row>
    <row r="31" spans="1:3" ht="14.4">
      <c r="A31" s="3468"/>
      <c r="B31" s="3472"/>
      <c r="C31" s="1123" t="s">
        <v>824</v>
      </c>
    </row>
    <row r="32" spans="1:3" ht="14.4">
      <c r="A32" s="3468"/>
      <c r="B32" s="3472"/>
      <c r="C32" s="1123" t="s">
        <v>1446</v>
      </c>
    </row>
    <row r="33" spans="1:3" ht="14.4">
      <c r="A33" s="3468"/>
      <c r="B33" s="3462" t="s">
        <v>1452</v>
      </c>
      <c r="C33" s="1123" t="s">
        <v>1447</v>
      </c>
    </row>
    <row r="34" spans="1:3" ht="14.4">
      <c r="A34" s="3468"/>
      <c r="B34" s="3463"/>
      <c r="C34" s="1128" t="s">
        <v>1448</v>
      </c>
    </row>
    <row r="35" spans="1:3" ht="14.4">
      <c r="A35" s="3468"/>
      <c r="B35" s="3463"/>
      <c r="C35" s="1129" t="s">
        <v>1449</v>
      </c>
    </row>
    <row r="36" spans="1:3" ht="14.4">
      <c r="A36" s="3468"/>
      <c r="B36" s="3463"/>
      <c r="C36" s="1129" t="s">
        <v>1450</v>
      </c>
    </row>
    <row r="37" spans="1:3" ht="14.4">
      <c r="A37" s="3468"/>
      <c r="B37" s="3464"/>
      <c r="C37" s="1130" t="s">
        <v>1451</v>
      </c>
    </row>
    <row r="38" spans="1:3">
      <c r="A38" s="1124" t="s">
        <v>825</v>
      </c>
    </row>
    <row r="41" spans="1:3">
      <c r="A41" s="1124" t="s">
        <v>68</v>
      </c>
    </row>
    <row r="42" spans="1:3" ht="14.4">
      <c r="A42" s="1125" t="s">
        <v>833</v>
      </c>
    </row>
    <row r="43" spans="1:3" ht="14.4">
      <c r="A43" s="1126" t="s">
        <v>69</v>
      </c>
    </row>
    <row r="44" spans="1:3" ht="14.4">
      <c r="A44" s="1125" t="s">
        <v>832</v>
      </c>
    </row>
    <row r="45" spans="1:3" ht="14.4">
      <c r="A45" s="1127" t="s">
        <v>834</v>
      </c>
    </row>
    <row r="46" spans="1:3" ht="14.4">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640625" defaultRowHeight="20.25" customHeight="1"/>
  <cols>
    <col min="1" max="1" width="24.77734375" style="2749" customWidth="1"/>
    <col min="2" max="2" width="22.77734375" style="2749" bestFit="1" customWidth="1"/>
    <col min="3" max="3" width="25.77734375" style="2749" bestFit="1" customWidth="1"/>
    <col min="4" max="4" width="22.6640625" style="2749"/>
    <col min="5" max="5" width="22.77734375" style="2749" bestFit="1" customWidth="1"/>
    <col min="6" max="6" width="25.6640625" style="2749" customWidth="1"/>
    <col min="7" max="16384" width="22.6640625" style="2749"/>
  </cols>
  <sheetData>
    <row r="1" spans="1:7" ht="20.25" customHeight="1">
      <c r="A1" s="2934"/>
      <c r="B1" s="2934"/>
      <c r="C1" s="2934"/>
      <c r="D1" s="2934"/>
      <c r="E1" s="2934"/>
      <c r="F1" s="2934"/>
      <c r="G1" s="2934"/>
    </row>
    <row r="2" spans="1:7" ht="20.25" customHeight="1">
      <c r="A2" s="2935" t="s">
        <v>1703</v>
      </c>
      <c r="B2" s="2936">
        <f ca="1">TODAY()</f>
        <v>44795</v>
      </c>
      <c r="C2" s="2937" t="s">
        <v>1704</v>
      </c>
      <c r="D2" s="2937"/>
      <c r="E2" s="2934"/>
      <c r="F2" s="2934"/>
      <c r="G2" s="2934"/>
    </row>
    <row r="3" spans="1:7" ht="20.25" customHeight="1">
      <c r="A3" s="2958" t="s">
        <v>1705</v>
      </c>
      <c r="B3" s="2939" t="s">
        <v>1706</v>
      </c>
      <c r="C3" s="2940" t="s">
        <v>1707</v>
      </c>
      <c r="D3" s="2959" t="s">
        <v>1708</v>
      </c>
      <c r="E3" s="2939" t="s">
        <v>1709</v>
      </c>
      <c r="F3" s="2939" t="s">
        <v>1707</v>
      </c>
      <c r="G3" s="2934"/>
    </row>
    <row r="4" spans="1:7" ht="20.25" customHeight="1">
      <c r="A4" s="2939" t="s">
        <v>1710</v>
      </c>
      <c r="B4" s="2939">
        <f ca="1">IF(C4&lt;B2,"已过期",1119970066)</f>
        <v>1119970066</v>
      </c>
      <c r="C4" s="2942">
        <v>44876</v>
      </c>
      <c r="D4" s="2950" t="s">
        <v>1710</v>
      </c>
      <c r="E4" s="2939">
        <f ca="1">IF(F4&lt;B2,"已过期",96010014)</f>
        <v>96010014</v>
      </c>
      <c r="F4" s="2941">
        <v>47118</v>
      </c>
      <c r="G4" s="2934"/>
    </row>
    <row r="5" spans="1:7" ht="20.25" customHeight="1">
      <c r="A5" s="2939" t="s">
        <v>1711</v>
      </c>
      <c r="B5" s="2939">
        <f ca="1">IF(C5&lt;B2,"已过期",1119970111)</f>
        <v>1119970111</v>
      </c>
      <c r="C5" s="2942">
        <v>44876</v>
      </c>
      <c r="D5" s="2950" t="s">
        <v>1711</v>
      </c>
      <c r="E5" s="2939">
        <f ca="1">IF(F5&lt;B2,"已过期",94010078)</f>
        <v>94010078</v>
      </c>
      <c r="F5" s="2941">
        <v>46387</v>
      </c>
      <c r="G5" s="2934"/>
    </row>
    <row r="6" spans="1:7" ht="20.25" customHeight="1">
      <c r="A6" s="2939" t="s">
        <v>1712</v>
      </c>
      <c r="B6" s="2939">
        <f ca="1">IF(C6&lt;B2,"已过期",1120050019)</f>
        <v>1120050019</v>
      </c>
      <c r="C6" s="2942">
        <v>45410</v>
      </c>
      <c r="D6" s="2950" t="s">
        <v>1712</v>
      </c>
      <c r="E6" s="2939">
        <f ca="1">IF(F6&lt;B2,"已过期",2002110030)</f>
        <v>2002110030</v>
      </c>
      <c r="F6" s="2941">
        <v>46387</v>
      </c>
      <c r="G6" s="2934"/>
    </row>
    <row r="7" spans="1:7" ht="20.25" customHeight="1">
      <c r="A7" s="2939" t="s">
        <v>1713</v>
      </c>
      <c r="B7" s="2939">
        <f ca="1">IF(C7&lt;B2,"已过期",1120000080)</f>
        <v>1120000080</v>
      </c>
      <c r="C7" s="2942">
        <v>44876</v>
      </c>
      <c r="D7" s="2950" t="s">
        <v>1713</v>
      </c>
      <c r="E7" s="2939">
        <f ca="1">IF(F7&lt;B2,"已过期",2000110082)</f>
        <v>2000110082</v>
      </c>
      <c r="F7" s="2941">
        <v>46387</v>
      </c>
      <c r="G7" s="2934"/>
    </row>
    <row r="8" spans="1:7" ht="20.25" customHeight="1">
      <c r="A8" s="2939" t="s">
        <v>1714</v>
      </c>
      <c r="B8" s="2939">
        <f ca="1">IF(C8&lt;B2,"已过期",1419970001)</f>
        <v>1419970001</v>
      </c>
      <c r="C8" s="2942">
        <v>44899</v>
      </c>
      <c r="D8" s="2950" t="s">
        <v>1714</v>
      </c>
      <c r="E8" s="2939">
        <f ca="1">IF(F8&lt;B2,"已过期",2002110125)</f>
        <v>2002110125</v>
      </c>
      <c r="F8" s="2941">
        <v>47118</v>
      </c>
      <c r="G8" s="2934"/>
    </row>
    <row r="9" spans="1:7" ht="20.25" customHeight="1">
      <c r="A9" s="2939" t="s">
        <v>1715</v>
      </c>
      <c r="B9" s="2939">
        <f ca="1">IF(C9&lt;B2,"已过期",1120060040)</f>
        <v>1120060040</v>
      </c>
      <c r="C9" s="2942">
        <v>45592</v>
      </c>
      <c r="D9" s="2950" t="s">
        <v>1715</v>
      </c>
      <c r="E9" s="2939">
        <f ca="1">IF(F9&lt;B2,"已过期",2004110096)</f>
        <v>2004110096</v>
      </c>
      <c r="F9" s="2941">
        <v>47118</v>
      </c>
      <c r="G9" s="2934"/>
    </row>
    <row r="10" spans="1:7" ht="20.25" customHeight="1">
      <c r="A10" s="2939" t="s">
        <v>1716</v>
      </c>
      <c r="B10" s="2939" t="str">
        <f ca="1">IF(C10&lt;B2,"已过期",1120100036)</f>
        <v>已过期</v>
      </c>
      <c r="C10" s="2942">
        <v>44675</v>
      </c>
      <c r="D10" s="2950" t="s">
        <v>1716</v>
      </c>
      <c r="E10" s="2939">
        <f ca="1">IF(F10&lt;B2,"已过期",2010110070)</f>
        <v>2010110070</v>
      </c>
      <c r="F10" s="2941">
        <v>47907</v>
      </c>
      <c r="G10" s="2934"/>
    </row>
    <row r="11" spans="1:7" ht="20.25" customHeight="1">
      <c r="A11" s="2939" t="s">
        <v>1717</v>
      </c>
      <c r="B11" s="2939">
        <f ca="1">IF(C11&lt;B2,"已过期",1120070131)</f>
        <v>1120070131</v>
      </c>
      <c r="C11" s="2942">
        <v>44849</v>
      </c>
      <c r="D11" s="2950" t="s">
        <v>1717</v>
      </c>
      <c r="E11" s="2939">
        <f ca="1">IF(F11&lt;B2,"已过期",2014110011)</f>
        <v>2014110011</v>
      </c>
      <c r="F11" s="2941">
        <v>49302</v>
      </c>
      <c r="G11" s="2934"/>
    </row>
    <row r="12" spans="1:7" ht="20.25" customHeight="1">
      <c r="A12" s="2939" t="s">
        <v>2678</v>
      </c>
      <c r="B12" s="2939">
        <f ca="1">IF(C12&lt;B2,"已过期",1120040230)</f>
        <v>1120040230</v>
      </c>
      <c r="C12" s="2942">
        <v>44864</v>
      </c>
      <c r="D12" s="2950" t="s">
        <v>2679</v>
      </c>
      <c r="E12" s="2939">
        <f ca="1">IF(F12&lt;B2,"已过期",98030020)</f>
        <v>98030020</v>
      </c>
      <c r="F12" s="2941">
        <v>47118</v>
      </c>
      <c r="G12" s="2934"/>
    </row>
    <row r="13" spans="1:7" ht="20.25" customHeight="1">
      <c r="A13" s="2939"/>
      <c r="B13" s="2939"/>
      <c r="C13" s="2942"/>
      <c r="D13" s="2950" t="s">
        <v>1718</v>
      </c>
      <c r="E13" s="2939">
        <f ca="1">IF(F13&lt;B2,"已过期",2011110090)</f>
        <v>2011110090</v>
      </c>
      <c r="F13" s="2941">
        <v>48302</v>
      </c>
      <c r="G13" s="2934"/>
    </row>
    <row r="14" spans="1:7" ht="20.25" customHeight="1">
      <c r="A14" s="2939" t="s">
        <v>1719</v>
      </c>
      <c r="B14" s="2939" t="str">
        <f ca="1">IF(C14&lt;B2,"已过期",1120020033)</f>
        <v>已过期</v>
      </c>
      <c r="C14" s="2942">
        <v>44339</v>
      </c>
      <c r="D14" s="2950" t="s">
        <v>1719</v>
      </c>
      <c r="E14" s="2939">
        <f ca="1">IF(F14&lt;B2,"已过期",2000110137)</f>
        <v>2000110137</v>
      </c>
      <c r="F14" s="2941">
        <v>46387</v>
      </c>
      <c r="G14" s="2934"/>
    </row>
    <row r="15" spans="1:7" ht="20.25" customHeight="1">
      <c r="A15" s="2939" t="s">
        <v>2691</v>
      </c>
      <c r="B15" s="2939">
        <f ca="1">IF(C15&lt;B2,"已过期",1119980106)</f>
        <v>1119980106</v>
      </c>
      <c r="C15" s="2942">
        <v>44969</v>
      </c>
      <c r="D15" s="2950"/>
      <c r="E15" s="2939"/>
      <c r="F15" s="2939"/>
      <c r="G15" s="2934"/>
    </row>
    <row r="16" spans="1:7" ht="20.25" customHeight="1">
      <c r="A16" s="2938" t="s">
        <v>2893</v>
      </c>
      <c r="B16" s="2938">
        <v>1120210056</v>
      </c>
      <c r="C16" s="2942">
        <v>45410</v>
      </c>
      <c r="D16" s="2950"/>
      <c r="E16" s="2939"/>
      <c r="F16" s="2939"/>
      <c r="G16" s="2934"/>
    </row>
    <row r="17" spans="1:7" s="2750" customFormat="1" ht="20.25" customHeight="1">
      <c r="A17" s="2938" t="s">
        <v>1845</v>
      </c>
      <c r="B17" s="2938" t="s">
        <v>1845</v>
      </c>
      <c r="C17" s="2942"/>
      <c r="D17" s="2951" t="s">
        <v>1845</v>
      </c>
      <c r="E17" s="2939" t="s">
        <v>1845</v>
      </c>
      <c r="F17" s="2941"/>
      <c r="G17" s="2943"/>
    </row>
    <row r="18" spans="1:7" ht="20.25" customHeight="1">
      <c r="A18" s="3476" t="s">
        <v>1720</v>
      </c>
      <c r="B18" s="3477"/>
      <c r="C18" s="3477"/>
      <c r="D18" s="3477"/>
      <c r="E18" s="3477"/>
      <c r="F18" s="3477"/>
      <c r="G18" s="2943"/>
    </row>
    <row r="19" spans="1:7" ht="20.25" customHeight="1">
      <c r="A19" s="3473" t="s">
        <v>1721</v>
      </c>
      <c r="B19" s="3473"/>
      <c r="C19" s="3474"/>
      <c r="D19" s="3475" t="s">
        <v>1722</v>
      </c>
      <c r="E19" s="3473"/>
      <c r="F19" s="3473"/>
      <c r="G19" s="2943"/>
    </row>
    <row r="20" spans="1:7" s="2748" customFormat="1" ht="20.25" customHeight="1">
      <c r="A20" s="2944" t="s">
        <v>1723</v>
      </c>
      <c r="B20" s="2945" t="s">
        <v>1724</v>
      </c>
      <c r="C20" s="2952" t="s">
        <v>1725</v>
      </c>
      <c r="D20" s="2950" t="s">
        <v>1723</v>
      </c>
      <c r="E20" s="2945" t="s">
        <v>1724</v>
      </c>
      <c r="F20" s="2945" t="s">
        <v>1725</v>
      </c>
      <c r="G20" s="2935"/>
    </row>
    <row r="21" spans="1:7" s="2748" customFormat="1" ht="20.25" customHeight="1">
      <c r="A21" s="2946" t="s">
        <v>1726</v>
      </c>
      <c r="B21" s="2946" t="s">
        <v>1727</v>
      </c>
      <c r="C21" s="2953">
        <v>44820</v>
      </c>
      <c r="D21" s="2955" t="s">
        <v>1728</v>
      </c>
      <c r="E21" s="2946" t="s">
        <v>2894</v>
      </c>
      <c r="F21" s="2947">
        <v>44926</v>
      </c>
      <c r="G21" s="2935"/>
    </row>
    <row r="22" spans="1:7" s="2748" customFormat="1" ht="20.25" customHeight="1">
      <c r="A22" s="2946"/>
      <c r="B22" s="2946"/>
      <c r="C22" s="2954"/>
      <c r="D22" s="2955"/>
      <c r="E22" s="2946"/>
      <c r="F22" s="2947"/>
      <c r="G22" s="2935"/>
    </row>
    <row r="23" spans="1:7" ht="20.25" customHeight="1">
      <c r="A23" s="2934"/>
      <c r="B23" s="2934"/>
      <c r="C23" s="2948"/>
      <c r="D23" s="2956"/>
      <c r="E23" s="2957"/>
      <c r="F23" s="2949"/>
      <c r="G23" s="293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3.8"/>
  <cols>
    <col min="1" max="1" width="10.33203125" style="1132" customWidth="1"/>
    <col min="2" max="2" width="18.88671875" style="1110"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10" customWidth="1"/>
    <col min="25" max="25" width="7.21875" style="1110" customWidth="1"/>
    <col min="26" max="16384" width="9" style="1110"/>
  </cols>
  <sheetData>
    <row r="1" spans="1:23" s="1131" customFormat="1" ht="28.8">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2263</v>
      </c>
      <c r="R1" s="2355" t="s">
        <v>2257</v>
      </c>
      <c r="S1" s="6" t="s">
        <v>146</v>
      </c>
      <c r="T1" s="7" t="s">
        <v>147</v>
      </c>
      <c r="U1" s="6" t="s">
        <v>148</v>
      </c>
      <c r="V1" s="6" t="s">
        <v>149</v>
      </c>
      <c r="W1" s="975" t="s">
        <v>853</v>
      </c>
    </row>
    <row r="2" spans="1:23" ht="14.4">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ht="14.4">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ht="14.4">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ht="14.4">
      <c r="A5" s="8" t="s">
        <v>94</v>
      </c>
      <c r="B5" s="8" t="s">
        <v>153</v>
      </c>
      <c r="C5" s="1446"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ht="14.4">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ht="14.4">
      <c r="A7" s="8" t="s">
        <v>102</v>
      </c>
      <c r="B7" s="8" t="s">
        <v>103</v>
      </c>
      <c r="C7" s="1446" t="s">
        <v>1514</v>
      </c>
      <c r="F7" s="9" t="s">
        <v>154</v>
      </c>
      <c r="H7" s="9" t="s">
        <v>104</v>
      </c>
      <c r="I7" s="9" t="s">
        <v>105</v>
      </c>
    </row>
    <row r="8" spans="1:23" ht="14.4">
      <c r="A8" s="8" t="s">
        <v>106</v>
      </c>
      <c r="B8" s="8" t="s">
        <v>107</v>
      </c>
      <c r="C8" s="1446" t="s">
        <v>1515</v>
      </c>
      <c r="F8" s="9" t="s">
        <v>155</v>
      </c>
      <c r="H8" s="9"/>
      <c r="I8" s="9" t="s">
        <v>108</v>
      </c>
    </row>
    <row r="9" spans="1:23" ht="14.4">
      <c r="A9" s="8" t="s">
        <v>109</v>
      </c>
      <c r="B9" s="8" t="s">
        <v>156</v>
      </c>
      <c r="C9" s="1446" t="s">
        <v>1516</v>
      </c>
      <c r="F9" s="9" t="s">
        <v>110</v>
      </c>
      <c r="H9" s="9"/>
    </row>
    <row r="10" spans="1:23" ht="14.4">
      <c r="A10" s="8" t="s">
        <v>111</v>
      </c>
      <c r="B10" s="8" t="s">
        <v>157</v>
      </c>
      <c r="C10" s="1446" t="s">
        <v>1517</v>
      </c>
      <c r="F10" s="9" t="s">
        <v>6</v>
      </c>
    </row>
    <row r="11" spans="1:23" ht="14.4">
      <c r="A11" s="8" t="s">
        <v>112</v>
      </c>
      <c r="B11" s="8" t="s">
        <v>158</v>
      </c>
      <c r="C11" s="1446" t="s">
        <v>1518</v>
      </c>
    </row>
    <row r="12" spans="1:23" ht="14.4">
      <c r="A12" s="8" t="s">
        <v>113</v>
      </c>
      <c r="B12" s="8" t="s">
        <v>159</v>
      </c>
      <c r="C12" s="1446" t="s">
        <v>1519</v>
      </c>
    </row>
    <row r="13" spans="1:23" ht="14.4">
      <c r="A13" s="8" t="s">
        <v>114</v>
      </c>
      <c r="B13" s="8" t="s">
        <v>160</v>
      </c>
      <c r="C13" s="1446" t="s">
        <v>1520</v>
      </c>
    </row>
    <row r="14" spans="1:23" ht="14.4">
      <c r="A14" s="8" t="s">
        <v>115</v>
      </c>
      <c r="B14" s="8" t="s">
        <v>161</v>
      </c>
      <c r="C14" s="1449" t="s">
        <v>1692</v>
      </c>
    </row>
    <row r="15" spans="1:23" ht="14.4">
      <c r="A15" s="8" t="s">
        <v>116</v>
      </c>
      <c r="B15" s="8" t="s">
        <v>1481</v>
      </c>
      <c r="C15" s="1449"/>
    </row>
    <row r="16" spans="1:23" ht="14.4">
      <c r="A16" s="8" t="s">
        <v>117</v>
      </c>
      <c r="B16" s="8" t="s">
        <v>1482</v>
      </c>
      <c r="C16" s="1449"/>
    </row>
    <row r="17" spans="1:3" ht="14.4">
      <c r="A17" s="8" t="s">
        <v>118</v>
      </c>
      <c r="B17" s="8" t="s">
        <v>1483</v>
      </c>
      <c r="C17" s="1449"/>
    </row>
    <row r="18" spans="1:3" ht="14.4">
      <c r="A18" s="8" t="s">
        <v>119</v>
      </c>
      <c r="B18" s="2711" t="s">
        <v>2655</v>
      </c>
      <c r="C18" s="1449"/>
    </row>
    <row r="19" spans="1:3" ht="14.4">
      <c r="A19" s="8" t="s">
        <v>120</v>
      </c>
      <c r="B19" s="2711" t="s">
        <v>2662</v>
      </c>
      <c r="C19" s="1449"/>
    </row>
    <row r="20" spans="1:3" ht="14.4">
      <c r="A20" s="8" t="s">
        <v>121</v>
      </c>
      <c r="B20" s="2711" t="s">
        <v>2704</v>
      </c>
      <c r="C20" s="1449"/>
    </row>
    <row r="21" spans="1:3" ht="14.4">
      <c r="A21" s="8" t="s">
        <v>122</v>
      </c>
      <c r="B21" s="8" t="s">
        <v>2885</v>
      </c>
      <c r="C21" s="1449"/>
    </row>
    <row r="22" spans="1:3" ht="14.4">
      <c r="A22" s="8" t="s">
        <v>123</v>
      </c>
      <c r="B22" s="8" t="s">
        <v>1442</v>
      </c>
      <c r="C22" s="1449"/>
    </row>
    <row r="23" spans="1:3" ht="14.4">
      <c r="A23" s="8" t="s">
        <v>124</v>
      </c>
      <c r="B23" s="8" t="s">
        <v>1442</v>
      </c>
      <c r="C23" s="1449"/>
    </row>
    <row r="24" spans="1:3">
      <c r="A24" s="8" t="s">
        <v>12</v>
      </c>
      <c r="B24" s="8" t="s">
        <v>1442</v>
      </c>
      <c r="C24" s="1449"/>
    </row>
    <row r="25" spans="1:3" ht="14.4">
      <c r="A25" s="8" t="s">
        <v>125</v>
      </c>
      <c r="B25" s="8" t="s">
        <v>1442</v>
      </c>
      <c r="C25" s="1449"/>
    </row>
    <row r="26" spans="1:3" ht="14.4">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9" t="s">
        <v>1734</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41"/>
    </row>
    <row r="52" spans="1:5">
      <c r="A52" s="1639" t="s">
        <v>1778</v>
      </c>
      <c r="B52" s="1642" t="s">
        <v>1779</v>
      </c>
      <c r="C52" s="1640" t="s">
        <v>1780</v>
      </c>
      <c r="D52" s="1640" t="s">
        <v>1781</v>
      </c>
      <c r="E52" s="1641"/>
    </row>
    <row r="53" spans="1:5">
      <c r="A53" s="3478" t="s">
        <v>1782</v>
      </c>
      <c r="B53" s="1640" t="s">
        <v>1788</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41"/>
      <c r="E53" s="1641"/>
    </row>
    <row r="54" spans="1:5">
      <c r="A54" s="3478"/>
      <c r="B54" s="1640" t="s">
        <v>1789</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41"/>
      <c r="E54" s="1641"/>
    </row>
    <row r="55" spans="1:5">
      <c r="A55" s="3478"/>
      <c r="B55" s="1640" t="s">
        <v>1783</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41"/>
      <c r="E55" s="1641"/>
    </row>
    <row r="56" spans="1:5">
      <c r="A56" s="3478"/>
      <c r="B56" s="1640" t="s">
        <v>1784</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41"/>
      <c r="E56" s="1641"/>
    </row>
    <row r="57" spans="1:5">
      <c r="A57" s="3478"/>
      <c r="B57" s="1640" t="s">
        <v>1785</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ht="14.4">
      <c r="A58" s="1643" t="s">
        <v>1841</v>
      </c>
      <c r="B58" s="1640"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152</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2022-08-22T02:25:01Z</dcterms:modified>
</cp:coreProperties>
</file>