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6435" windowWidth="28800" windowHeight="6975"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4" i="65" l="1"/>
  <c r="F14" i="65"/>
  <c r="E14" i="65"/>
  <c r="AO36" i="70" l="1"/>
  <c r="AO37" i="70" s="1"/>
  <c r="AO38" i="70" s="1"/>
  <c r="AO39" i="70" s="1"/>
  <c r="AO40" i="70" s="1"/>
  <c r="AO41" i="70" s="1"/>
  <c r="AO42" i="70" s="1"/>
  <c r="AO43" i="70" s="1"/>
  <c r="AO44" i="70" s="1"/>
  <c r="AO45" i="70" s="1"/>
  <c r="AO46" i="70" s="1"/>
  <c r="AO47" i="70" s="1"/>
  <c r="AO48" i="70" s="1"/>
  <c r="AO49" i="70" s="1"/>
  <c r="AO50" i="70" s="1"/>
  <c r="AO51" i="70" s="1"/>
  <c r="AO52" i="70" s="1"/>
  <c r="AR35" i="70"/>
  <c r="AR36" i="70" s="1"/>
  <c r="AP35" i="70"/>
  <c r="AP36" i="70" s="1"/>
  <c r="AP37" i="70" s="1"/>
  <c r="AP38" i="70" s="1"/>
  <c r="AP39" i="70" s="1"/>
  <c r="AP40" i="70" s="1"/>
  <c r="AP41" i="70" s="1"/>
  <c r="AP42" i="70" s="1"/>
  <c r="AP43" i="70" s="1"/>
  <c r="AP44" i="70" s="1"/>
  <c r="AP45" i="70" s="1"/>
  <c r="AP46" i="70" s="1"/>
  <c r="AP47" i="70" s="1"/>
  <c r="AP48" i="70" s="1"/>
  <c r="AP49" i="70" s="1"/>
  <c r="AP50" i="70" s="1"/>
  <c r="AP51" i="70" s="1"/>
  <c r="AP52" i="70" s="1"/>
  <c r="AO35" i="70"/>
  <c r="AN35" i="70"/>
  <c r="AN36" i="70" s="1"/>
  <c r="AN37" i="70" s="1"/>
  <c r="AN38" i="70" s="1"/>
  <c r="AN39" i="70" s="1"/>
  <c r="AN40" i="70" s="1"/>
  <c r="AN41" i="70" s="1"/>
  <c r="AN42" i="70" s="1"/>
  <c r="AN43" i="70" s="1"/>
  <c r="AN44" i="70" s="1"/>
  <c r="AN45" i="70" s="1"/>
  <c r="AN46" i="70" s="1"/>
  <c r="AN47" i="70" s="1"/>
  <c r="AN48" i="70" s="1"/>
  <c r="AN49" i="70" s="1"/>
  <c r="AN50" i="70" s="1"/>
  <c r="AN51" i="70" s="1"/>
  <c r="AN52" i="70" s="1"/>
  <c r="AR34" i="70"/>
  <c r="AP34" i="70"/>
  <c r="AO34" i="70"/>
  <c r="AN34" i="70"/>
  <c r="AR6"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R7" i="70"/>
  <c r="AR8" i="70" s="1"/>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D37" i="70" s="1"/>
  <c r="AC8" i="70"/>
  <c r="AB8" i="70"/>
  <c r="AA8" i="70"/>
  <c r="AD8" i="70" s="1"/>
  <c r="Z8" i="70"/>
  <c r="Y8" i="70"/>
  <c r="O8" i="70"/>
  <c r="N8" i="70"/>
  <c r="M8" i="70"/>
  <c r="P8" i="70" s="1"/>
  <c r="L8" i="70"/>
  <c r="K8" i="70"/>
  <c r="I8" i="70"/>
  <c r="AR9" i="70" s="1"/>
  <c r="AR10" i="70" s="1"/>
  <c r="AR11" i="70" s="1"/>
  <c r="AR12" i="70" s="1"/>
  <c r="AR13" i="70" s="1"/>
  <c r="AR14" i="70" s="1"/>
  <c r="AR15" i="70" s="1"/>
  <c r="AR16" i="70" s="1"/>
  <c r="AR17" i="70" s="1"/>
  <c r="AR18" i="70" s="1"/>
  <c r="AR19" i="70" s="1"/>
  <c r="AR20" i="70" s="1"/>
  <c r="AR21" i="70" s="1"/>
  <c r="AR22" i="70" s="1"/>
  <c r="AR23" i="70" s="1"/>
  <c r="AR24" i="70" s="1"/>
  <c r="AC9" i="70"/>
  <c r="AB9" i="70"/>
  <c r="AA9" i="70"/>
  <c r="AD9" i="70" s="1"/>
  <c r="Z9" i="70"/>
  <c r="Y9" i="70"/>
  <c r="O9" i="70"/>
  <c r="N9" i="70"/>
  <c r="M9" i="70"/>
  <c r="P9" i="70" s="1"/>
  <c r="L9" i="70"/>
  <c r="K9" i="70"/>
  <c r="I9" i="70"/>
  <c r="AD36" i="70" l="1"/>
  <c r="AR37" i="70"/>
  <c r="AR38" i="70" s="1"/>
  <c r="AR39" i="70" s="1"/>
  <c r="AR40" i="70" s="1"/>
  <c r="AR41" i="70" s="1"/>
  <c r="AR42" i="70" s="1"/>
  <c r="AR43" i="70" s="1"/>
  <c r="AR44" i="70" s="1"/>
  <c r="AR45" i="70" s="1"/>
  <c r="AR46" i="70" s="1"/>
  <c r="AR47" i="70" s="1"/>
  <c r="AR48" i="70" s="1"/>
  <c r="AR49" i="70" s="1"/>
  <c r="AR50" i="70" s="1"/>
  <c r="AR51" i="70" s="1"/>
  <c r="AR52" i="70" s="1"/>
  <c r="P37" i="70"/>
  <c r="T34" i="70"/>
  <c r="T33" i="70"/>
  <c r="T35" i="70"/>
  <c r="U35" i="70"/>
  <c r="AI35" i="70" s="1"/>
  <c r="U33" i="70"/>
  <c r="AI33" i="70" s="1"/>
  <c r="U34" i="70"/>
  <c r="AI34" i="70" s="1"/>
  <c r="S35" i="70"/>
  <c r="AG35" i="70" s="1"/>
  <c r="S33" i="70"/>
  <c r="AG33" i="70" s="1"/>
  <c r="S34" i="70"/>
  <c r="AG34" i="70" s="1"/>
  <c r="G16" i="65"/>
  <c r="F16" i="65"/>
  <c r="E16" i="65"/>
  <c r="G13" i="65"/>
  <c r="F13" i="65"/>
  <c r="E13" i="65"/>
  <c r="G17" i="65"/>
  <c r="F17" i="65"/>
  <c r="E17" i="65"/>
  <c r="W34" i="70" l="1"/>
  <c r="AK34" i="70" s="1"/>
  <c r="AH34" i="70"/>
  <c r="W35" i="70"/>
  <c r="AK35" i="70" s="1"/>
  <c r="AH35" i="70"/>
  <c r="W33" i="70"/>
  <c r="AK33" i="70" s="1"/>
  <c r="AH33" i="70"/>
  <c r="AB38" i="70"/>
  <c r="AA38" i="70"/>
  <c r="Z38" i="70"/>
  <c r="N38" i="70"/>
  <c r="M38" i="70"/>
  <c r="P38" i="70" s="1"/>
  <c r="L38" i="70"/>
  <c r="I38" i="70"/>
  <c r="AD38" i="70" s="1"/>
  <c r="AC10" i="70"/>
  <c r="AB10" i="70"/>
  <c r="AA10" i="70"/>
  <c r="AD10" i="70" s="1"/>
  <c r="Z10" i="70"/>
  <c r="Y10" i="70"/>
  <c r="O10" i="70"/>
  <c r="N10" i="70"/>
  <c r="M10" i="70"/>
  <c r="P10" i="70" s="1"/>
  <c r="L10" i="70"/>
  <c r="K10" i="70"/>
  <c r="I10" i="70"/>
  <c r="AB40" i="70" l="1"/>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AD39" i="70" s="1"/>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6" i="70" l="1"/>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C23" i="46"/>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C18" i="69" s="1"/>
  <c r="D7" i="69"/>
  <c r="D6" i="69"/>
  <c r="D5" i="69"/>
  <c r="G24" i="69" l="1"/>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H61" i="46" s="1"/>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36" i="15"/>
  <c r="F9" i="44"/>
  <c r="I5" i="65"/>
  <c r="L47" i="15"/>
  <c r="F40" i="44"/>
  <c r="M31" i="44"/>
  <c r="F11" i="67"/>
  <c r="F38" i="15"/>
  <c r="M25" i="44"/>
  <c r="M26" i="44"/>
  <c r="M28" i="44"/>
  <c r="E9" i="67"/>
  <c r="F26" i="15"/>
  <c r="F9" i="67"/>
  <c r="C21" i="9"/>
  <c r="J6" i="65"/>
  <c r="D21" i="9"/>
  <c r="F6" i="15"/>
  <c r="E8" i="67"/>
  <c r="M11" i="44"/>
  <c r="B14" i="67"/>
  <c r="M8" i="44"/>
  <c r="F40" i="15"/>
  <c r="B9" i="67"/>
  <c r="J7" i="65"/>
  <c r="L48" i="15"/>
  <c r="F37" i="15"/>
  <c r="F7" i="15"/>
  <c r="F11" i="44"/>
  <c r="E14" i="67"/>
  <c r="N7" i="65"/>
  <c r="N6" i="65"/>
  <c r="M30" i="44"/>
  <c r="F45" i="44"/>
  <c r="B10" i="67"/>
  <c r="E10" i="67"/>
  <c r="F10" i="44"/>
  <c r="F38" i="44"/>
  <c r="F8" i="44"/>
  <c r="I7" i="65"/>
  <c r="D19" i="9"/>
  <c r="F16" i="15"/>
  <c r="F43" i="44"/>
  <c r="F8" i="67"/>
  <c r="B12" i="67"/>
  <c r="M26" i="15"/>
  <c r="C20" i="9"/>
  <c r="L49" i="44"/>
  <c r="F10" i="67"/>
  <c r="J4" i="65"/>
  <c r="M6" i="15"/>
  <c r="F42" i="15"/>
  <c r="F12" i="67"/>
  <c r="I6" i="65"/>
  <c r="J17" i="44"/>
  <c r="E12" i="67"/>
  <c r="F9" i="15"/>
  <c r="M10" i="44"/>
  <c r="B8" i="67"/>
  <c r="M23" i="15"/>
  <c r="M24" i="44"/>
  <c r="I3" i="65"/>
  <c r="D20" i="9"/>
  <c r="F14" i="67"/>
  <c r="B11" i="67"/>
  <c r="J3" i="65"/>
  <c r="M9" i="15"/>
  <c r="L48" i="44"/>
  <c r="F39" i="44"/>
  <c r="N4" i="65"/>
  <c r="J36" i="15"/>
  <c r="F15" i="44"/>
  <c r="M8" i="15"/>
  <c r="B13" i="67"/>
  <c r="J5" i="65"/>
  <c r="C19" i="9"/>
  <c r="I4" i="65"/>
  <c r="M28" i="15"/>
  <c r="M22" i="15"/>
  <c r="N3" i="65"/>
  <c r="E13" i="67"/>
  <c r="M29" i="15"/>
  <c r="F18" i="44"/>
  <c r="E11" i="67"/>
  <c r="F43" i="15"/>
  <c r="F13" i="67"/>
  <c r="F8" i="15"/>
  <c r="F13" i="15"/>
  <c r="N5" i="65"/>
  <c r="M24" i="15"/>
  <c r="F28" i="44"/>
  <c r="J15" i="15"/>
  <c r="F10" i="1" l="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K17" i="4" l="1"/>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S7" i="34" l="1"/>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9" i="44"/>
  <c r="M27" i="15"/>
  <c r="G54" i="34" l="1"/>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C17" i="15"/>
  <c r="F7" i="67"/>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4" i="15"/>
  <c r="F35" i="15"/>
  <c r="F37" i="44"/>
  <c r="M23" i="44"/>
  <c r="M21" i="15"/>
  <c r="C16"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<sst xmlns="http://schemas.openxmlformats.org/spreadsheetml/2006/main" count="7366" uniqueCount="3318">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</sst>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286"/>
    <col min="9" max="18" width="9.625" style="3286" customWidth="1"/>
    <col min="19" max="16384" width="15.25" style="3286"/>
  </cols>
  <sheetData>
    <row r="1" spans="1:18">
      <c r="A1" s="3283" t="s">
        <v>2673</v>
      </c>
      <c r="B1" s="3284"/>
      <c r="C1" s="3284"/>
      <c r="D1" s="3284"/>
      <c r="E1" s="3284"/>
      <c r="F1" s="3285"/>
      <c r="I1" s="3305" t="s">
        <v>3286</v>
      </c>
      <c r="J1" s="3672"/>
      <c r="K1" s="3672"/>
      <c r="L1" s="3672"/>
      <c r="M1" s="3672"/>
      <c r="N1" s="3673"/>
      <c r="O1" s="3673"/>
      <c r="P1" s="3673"/>
      <c r="Q1" s="3673"/>
      <c r="R1" s="3673"/>
    </row>
    <row r="2" spans="1:18">
      <c r="A2" s="3287"/>
      <c r="B2" s="3288"/>
      <c r="C2" s="3288"/>
      <c r="D2" s="3288"/>
      <c r="E2" s="3288"/>
      <c r="F2" s="3289"/>
      <c r="I2" s="3713" t="s">
        <v>3287</v>
      </c>
      <c r="J2" s="3713"/>
      <c r="K2" s="3713"/>
      <c r="L2" s="3713"/>
      <c r="M2" s="3713"/>
      <c r="N2" s="3713"/>
      <c r="O2" s="3713"/>
      <c r="P2" s="3713"/>
      <c r="Q2" s="3713"/>
      <c r="R2" s="3713"/>
    </row>
    <row r="3" spans="1:18">
      <c r="A3" s="3290" t="s">
        <v>2674</v>
      </c>
      <c r="B3" s="3291">
        <f>项目基本情况!D3</f>
        <v>0</v>
      </c>
      <c r="C3" s="3292"/>
      <c r="D3" s="3292"/>
      <c r="E3" s="3292"/>
      <c r="F3" s="3289"/>
      <c r="I3" s="3674"/>
      <c r="J3" s="3674" t="s">
        <v>3288</v>
      </c>
      <c r="K3" s="3674" t="s">
        <v>3289</v>
      </c>
      <c r="L3" s="3674" t="s">
        <v>3290</v>
      </c>
      <c r="M3" s="3674" t="s">
        <v>3291</v>
      </c>
      <c r="N3" s="3667" t="s">
        <v>3292</v>
      </c>
      <c r="O3" s="3667" t="s">
        <v>3293</v>
      </c>
      <c r="P3" s="3667" t="s">
        <v>3294</v>
      </c>
      <c r="Q3" s="3667" t="s">
        <v>3295</v>
      </c>
      <c r="R3" s="3667" t="s">
        <v>3284</v>
      </c>
    </row>
    <row r="4" spans="1:18">
      <c r="A4" s="3290" t="s">
        <v>2675</v>
      </c>
      <c r="B4" s="3293" t="s">
        <v>2676</v>
      </c>
      <c r="C4" s="3293" t="s">
        <v>2677</v>
      </c>
      <c r="D4" s="3293" t="s">
        <v>2678</v>
      </c>
      <c r="E4" s="3293" t="s">
        <v>2679</v>
      </c>
      <c r="F4" s="3289"/>
      <c r="I4" s="3674" t="s">
        <v>3296</v>
      </c>
      <c r="J4" s="3674">
        <v>80</v>
      </c>
      <c r="K4" s="3674">
        <v>70</v>
      </c>
      <c r="L4" s="3674">
        <v>20</v>
      </c>
      <c r="M4" s="3674">
        <v>30</v>
      </c>
      <c r="N4" s="3293">
        <v>45</v>
      </c>
      <c r="O4" s="3293">
        <v>60</v>
      </c>
      <c r="P4" s="3293">
        <v>50</v>
      </c>
      <c r="Q4" s="3293">
        <v>20</v>
      </c>
      <c r="R4" s="3293">
        <v>375</v>
      </c>
    </row>
    <row r="5" spans="1:18">
      <c r="A5" s="3294"/>
      <c r="B5" s="3291"/>
      <c r="C5" s="3293">
        <f>ROUNDDOWN(MIN((B5-B3)/365,A5),2)</f>
        <v>0</v>
      </c>
      <c r="D5" s="3295">
        <f>IF(ISERROR(ROUND(POWER(1+E5,A5-C5)*(POWER(1+E5,C5)-1)/(POWER(1+E5,A5)-1),3)),0,ROUND(POWER(1+E5,A5-C5)*(POWER(1+E5,C5)-1)/(POWER(1+E5,A5)-1),4))</f>
        <v>0</v>
      </c>
      <c r="E5" s="3296"/>
      <c r="F5" s="3289"/>
      <c r="I5" s="3674" t="s">
        <v>3297</v>
      </c>
      <c r="J5" s="3674">
        <v>70</v>
      </c>
      <c r="K5" s="3674">
        <v>60</v>
      </c>
      <c r="L5" s="3674">
        <v>15</v>
      </c>
      <c r="M5" s="3674">
        <v>25</v>
      </c>
      <c r="N5" s="3293">
        <v>40</v>
      </c>
      <c r="O5" s="3293">
        <v>50</v>
      </c>
      <c r="P5" s="3293">
        <v>40</v>
      </c>
      <c r="Q5" s="3293">
        <v>15</v>
      </c>
      <c r="R5" s="3293">
        <v>315</v>
      </c>
    </row>
    <row r="6" spans="1:18">
      <c r="A6" s="3294"/>
      <c r="B6" s="3291"/>
      <c r="C6" s="3293">
        <f>ROUNDDOWN(MIN((B6-B3)/365,A6),2)</f>
        <v>0</v>
      </c>
      <c r="D6" s="3295">
        <f>IF(ISERROR(ROUND(POWER(1+E6,A6-C6)*(POWER(1+E6,C6)-1)/(POWER(1+E6,A6)-1),3)),0,ROUND(POWER(1+E6,A6-C6)*(POWER(1+E6,C6)-1)/(POWER(1+E6,A6)-1),4))</f>
        <v>0</v>
      </c>
      <c r="E6" s="3296"/>
      <c r="F6" s="3289"/>
      <c r="I6" s="3674" t="s">
        <v>3298</v>
      </c>
      <c r="J6" s="3674">
        <v>60</v>
      </c>
      <c r="K6" s="3674">
        <v>50</v>
      </c>
      <c r="L6" s="3674">
        <v>10</v>
      </c>
      <c r="M6" s="3674">
        <v>20</v>
      </c>
      <c r="N6" s="3293">
        <v>35</v>
      </c>
      <c r="O6" s="3293">
        <v>40</v>
      </c>
      <c r="P6" s="3293">
        <v>30</v>
      </c>
      <c r="Q6" s="3293">
        <v>10</v>
      </c>
      <c r="R6" s="3293">
        <v>255</v>
      </c>
    </row>
    <row r="7" spans="1:18">
      <c r="A7" s="3294"/>
      <c r="B7" s="3291"/>
      <c r="C7" s="3293">
        <f>ROUNDDOWN(MIN((B7-B3)/365,A7),2)</f>
        <v>0</v>
      </c>
      <c r="D7" s="3295">
        <f>IF(ISERROR(ROUND(POWER(1+E7,A7-C7)*(POWER(1+E7,C7)-1)/(POWER(1+E7,A7)-1),3)),0,ROUND(POWER(1+E7,A7-C7)*(POWER(1+E7,C7)-1)/(POWER(1+E7,A7)-1),4))</f>
        <v>0</v>
      </c>
      <c r="E7" s="3296"/>
      <c r="F7" s="3289"/>
    </row>
    <row r="8" spans="1:18">
      <c r="A8" s="3287"/>
      <c r="B8" s="3288"/>
      <c r="C8" s="3288"/>
      <c r="D8" s="3288"/>
      <c r="E8" s="3288"/>
      <c r="F8" s="3289"/>
    </row>
    <row r="9" spans="1:18">
      <c r="A9" s="3290" t="s">
        <v>2680</v>
      </c>
      <c r="B9" s="3293"/>
      <c r="C9" s="3293"/>
      <c r="D9" s="3293"/>
      <c r="E9" s="3293"/>
      <c r="F9" s="3297"/>
    </row>
    <row r="10" spans="1:18">
      <c r="A10" s="3290" t="s">
        <v>2681</v>
      </c>
      <c r="B10" s="3293"/>
      <c r="C10" s="3293"/>
      <c r="D10" s="3293" t="s">
        <v>2679</v>
      </c>
      <c r="E10" s="3293"/>
      <c r="F10" s="3297" t="s">
        <v>2678</v>
      </c>
    </row>
    <row r="11" spans="1:18">
      <c r="A11" s="3290" t="s">
        <v>2682</v>
      </c>
      <c r="B11" s="3298"/>
      <c r="C11" s="3293" t="s">
        <v>2683</v>
      </c>
      <c r="D11" s="3299"/>
      <c r="E11" s="3293" t="s">
        <v>2684</v>
      </c>
      <c r="F11" s="3300">
        <f>ROUND(1-(1/(POWER(1+D11,B11))),4)</f>
        <v>0</v>
      </c>
    </row>
    <row r="12" spans="1:18">
      <c r="A12" s="3290" t="s">
        <v>2685</v>
      </c>
      <c r="B12" s="3298"/>
      <c r="C12" s="3293" t="s">
        <v>2686</v>
      </c>
      <c r="D12" s="3299"/>
      <c r="E12" s="3293" t="s">
        <v>2687</v>
      </c>
      <c r="F12" s="3300">
        <f>ROUND(1-(1/(POWER(1+D12,B12))),4)</f>
        <v>0</v>
      </c>
    </row>
    <row r="13" spans="1:18">
      <c r="A13" s="3290" t="s">
        <v>2688</v>
      </c>
      <c r="B13" s="3293"/>
      <c r="C13" s="3292"/>
      <c r="D13" s="3288"/>
      <c r="E13" s="3288"/>
      <c r="F13" s="3289"/>
    </row>
    <row r="14" spans="1:18">
      <c r="A14" s="3290" t="s">
        <v>2689</v>
      </c>
      <c r="B14" s="3298"/>
      <c r="C14" s="3292"/>
      <c r="D14" s="3288"/>
      <c r="E14" s="3288"/>
      <c r="F14" s="3289"/>
    </row>
    <row r="15" spans="1:18">
      <c r="A15" s="3290" t="s">
        <v>2690</v>
      </c>
      <c r="B15" s="3293" t="e">
        <f>ROUND(B14*F12/F11,2)</f>
        <v>#DIV/0!</v>
      </c>
      <c r="C15" s="3293" t="e">
        <f>ROUND(F12/F11,4)</f>
        <v>#DIV/0!</v>
      </c>
      <c r="D15" s="3288"/>
      <c r="E15" s="3288"/>
      <c r="F15" s="3289"/>
    </row>
    <row r="16" spans="1:18">
      <c r="A16" s="3290" t="s">
        <v>2691</v>
      </c>
      <c r="B16" s="3293"/>
      <c r="C16" s="3292"/>
      <c r="D16" s="3288"/>
      <c r="E16" s="3288"/>
      <c r="F16" s="3289"/>
    </row>
    <row r="17" spans="1:14">
      <c r="A17" s="3290" t="s">
        <v>2690</v>
      </c>
      <c r="B17" s="3299"/>
      <c r="C17" s="3292"/>
      <c r="D17" s="3288"/>
      <c r="E17" s="3288"/>
      <c r="F17" s="3289"/>
    </row>
    <row r="18" spans="1:14" ht="14.25" thickBot="1">
      <c r="A18" s="3301" t="s">
        <v>2689</v>
      </c>
      <c r="B18" s="3302" t="e">
        <f>ROUND(B17*F11/F12,2)</f>
        <v>#DIV/0!</v>
      </c>
      <c r="C18" s="3302" t="e">
        <f>ROUND(F11/F12,4)</f>
        <v>#DIV/0!</v>
      </c>
      <c r="D18" s="3303"/>
      <c r="E18" s="3303"/>
      <c r="F18" s="3304"/>
    </row>
    <row r="19" spans="1:14" ht="14.25" thickBot="1"/>
    <row r="20" spans="1:14" ht="14.25" thickTop="1">
      <c r="A20" s="3305" t="s">
        <v>2692</v>
      </c>
      <c r="B20" s="3306"/>
      <c r="C20" s="3306"/>
      <c r="D20" s="3306"/>
      <c r="E20" s="3306"/>
      <c r="F20" s="3306"/>
      <c r="G20" s="3307"/>
      <c r="I20" s="3675" t="s">
        <v>3299</v>
      </c>
      <c r="J20" s="3675" t="s">
        <v>3300</v>
      </c>
      <c r="K20" s="3675"/>
      <c r="L20" s="3675"/>
      <c r="M20" s="3675"/>
      <c r="N20" s="3676"/>
    </row>
    <row r="21" spans="1:14">
      <c r="A21" s="3308"/>
      <c r="B21" s="3309" t="s">
        <v>2693</v>
      </c>
      <c r="C21" s="3309" t="s">
        <v>2694</v>
      </c>
      <c r="D21" s="3309" t="s">
        <v>2695</v>
      </c>
      <c r="E21" s="3309" t="s">
        <v>2696</v>
      </c>
      <c r="F21" s="3309" t="s">
        <v>2697</v>
      </c>
      <c r="G21" s="3310" t="s">
        <v>2698</v>
      </c>
      <c r="I21" s="3677">
        <v>5</v>
      </c>
      <c r="J21" s="3677">
        <v>54.2</v>
      </c>
      <c r="K21" s="3677"/>
      <c r="L21" s="3677"/>
      <c r="M21" s="3677"/>
    </row>
    <row r="22" spans="1:14">
      <c r="A22" s="3308" t="s">
        <v>2699</v>
      </c>
      <c r="B22" s="3311">
        <v>50</v>
      </c>
      <c r="C22" s="3311">
        <v>32</v>
      </c>
      <c r="D22" s="3312">
        <v>0.05</v>
      </c>
      <c r="E22" s="3309">
        <f>ROUND(POWER(1+D22,B22-C22)*(POWER(1+D22,C22)-1)/(POWER(1+D22,B22)-1),3)</f>
        <v>0.86599999999999999</v>
      </c>
      <c r="F22" s="3312">
        <v>0.6</v>
      </c>
      <c r="G22" s="3310">
        <f>ROUND(100*(1-(1-E22)*F22),1)</f>
        <v>92</v>
      </c>
      <c r="I22" s="3677">
        <v>10</v>
      </c>
      <c r="J22" s="3677">
        <v>65.400000000000006</v>
      </c>
      <c r="K22" s="3677">
        <f>J22-J21</f>
        <v>11.200000000000003</v>
      </c>
      <c r="L22" s="3677"/>
      <c r="M22" s="3677"/>
    </row>
    <row r="23" spans="1:14">
      <c r="A23" s="3313" t="s">
        <v>2700</v>
      </c>
      <c r="B23" s="3311">
        <v>50</v>
      </c>
      <c r="C23" s="3311">
        <v>35</v>
      </c>
      <c r="D23" s="3312">
        <v>0.05</v>
      </c>
      <c r="E23" s="3309">
        <f>ROUND(POWER(1+D23,B23-C23)*(POWER(1+D23,C23)-1)/(POWER(1+D23,B23)-1),3)</f>
        <v>0.89700000000000002</v>
      </c>
      <c r="F23" s="3312">
        <f>F22</f>
        <v>0.6</v>
      </c>
      <c r="G23" s="3310">
        <f>ROUND(100*(1-(1-E23)*F23),1)</f>
        <v>93.8</v>
      </c>
      <c r="I23" s="3677">
        <v>15</v>
      </c>
      <c r="J23" s="3677">
        <v>74.099999999999994</v>
      </c>
      <c r="K23" s="3677">
        <f t="shared" ref="K23:K30" si="0">J23-J22</f>
        <v>8.6999999999999886</v>
      </c>
      <c r="L23" s="3677" t="s">
        <v>3301</v>
      </c>
      <c r="M23" s="3677"/>
      <c r="N23" s="3678" t="s">
        <v>3302</v>
      </c>
    </row>
    <row r="24" spans="1:14">
      <c r="A24" s="3313" t="s">
        <v>2701</v>
      </c>
      <c r="B24" s="3311">
        <v>50</v>
      </c>
      <c r="C24" s="3311">
        <v>25</v>
      </c>
      <c r="D24" s="3312">
        <v>0.05</v>
      </c>
      <c r="E24" s="3309">
        <f>ROUND(POWER(1+D24,B24-C24)*(POWER(1+D24,C24)-1)/(POWER(1+D24,B24)-1),3)</f>
        <v>0.77200000000000002</v>
      </c>
      <c r="F24" s="3312">
        <f>F23</f>
        <v>0.6</v>
      </c>
      <c r="G24" s="3310">
        <f>ROUND(100*(1-(1-E24)*F24),1)</f>
        <v>86.3</v>
      </c>
      <c r="I24" s="3677">
        <v>20</v>
      </c>
      <c r="J24" s="3677">
        <v>81</v>
      </c>
      <c r="K24" s="3677">
        <f t="shared" si="0"/>
        <v>6.9000000000000057</v>
      </c>
      <c r="L24" s="3677" t="s">
        <v>3303</v>
      </c>
      <c r="M24" s="3677"/>
      <c r="N24" s="3678">
        <v>10</v>
      </c>
    </row>
    <row r="25" spans="1:14">
      <c r="A25" s="3313" t="s">
        <v>2702</v>
      </c>
      <c r="B25" s="3311">
        <v>50</v>
      </c>
      <c r="C25" s="3311">
        <v>40</v>
      </c>
      <c r="D25" s="3312">
        <v>0.05</v>
      </c>
      <c r="E25" s="3309">
        <f>ROUND(POWER(1+D25,B25-C25)*(POWER(1+D25,C25)-1)/(POWER(1+D25,B25)-1),3)</f>
        <v>0.94</v>
      </c>
      <c r="F25" s="3312">
        <f>F24</f>
        <v>0.6</v>
      </c>
      <c r="G25" s="3310">
        <f>ROUND(100*(1-(1-E25)*F25),1)</f>
        <v>96.4</v>
      </c>
      <c r="I25" s="3677">
        <v>25</v>
      </c>
      <c r="J25" s="3677">
        <v>86.3</v>
      </c>
      <c r="K25" s="3677">
        <f t="shared" si="0"/>
        <v>5.2999999999999972</v>
      </c>
      <c r="L25" s="3677" t="s">
        <v>3304</v>
      </c>
      <c r="M25" s="3677"/>
      <c r="N25" s="3678">
        <v>8</v>
      </c>
    </row>
    <row r="26" spans="1:14">
      <c r="A26" s="3314"/>
      <c r="B26" s="3315"/>
      <c r="C26" s="3315"/>
      <c r="D26" s="3315"/>
      <c r="E26" s="3315"/>
      <c r="F26" s="3315"/>
      <c r="G26" s="3316"/>
      <c r="I26" s="3677">
        <v>30</v>
      </c>
      <c r="J26" s="3677">
        <v>90.5</v>
      </c>
      <c r="K26" s="3677">
        <f t="shared" si="0"/>
        <v>4.2000000000000028</v>
      </c>
      <c r="L26" s="3677" t="s">
        <v>3305</v>
      </c>
      <c r="M26" s="3677"/>
      <c r="N26" s="3678">
        <v>5</v>
      </c>
    </row>
    <row r="27" spans="1:14">
      <c r="A27" s="3317" t="s">
        <v>2703</v>
      </c>
      <c r="B27" s="3318"/>
      <c r="C27" s="3318"/>
      <c r="D27" s="3318"/>
      <c r="E27" s="3318"/>
      <c r="F27" s="3318"/>
      <c r="G27" s="3319"/>
      <c r="I27" s="3677">
        <v>35</v>
      </c>
      <c r="J27" s="3677">
        <v>93.8</v>
      </c>
      <c r="K27" s="3677">
        <f t="shared" si="0"/>
        <v>3.2999999999999972</v>
      </c>
      <c r="L27" s="3677" t="s">
        <v>3306</v>
      </c>
      <c r="M27" s="3677"/>
      <c r="N27" s="3678">
        <v>3</v>
      </c>
    </row>
    <row r="28" spans="1:14">
      <c r="A28" s="3317" t="s">
        <v>2704</v>
      </c>
      <c r="B28" s="3318"/>
      <c r="C28" s="3318"/>
      <c r="D28" s="3318"/>
      <c r="E28" s="3318"/>
      <c r="F28" s="3318"/>
      <c r="G28" s="3319"/>
      <c r="I28" s="3677">
        <v>40</v>
      </c>
      <c r="J28" s="3677">
        <v>96.4</v>
      </c>
      <c r="K28" s="3677">
        <f t="shared" si="0"/>
        <v>2.6000000000000085</v>
      </c>
      <c r="L28" s="3677" t="s">
        <v>3307</v>
      </c>
      <c r="M28" s="3677"/>
      <c r="N28" s="3678">
        <v>2</v>
      </c>
    </row>
    <row r="29" spans="1:14">
      <c r="A29" s="3317" t="s">
        <v>2705</v>
      </c>
      <c r="B29" s="3318"/>
      <c r="C29" s="3318"/>
      <c r="D29" s="3318"/>
      <c r="E29" s="3318"/>
      <c r="F29" s="3318"/>
      <c r="G29" s="3319"/>
      <c r="I29" s="3677">
        <v>45</v>
      </c>
      <c r="J29" s="3677">
        <v>98.4</v>
      </c>
      <c r="K29" s="3677">
        <f t="shared" si="0"/>
        <v>2</v>
      </c>
      <c r="L29" s="3677"/>
      <c r="M29" s="3677"/>
    </row>
    <row r="30" spans="1:14">
      <c r="A30" s="3317" t="s">
        <v>2706</v>
      </c>
      <c r="B30" s="3318"/>
      <c r="C30" s="3318"/>
      <c r="D30" s="3318"/>
      <c r="E30" s="3318"/>
      <c r="F30" s="3318"/>
      <c r="G30" s="3319"/>
      <c r="I30" s="3677">
        <v>50</v>
      </c>
      <c r="J30" s="3677">
        <v>100</v>
      </c>
      <c r="K30" s="3677">
        <f t="shared" si="0"/>
        <v>1.5999999999999943</v>
      </c>
      <c r="L30" s="3677"/>
      <c r="M30" s="3677"/>
    </row>
    <row r="31" spans="1:14">
      <c r="A31" s="3317" t="s">
        <v>2707</v>
      </c>
      <c r="B31" s="3318"/>
      <c r="C31" s="3318"/>
      <c r="D31" s="3318"/>
      <c r="E31" s="3318"/>
      <c r="F31" s="3318"/>
      <c r="G31" s="3319"/>
      <c r="I31" s="3677" t="s">
        <v>3308</v>
      </c>
      <c r="J31" s="3677"/>
      <c r="K31" s="3677"/>
      <c r="L31" s="3677"/>
      <c r="M31" s="3677"/>
    </row>
    <row r="32" spans="1:14">
      <c r="A32" s="3317" t="s">
        <v>2708</v>
      </c>
      <c r="B32" s="3318"/>
      <c r="C32" s="3318"/>
      <c r="D32" s="3318"/>
      <c r="E32" s="3318"/>
      <c r="F32" s="3318"/>
      <c r="G32" s="3319"/>
      <c r="I32" s="3677"/>
      <c r="J32" s="3677"/>
      <c r="K32" s="3677"/>
      <c r="L32" s="3677"/>
      <c r="M32" s="3677"/>
    </row>
    <row r="33" spans="1:14">
      <c r="A33" s="3317" t="s">
        <v>2709</v>
      </c>
      <c r="B33" s="3318"/>
      <c r="C33" s="3318"/>
      <c r="D33" s="3318"/>
      <c r="E33" s="3318"/>
      <c r="F33" s="3318"/>
      <c r="G33" s="3319"/>
      <c r="I33" s="3677" t="s">
        <v>3299</v>
      </c>
      <c r="J33" s="3677" t="s">
        <v>3309</v>
      </c>
      <c r="K33" s="3677"/>
      <c r="L33" s="3677"/>
      <c r="M33" s="3677"/>
    </row>
    <row r="34" spans="1:14">
      <c r="A34" s="3317" t="s">
        <v>2710</v>
      </c>
      <c r="B34" s="3318"/>
      <c r="C34" s="3318"/>
      <c r="D34" s="3318"/>
      <c r="E34" s="3318"/>
      <c r="F34" s="3318"/>
      <c r="G34" s="3319"/>
      <c r="I34" s="3677">
        <v>5</v>
      </c>
      <c r="J34" s="3677">
        <v>55.1</v>
      </c>
      <c r="K34" s="3677"/>
      <c r="L34" s="3677"/>
      <c r="M34" s="3677"/>
    </row>
    <row r="35" spans="1:14">
      <c r="A35" s="3317" t="s">
        <v>2711</v>
      </c>
      <c r="B35" s="3318"/>
      <c r="C35" s="3318"/>
      <c r="D35" s="3318"/>
      <c r="E35" s="3318"/>
      <c r="F35" s="3318"/>
      <c r="G35" s="3319"/>
      <c r="I35" s="3677">
        <v>10</v>
      </c>
      <c r="J35" s="3677">
        <v>67</v>
      </c>
      <c r="K35" s="3677">
        <f>J35-J34</f>
        <v>11.899999999999999</v>
      </c>
      <c r="L35" s="3677"/>
      <c r="M35" s="3677"/>
    </row>
    <row r="36" spans="1:14">
      <c r="A36" s="3317" t="s">
        <v>2712</v>
      </c>
      <c r="B36" s="3318"/>
      <c r="C36" s="3318"/>
      <c r="D36" s="3318"/>
      <c r="E36" s="3318"/>
      <c r="F36" s="3318"/>
      <c r="G36" s="3319"/>
      <c r="I36" s="3677">
        <v>15</v>
      </c>
      <c r="J36" s="3677">
        <v>76.3</v>
      </c>
      <c r="K36" s="3677">
        <f t="shared" ref="K36:K41" si="1">J36-J35</f>
        <v>9.2999999999999972</v>
      </c>
      <c r="L36" s="3677" t="s">
        <v>3301</v>
      </c>
      <c r="M36" s="3677"/>
      <c r="N36" s="3678" t="s">
        <v>3302</v>
      </c>
    </row>
    <row r="37" spans="1:14">
      <c r="A37" s="3317" t="s">
        <v>2713</v>
      </c>
      <c r="B37" s="3318"/>
      <c r="C37" s="3318"/>
      <c r="D37" s="3318"/>
      <c r="E37" s="3318"/>
      <c r="F37" s="3318"/>
      <c r="G37" s="3319"/>
      <c r="I37" s="3677">
        <v>20</v>
      </c>
      <c r="J37" s="3677">
        <v>83.6</v>
      </c>
      <c r="K37" s="3677">
        <f t="shared" si="1"/>
        <v>7.2999999999999972</v>
      </c>
      <c r="L37" s="3677" t="s">
        <v>3303</v>
      </c>
      <c r="M37" s="3677"/>
      <c r="N37" s="3678">
        <v>10</v>
      </c>
    </row>
    <row r="38" spans="1:14">
      <c r="A38" s="3317" t="s">
        <v>2714</v>
      </c>
      <c r="B38" s="3318"/>
      <c r="C38" s="3318"/>
      <c r="D38" s="3318"/>
      <c r="E38" s="3318"/>
      <c r="F38" s="3318"/>
      <c r="G38" s="3319"/>
      <c r="I38" s="3677">
        <v>25</v>
      </c>
      <c r="J38" s="3677">
        <v>89.3</v>
      </c>
      <c r="K38" s="3677">
        <f t="shared" si="1"/>
        <v>5.7000000000000028</v>
      </c>
      <c r="L38" s="3677" t="s">
        <v>3304</v>
      </c>
      <c r="M38" s="3677"/>
      <c r="N38" s="3678">
        <v>8</v>
      </c>
    </row>
    <row r="39" spans="1:14">
      <c r="A39" s="3317"/>
      <c r="B39" s="3318"/>
      <c r="C39" s="3318"/>
      <c r="D39" s="3318"/>
      <c r="E39" s="3318"/>
      <c r="F39" s="3318"/>
      <c r="G39" s="3319"/>
      <c r="I39" s="3677">
        <v>30</v>
      </c>
      <c r="J39" s="3677">
        <v>93.8</v>
      </c>
      <c r="K39" s="3677">
        <f t="shared" si="1"/>
        <v>4.5</v>
      </c>
      <c r="L39" s="3677" t="s">
        <v>3305</v>
      </c>
      <c r="M39" s="3677"/>
      <c r="N39" s="3678">
        <v>6</v>
      </c>
    </row>
    <row r="40" spans="1:14">
      <c r="A40" s="3320" t="s">
        <v>2715</v>
      </c>
      <c r="B40" s="3321"/>
      <c r="C40" s="3321"/>
      <c r="D40" s="3321"/>
      <c r="E40" s="3321"/>
      <c r="F40" s="3321"/>
      <c r="G40" s="3322"/>
      <c r="I40" s="3677">
        <v>35</v>
      </c>
      <c r="J40" s="3677">
        <v>97.2</v>
      </c>
      <c r="K40" s="3677">
        <f t="shared" si="1"/>
        <v>3.4000000000000057</v>
      </c>
      <c r="L40" s="3677" t="s">
        <v>3306</v>
      </c>
      <c r="M40" s="3677"/>
      <c r="N40" s="3678">
        <v>3</v>
      </c>
    </row>
    <row r="41" spans="1:14">
      <c r="A41" s="3323" t="s">
        <v>2716</v>
      </c>
      <c r="B41" s="3324" t="s">
        <v>2717</v>
      </c>
      <c r="C41" s="3325" t="s">
        <v>2718</v>
      </c>
      <c r="D41" s="3325" t="s">
        <v>2719</v>
      </c>
      <c r="E41" s="3326"/>
      <c r="F41" s="3327"/>
      <c r="G41" s="3328"/>
      <c r="I41" s="3677">
        <v>40</v>
      </c>
      <c r="J41" s="3677">
        <v>100</v>
      </c>
      <c r="K41" s="3677">
        <f t="shared" si="1"/>
        <v>2.7999999999999972</v>
      </c>
      <c r="L41" s="3677"/>
      <c r="M41" s="3677"/>
    </row>
    <row r="42" spans="1:14">
      <c r="A42" s="3323" t="s">
        <v>2720</v>
      </c>
      <c r="B42" s="3324" t="s">
        <v>2721</v>
      </c>
      <c r="C42" s="3325" t="s">
        <v>2721</v>
      </c>
      <c r="D42" s="3329" t="s">
        <v>2722</v>
      </c>
      <c r="E42" s="3321" t="s">
        <v>2723</v>
      </c>
      <c r="F42" s="3321"/>
      <c r="G42" s="3322"/>
      <c r="I42" s="3677"/>
      <c r="J42" s="3677"/>
      <c r="K42" s="3677"/>
      <c r="L42" s="3677"/>
      <c r="M42" s="3677"/>
    </row>
    <row r="43" spans="1:14">
      <c r="A43" s="3323" t="s">
        <v>2724</v>
      </c>
      <c r="B43" s="3324" t="s">
        <v>2725</v>
      </c>
      <c r="C43" s="3325" t="s">
        <v>2726</v>
      </c>
      <c r="D43" s="3325" t="s">
        <v>2727</v>
      </c>
      <c r="E43" s="3326" t="s">
        <v>2728</v>
      </c>
      <c r="F43" s="3327"/>
      <c r="G43" s="3328"/>
      <c r="I43" s="3677" t="s">
        <v>3299</v>
      </c>
      <c r="J43" s="3677" t="s">
        <v>3310</v>
      </c>
      <c r="K43" s="3677"/>
      <c r="L43" s="3677"/>
      <c r="M43" s="3677"/>
    </row>
    <row r="44" spans="1:14">
      <c r="A44" s="3323" t="s">
        <v>2729</v>
      </c>
      <c r="B44" s="3324" t="s">
        <v>2730</v>
      </c>
      <c r="C44" s="3325" t="s">
        <v>2731</v>
      </c>
      <c r="D44" s="3329">
        <v>0.5</v>
      </c>
      <c r="E44" s="3326" t="s">
        <v>2732</v>
      </c>
      <c r="F44" s="3327"/>
      <c r="G44" s="3328"/>
      <c r="I44" s="3677">
        <v>30</v>
      </c>
      <c r="J44" s="3677">
        <v>81.7</v>
      </c>
      <c r="K44" s="3677"/>
      <c r="L44" s="3677"/>
      <c r="M44" s="3677"/>
    </row>
    <row r="45" spans="1:14" ht="14.25" thickBot="1">
      <c r="A45" s="3330" t="s">
        <v>2733</v>
      </c>
      <c r="B45" s="3331" t="s">
        <v>2721</v>
      </c>
      <c r="C45" s="3332" t="s">
        <v>2721</v>
      </c>
      <c r="D45" s="3332" t="s">
        <v>2734</v>
      </c>
      <c r="E45" s="3333" t="s">
        <v>2735</v>
      </c>
      <c r="F45" s="3333"/>
      <c r="G45" s="3334"/>
      <c r="I45" s="3677">
        <v>40</v>
      </c>
      <c r="J45" s="3677">
        <v>89.2</v>
      </c>
      <c r="K45" s="3677">
        <f>J45-J44</f>
        <v>7.5</v>
      </c>
      <c r="L45" s="3677"/>
      <c r="M45" s="3677"/>
    </row>
    <row r="46" spans="1:14">
      <c r="I46" s="3677">
        <v>50</v>
      </c>
      <c r="J46" s="3677">
        <v>94.3</v>
      </c>
      <c r="K46" s="3677">
        <f t="shared" ref="K46:K47" si="2">J46-J45</f>
        <v>5.0999999999999943</v>
      </c>
      <c r="L46" s="3677"/>
      <c r="M46" s="3677"/>
    </row>
    <row r="47" spans="1:14">
      <c r="I47" s="3677">
        <v>60</v>
      </c>
      <c r="J47" s="3677">
        <v>97.7</v>
      </c>
      <c r="K47" s="3677">
        <f t="shared" si="2"/>
        <v>3.4000000000000057</v>
      </c>
      <c r="L47" s="3677"/>
      <c r="M47" s="3677"/>
    </row>
    <row r="48" spans="1:14" ht="14.25" thickBot="1"/>
    <row r="49" spans="1:4">
      <c r="A49" s="3305" t="s">
        <v>3285</v>
      </c>
    </row>
    <row r="50" spans="1:4">
      <c r="A50" s="3667" t="s">
        <v>3275</v>
      </c>
      <c r="B50" s="3667" t="s">
        <v>3272</v>
      </c>
      <c r="C50" s="3667" t="s">
        <v>3273</v>
      </c>
      <c r="D50" s="3667" t="s">
        <v>3274</v>
      </c>
    </row>
    <row r="51" spans="1:4">
      <c r="A51" s="3667" t="s">
        <v>3276</v>
      </c>
      <c r="B51" s="3293">
        <f>B52+B53</f>
        <v>15000</v>
      </c>
      <c r="C51" s="3669">
        <f>D51/B51</f>
        <v>2666.6666666666665</v>
      </c>
      <c r="D51" s="3293">
        <f>D52+D53</f>
        <v>40000000</v>
      </c>
    </row>
    <row r="52" spans="1:4">
      <c r="A52" s="3668" t="s">
        <v>3277</v>
      </c>
      <c r="B52" s="3664">
        <v>10000</v>
      </c>
      <c r="C52" s="3664">
        <v>1500</v>
      </c>
      <c r="D52" s="3670">
        <f>C52*B52</f>
        <v>15000000</v>
      </c>
    </row>
    <row r="53" spans="1:4">
      <c r="A53" s="3668" t="s">
        <v>3278</v>
      </c>
      <c r="B53" s="3664">
        <v>5000</v>
      </c>
      <c r="C53" s="3664">
        <v>5000</v>
      </c>
      <c r="D53" s="3670">
        <f>C53*B53</f>
        <v>25000000</v>
      </c>
    </row>
    <row r="54" spans="1:4">
      <c r="A54" s="3667" t="s">
        <v>3279</v>
      </c>
      <c r="B54" s="3293">
        <f>B51</f>
        <v>15000</v>
      </c>
      <c r="C54" s="3299">
        <v>700</v>
      </c>
      <c r="D54" s="3293">
        <f t="shared" ref="D54:D55" si="3">C54*B54</f>
        <v>10500000</v>
      </c>
    </row>
    <row r="55" spans="1:4">
      <c r="A55" s="3667" t="s">
        <v>3280</v>
      </c>
      <c r="B55" s="3293">
        <f>B51</f>
        <v>15000</v>
      </c>
      <c r="C55" s="3299">
        <v>1500</v>
      </c>
      <c r="D55" s="3293">
        <f t="shared" si="3"/>
        <v>22500000</v>
      </c>
    </row>
    <row r="56" spans="1:4">
      <c r="A56" s="3667" t="s">
        <v>3281</v>
      </c>
      <c r="B56" s="3293">
        <f>B51</f>
        <v>15000</v>
      </c>
      <c r="C56" s="3671">
        <f>C51+C54+C55</f>
        <v>4866.6666666666661</v>
      </c>
      <c r="D56" s="3293">
        <f>D51+D54+D55</f>
        <v>73000000</v>
      </c>
    </row>
    <row r="58" spans="1:4">
      <c r="A58" s="3667" t="s">
        <v>3282</v>
      </c>
      <c r="B58" s="3665">
        <v>0.05</v>
      </c>
      <c r="C58" s="3293">
        <f>C56*(1+B58)</f>
        <v>5110</v>
      </c>
      <c r="D58" s="3293">
        <f>D56*B58</f>
        <v>3650000</v>
      </c>
    </row>
    <row r="60" spans="1:4">
      <c r="A60" s="3667" t="s">
        <v>3283</v>
      </c>
      <c r="B60" s="3299">
        <v>3500</v>
      </c>
      <c r="C60" s="3299">
        <f>C53</f>
        <v>5000</v>
      </c>
      <c r="D60" s="3293">
        <f>C60*B60</f>
        <v>17500000</v>
      </c>
    </row>
    <row r="62" spans="1:4">
      <c r="A62" s="3667" t="s">
        <v>3284</v>
      </c>
      <c r="B62" s="3299">
        <f>B51</f>
        <v>15000</v>
      </c>
      <c r="C62" s="3666">
        <f>D62/B62</f>
        <v>6276.666666666667</v>
      </c>
      <c r="D62" s="329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topLeftCell="A7" zoomScale="90" zoomScaleNormal="100" zoomScaleSheetLayoutView="90" workbookViewId="0">
      <selection activeCell="C17" sqref="C17:I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6" t="str">
        <f>IF(B10="北京市","北京市",C10)&amp;F10&amp;A17&amp;"国有建设用地使用权"&amp;B9&amp;"预评估"</f>
        <v>出让国有建设用地使用权预评估</v>
      </c>
      <c r="C1" s="3717"/>
      <c r="D1" s="3717"/>
      <c r="E1" s="3717"/>
      <c r="F1" s="3717"/>
      <c r="G1" s="3717"/>
      <c r="H1" s="3717"/>
      <c r="I1" s="3718"/>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22"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23"/>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9"/>
      <c r="C12" s="3720"/>
      <c r="D12" s="3721"/>
      <c r="E12" s="1494" t="s">
        <v>1579</v>
      </c>
      <c r="F12" s="3737" t="s">
        <v>2163</v>
      </c>
      <c r="G12" s="3738"/>
      <c r="H12" s="3738"/>
      <c r="I12" s="3739"/>
      <c r="J12" s="2816"/>
      <c r="K12" s="2799"/>
      <c r="L12" s="2795"/>
      <c r="M12" s="2795"/>
      <c r="N12" s="2796"/>
      <c r="O12" s="2797"/>
      <c r="P12" s="2796"/>
      <c r="Q12" s="2796"/>
      <c r="R12" s="2796"/>
      <c r="S12" s="2796"/>
      <c r="T12" s="2796"/>
      <c r="U12" s="2796"/>
    </row>
    <row r="13" spans="1:21">
      <c r="A13" s="1485" t="s">
        <v>1577</v>
      </c>
      <c r="B13" s="3719"/>
      <c r="C13" s="3720"/>
      <c r="D13" s="3721"/>
      <c r="E13" s="1494" t="s">
        <v>1579</v>
      </c>
      <c r="F13" s="3737" t="s">
        <v>2164</v>
      </c>
      <c r="G13" s="3738"/>
      <c r="H13" s="3738"/>
      <c r="I13" s="373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2"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2741</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4"/>
      <c r="E20" s="3735"/>
      <c r="F20" s="3735"/>
      <c r="G20" s="3735"/>
      <c r="H20" s="3735"/>
      <c r="I20" s="3736"/>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24" t="s">
        <v>1516</v>
      </c>
      <c r="F21" s="3725"/>
      <c r="G21" s="3725"/>
      <c r="H21" s="3725"/>
      <c r="I21" s="3726"/>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24" t="s">
        <v>2165</v>
      </c>
      <c r="F22" s="3725"/>
      <c r="G22" s="3725"/>
      <c r="H22" s="3725"/>
      <c r="I22" s="372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7" t="s">
        <v>1484</v>
      </c>
      <c r="C24" s="3728"/>
      <c r="D24" s="3729" t="s">
        <v>1485</v>
      </c>
      <c r="E24" s="3730"/>
      <c r="F24" s="1502" t="s">
        <v>1486</v>
      </c>
      <c r="G24" s="2816"/>
      <c r="H24" s="2816"/>
      <c r="I24" s="2820"/>
      <c r="J24" s="2816"/>
      <c r="K24" s="37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2" t="s">
        <v>1519</v>
      </c>
      <c r="B31" s="1553" t="s">
        <v>1520</v>
      </c>
      <c r="C31" s="3740"/>
      <c r="D31" s="3741"/>
      <c r="E31" s="2816"/>
      <c r="F31" s="2816"/>
      <c r="G31" s="2816"/>
      <c r="H31" s="2816"/>
      <c r="I31" s="2820"/>
      <c r="J31" s="2816"/>
      <c r="K31" s="2802"/>
      <c r="L31" s="2796"/>
      <c r="M31" s="2796"/>
      <c r="N31" s="2796"/>
      <c r="O31" s="2796"/>
      <c r="P31" s="2796"/>
      <c r="Q31" s="2796"/>
      <c r="R31" s="2796"/>
      <c r="S31" s="2796"/>
      <c r="T31" s="2796"/>
      <c r="U31" s="2796"/>
    </row>
    <row r="32" spans="1:21">
      <c r="A32" s="374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3"/>
      <c r="B34" s="1464" t="s">
        <v>1523</v>
      </c>
      <c r="C34" s="3744"/>
      <c r="D34" s="3745"/>
      <c r="E34" s="2816"/>
      <c r="F34" s="2816"/>
      <c r="G34" s="2816"/>
      <c r="H34" s="2816"/>
      <c r="I34" s="2820"/>
      <c r="J34" s="2816"/>
      <c r="K34" s="2802"/>
      <c r="L34" s="2796"/>
      <c r="M34" s="2796"/>
      <c r="N34" s="2796"/>
      <c r="O34" s="2796"/>
      <c r="P34" s="2796"/>
      <c r="Q34" s="2796"/>
      <c r="R34" s="2796"/>
      <c r="S34" s="2796"/>
      <c r="T34" s="2796"/>
      <c r="U34" s="2796"/>
    </row>
    <row r="35" spans="1:28">
      <c r="A35" s="3746" t="s">
        <v>785</v>
      </c>
      <c r="B35" s="1516"/>
      <c r="C35" s="1562" t="str">
        <f>IF(B35="场地平整","——","具体情况：")</f>
        <v>具体情况：</v>
      </c>
      <c r="D35" s="3748"/>
      <c r="E35" s="3749"/>
      <c r="F35" s="3749"/>
      <c r="G35" s="3749"/>
      <c r="H35" s="3749"/>
      <c r="I35" s="3750"/>
      <c r="J35" s="2816"/>
      <c r="K35" s="2803"/>
      <c r="L35" s="2795"/>
      <c r="M35" s="2795"/>
      <c r="N35" s="2796"/>
      <c r="O35" s="2797"/>
      <c r="P35" s="2796"/>
      <c r="Q35" s="2796"/>
      <c r="R35" s="2796"/>
      <c r="S35" s="2796"/>
      <c r="T35" s="2796"/>
      <c r="U35" s="2796"/>
    </row>
    <row r="36" spans="1:28">
      <c r="A36" s="3742"/>
      <c r="B36" s="3751" t="s">
        <v>1572</v>
      </c>
      <c r="C36" s="3752"/>
      <c r="D36" s="1578"/>
      <c r="E36" s="3753"/>
      <c r="F36" s="3753"/>
      <c r="G36" s="1485" t="str">
        <f>IF(B35="场地未平整","估价结果处理","")</f>
        <v/>
      </c>
      <c r="H36" s="3754"/>
      <c r="I36" s="3754"/>
      <c r="J36" s="2816"/>
      <c r="K36" s="2803"/>
      <c r="L36" s="2795"/>
      <c r="M36" s="2795"/>
      <c r="N36" s="2796"/>
      <c r="O36" s="2797"/>
      <c r="P36" s="2796"/>
      <c r="Q36" s="2796"/>
      <c r="R36" s="2796"/>
      <c r="S36" s="2796"/>
      <c r="T36" s="2796"/>
      <c r="U36" s="2796"/>
    </row>
    <row r="37" spans="1:28" ht="28.5">
      <c r="A37" s="3742"/>
      <c r="B37" s="37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2"/>
      <c r="B38" s="3732"/>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43"/>
      <c r="B39" s="3733"/>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4" t="s">
        <v>1503</v>
      </c>
      <c r="T40" s="1525" t="str">
        <f>NUMBERSTRING(7-K40,1)&amp;"通"</f>
        <v>七通</v>
      </c>
      <c r="U40" s="2796"/>
    </row>
    <row r="41" spans="1:28">
      <c r="A41" s="1466"/>
      <c r="B41" s="3747" t="s">
        <v>1250</v>
      </c>
      <c r="C41" s="3747"/>
      <c r="D41" s="3747"/>
      <c r="E41" s="374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4"/>
      <c r="T41" s="1527" t="str">
        <f>IF(T40="一通",L41,IF(T40="二通",M41,IF(T40="三通",N41,IF(T40="四通",O41,IF(T40="五通",P41,IF(T40="六通",Q41,R41))))))</f>
        <v>、、、、、、</v>
      </c>
      <c r="U41" s="2796"/>
    </row>
    <row r="42" spans="1:28">
      <c r="A42" s="1529"/>
      <c r="B42" s="1555" t="s">
        <v>1422</v>
      </c>
      <c r="C42" s="1555" t="s">
        <v>1423</v>
      </c>
      <c r="D42" s="1555" t="s">
        <v>1424</v>
      </c>
      <c r="E42" s="3282" t="s">
        <v>2742</v>
      </c>
      <c r="F42" s="3282"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4" t="s">
        <v>169</v>
      </c>
      <c r="B2" s="3764"/>
      <c r="C2" s="3764"/>
      <c r="D2" s="1729" t="s">
        <v>170</v>
      </c>
      <c r="E2" s="102" t="s">
        <v>171</v>
      </c>
      <c r="F2" s="2825"/>
      <c r="G2" s="1096"/>
      <c r="H2" s="1097"/>
      <c r="I2" s="1098" t="s">
        <v>795</v>
      </c>
      <c r="J2" s="2825"/>
      <c r="K2" s="2825"/>
      <c r="L2" s="2825"/>
      <c r="M2" s="2825"/>
      <c r="N2" s="2825"/>
      <c r="O2" s="2825"/>
      <c r="P2" s="2825"/>
    </row>
    <row r="3" spans="1:16" ht="15.75" thickBot="1">
      <c r="A3" s="3765" t="s">
        <v>172</v>
      </c>
      <c r="B3" s="3765"/>
      <c r="C3" s="3765"/>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66"/>
      <c r="B4" s="3767"/>
      <c r="C4" s="3768"/>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69" t="s">
        <v>196</v>
      </c>
      <c r="C5" s="3769"/>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69" t="s">
        <v>174</v>
      </c>
      <c r="C6" s="3769"/>
      <c r="D6" s="107" t="e">
        <f>ROUND($D$3*E6/$E$3,2)</f>
        <v>#DIV/0!</v>
      </c>
      <c r="E6" s="108">
        <f>E3-E5</f>
        <v>0</v>
      </c>
      <c r="F6" s="2825"/>
      <c r="G6" s="1099"/>
      <c r="H6" s="266" t="s">
        <v>798</v>
      </c>
      <c r="I6" s="1730" t="e">
        <f>ROUND(F31/D31,2)</f>
        <v>#DIV/0!</v>
      </c>
      <c r="J6" s="2825"/>
      <c r="K6" s="2825"/>
      <c r="L6" s="2825"/>
      <c r="M6" s="2825"/>
      <c r="N6" s="2825"/>
      <c r="O6" s="2825"/>
      <c r="P6" s="2825"/>
    </row>
    <row r="7" spans="1:16" ht="15">
      <c r="A7" s="3761"/>
      <c r="B7" s="3762"/>
      <c r="C7" s="3763"/>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55" t="s">
        <v>1849</v>
      </c>
      <c r="L16" s="3756"/>
      <c r="M16" s="3756"/>
      <c r="N16" s="3756"/>
      <c r="O16" s="3756"/>
      <c r="P16" s="3757"/>
    </row>
    <row r="17" spans="1:19" ht="15">
      <c r="A17" s="117" t="s">
        <v>182</v>
      </c>
      <c r="B17" s="118" t="s">
        <v>183</v>
      </c>
      <c r="C17" s="2016" t="s">
        <v>1670</v>
      </c>
      <c r="D17" s="104" t="s">
        <v>170</v>
      </c>
      <c r="E17" s="120" t="s">
        <v>171</v>
      </c>
      <c r="F17" s="121"/>
      <c r="G17" s="1225"/>
      <c r="H17" s="932" t="s">
        <v>184</v>
      </c>
      <c r="I17" s="933" t="s">
        <v>1669</v>
      </c>
      <c r="J17" s="1738"/>
      <c r="K17" s="3758" t="s">
        <v>1850</v>
      </c>
      <c r="L17" s="3759"/>
      <c r="M17" s="3760"/>
      <c r="N17" s="3758" t="s">
        <v>1851</v>
      </c>
      <c r="O17" s="3759"/>
      <c r="P17" s="3760"/>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G26" sqref="G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0" t="s">
        <v>1198</v>
      </c>
      <c r="B1" s="3771"/>
      <c r="C1" s="3771"/>
      <c r="D1" s="3771"/>
      <c r="E1" s="3771"/>
      <c r="F1" s="3771"/>
      <c r="G1" s="3771"/>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6" t="str">
        <f>项目基本情况!K2</f>
        <v>出让国有建设用地使用权</v>
      </c>
      <c r="B2" s="3817"/>
      <c r="C2" s="3818"/>
      <c r="D2" s="3818"/>
      <c r="E2" s="3818"/>
      <c r="F2" s="3818"/>
      <c r="G2" s="3817"/>
      <c r="H2" s="3817"/>
      <c r="I2" s="3819"/>
      <c r="J2" s="1753"/>
      <c r="K2" s="1752"/>
      <c r="L2" s="1752"/>
      <c r="M2" s="1752"/>
      <c r="N2" s="1752"/>
      <c r="O2" s="1752"/>
      <c r="P2" s="1752"/>
      <c r="Q2" s="1752"/>
      <c r="R2" s="1752"/>
      <c r="S2" s="1752"/>
      <c r="T2" s="1752"/>
      <c r="U2" s="1752"/>
      <c r="V2" s="1752"/>
    </row>
    <row r="3" spans="1:22" ht="14.25">
      <c r="A3" s="3827" t="s">
        <v>264</v>
      </c>
      <c r="B3" s="3828"/>
      <c r="C3" s="3828"/>
      <c r="D3" s="3828"/>
      <c r="E3" s="3828"/>
      <c r="F3" s="3828"/>
      <c r="G3" s="3828"/>
      <c r="H3" s="3828"/>
      <c r="I3" s="3828"/>
      <c r="J3" s="1753"/>
      <c r="K3" s="1752"/>
      <c r="L3" s="1752"/>
      <c r="M3" s="1752"/>
      <c r="N3" s="1752"/>
      <c r="O3" s="1752"/>
      <c r="P3" s="1752"/>
      <c r="Q3" s="1752"/>
      <c r="R3" s="1752"/>
      <c r="S3" s="1752"/>
      <c r="T3" s="1752"/>
      <c r="U3" s="1752"/>
      <c r="V3" s="1752"/>
    </row>
    <row r="4" spans="1:22" ht="14.25">
      <c r="A4" s="249" t="s">
        <v>265</v>
      </c>
      <c r="B4" s="250" t="s">
        <v>266</v>
      </c>
      <c r="C4" s="251"/>
      <c r="D4" s="251"/>
      <c r="E4" s="3791" t="s">
        <v>267</v>
      </c>
      <c r="F4" s="3833"/>
      <c r="G4" s="3833"/>
      <c r="H4" s="3833"/>
      <c r="I4" s="3792"/>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20" t="s">
        <v>268</v>
      </c>
      <c r="B5" s="3821">
        <v>25</v>
      </c>
      <c r="C5" s="3829"/>
      <c r="D5" s="3832"/>
      <c r="E5" s="252" t="s">
        <v>269</v>
      </c>
      <c r="F5" s="253"/>
      <c r="G5" s="253"/>
      <c r="H5" s="253"/>
      <c r="I5" s="254"/>
      <c r="J5" s="1753"/>
      <c r="K5" s="1752"/>
      <c r="L5" s="1752"/>
      <c r="M5" s="1752"/>
      <c r="N5" s="1752"/>
      <c r="O5" s="1752"/>
      <c r="P5" s="1752"/>
      <c r="Q5" s="1752"/>
      <c r="R5" s="1752"/>
      <c r="S5" s="1752"/>
      <c r="T5" s="1752"/>
      <c r="U5" s="1752"/>
      <c r="V5" s="1752"/>
    </row>
    <row r="6" spans="1:22" ht="14.25">
      <c r="A6" s="3820"/>
      <c r="B6" s="3821"/>
      <c r="C6" s="3830"/>
      <c r="D6" s="3832"/>
      <c r="E6" s="252" t="s">
        <v>270</v>
      </c>
      <c r="F6" s="253"/>
      <c r="G6" s="253"/>
      <c r="H6" s="253"/>
      <c r="I6" s="254"/>
      <c r="J6" s="1753"/>
      <c r="K6" s="1752"/>
      <c r="L6" s="1752"/>
      <c r="M6" s="1752"/>
      <c r="N6" s="1752"/>
      <c r="O6" s="1752"/>
      <c r="P6" s="1752"/>
      <c r="Q6" s="1752"/>
      <c r="R6" s="1752"/>
      <c r="S6" s="1752"/>
      <c r="T6" s="1752"/>
      <c r="U6" s="1752"/>
      <c r="V6" s="1752"/>
    </row>
    <row r="7" spans="1:22" ht="14.25">
      <c r="A7" s="3820"/>
      <c r="B7" s="3821"/>
      <c r="C7" s="3831"/>
      <c r="D7" s="3832"/>
      <c r="E7" s="252" t="s">
        <v>271</v>
      </c>
      <c r="F7" s="253"/>
      <c r="G7" s="253"/>
      <c r="H7" s="253"/>
      <c r="I7" s="254"/>
      <c r="J7" s="1753"/>
      <c r="K7" s="1752"/>
      <c r="L7" s="1752"/>
      <c r="M7" s="1752"/>
      <c r="N7" s="1752"/>
      <c r="O7" s="1752"/>
      <c r="P7" s="1752"/>
      <c r="Q7" s="1752"/>
      <c r="R7" s="1752"/>
      <c r="S7" s="1752"/>
      <c r="T7" s="1752"/>
      <c r="U7" s="1752"/>
      <c r="V7" s="1752"/>
    </row>
    <row r="8" spans="1:22" ht="14.25">
      <c r="A8" s="3820" t="s">
        <v>272</v>
      </c>
      <c r="B8" s="3821">
        <v>15</v>
      </c>
      <c r="C8" s="3829"/>
      <c r="D8" s="3832"/>
      <c r="E8" s="252" t="s">
        <v>273</v>
      </c>
      <c r="F8" s="253"/>
      <c r="G8" s="253"/>
      <c r="H8" s="253"/>
      <c r="I8" s="254"/>
      <c r="J8" s="1753"/>
      <c r="K8" s="1752"/>
      <c r="L8" s="1752"/>
      <c r="M8" s="1752"/>
      <c r="N8" s="1752"/>
      <c r="O8" s="1752"/>
      <c r="P8" s="1752"/>
      <c r="Q8" s="1752"/>
      <c r="R8" s="1752"/>
      <c r="S8" s="1752"/>
      <c r="T8" s="1752"/>
      <c r="U8" s="1752"/>
      <c r="V8" s="1752"/>
    </row>
    <row r="9" spans="1:22" ht="14.25">
      <c r="A9" s="3820"/>
      <c r="B9" s="3821"/>
      <c r="C9" s="3831"/>
      <c r="D9" s="3832"/>
      <c r="E9" s="252" t="s">
        <v>274</v>
      </c>
      <c r="F9" s="253"/>
      <c r="G9" s="253"/>
      <c r="H9" s="253"/>
      <c r="I9" s="254"/>
      <c r="J9" s="1753"/>
      <c r="K9" s="1752"/>
      <c r="L9" s="1752"/>
      <c r="M9" s="1752"/>
      <c r="N9" s="1752"/>
      <c r="O9" s="1752"/>
      <c r="P9" s="1752"/>
      <c r="Q9" s="1752"/>
      <c r="R9" s="1752"/>
      <c r="S9" s="1752"/>
      <c r="T9" s="1752"/>
      <c r="U9" s="1752"/>
      <c r="V9" s="1752"/>
    </row>
    <row r="10" spans="1:22" ht="14.25">
      <c r="A10" s="3820" t="s">
        <v>275</v>
      </c>
      <c r="B10" s="3821">
        <v>15</v>
      </c>
      <c r="C10" s="3829"/>
      <c r="D10" s="3832"/>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0"/>
      <c r="B11" s="3821"/>
      <c r="C11" s="3831"/>
      <c r="D11" s="3832"/>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0" t="s">
        <v>278</v>
      </c>
      <c r="B12" s="3821">
        <v>15</v>
      </c>
      <c r="C12" s="3829"/>
      <c r="D12" s="3832"/>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0"/>
      <c r="B13" s="3821"/>
      <c r="C13" s="3831"/>
      <c r="D13" s="3832"/>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0" t="s">
        <v>281</v>
      </c>
      <c r="B14" s="3821">
        <v>30</v>
      </c>
      <c r="C14" s="3829"/>
      <c r="D14" s="3832"/>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0"/>
      <c r="B15" s="3821"/>
      <c r="C15" s="3830"/>
      <c r="D15" s="3832"/>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0"/>
      <c r="B16" s="3821"/>
      <c r="C16" s="3831"/>
      <c r="D16" s="3832"/>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34" t="s">
        <v>2254</v>
      </c>
      <c r="F18" s="3835"/>
      <c r="G18" s="3835"/>
      <c r="H18" s="3835"/>
      <c r="I18" s="3835"/>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0"/>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6" t="s">
        <v>2256</v>
      </c>
      <c r="B31" s="3836"/>
      <c r="C31" s="3836"/>
      <c r="D31" s="3836"/>
      <c r="E31" s="3836"/>
      <c r="F31" s="3836"/>
      <c r="G31" s="3836"/>
      <c r="H31" s="3836"/>
      <c r="I31" s="3836"/>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9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79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795"/>
      <c r="F35" s="292" t="s">
        <v>308</v>
      </c>
      <c r="G35" s="944"/>
      <c r="H35" s="943" t="s">
        <v>309</v>
      </c>
      <c r="I35" s="302"/>
      <c r="J35" s="1752"/>
      <c r="K35" s="3799" t="s">
        <v>316</v>
      </c>
      <c r="L35" s="3799" t="s">
        <v>317</v>
      </c>
      <c r="M35" s="1133" t="s">
        <v>318</v>
      </c>
      <c r="N35" s="3799" t="s">
        <v>319</v>
      </c>
      <c r="O35" s="3799" t="s">
        <v>320</v>
      </c>
      <c r="P35" s="1752"/>
      <c r="V35" s="1752"/>
    </row>
    <row r="36" spans="1:26" ht="16.5" customHeight="1">
      <c r="A36" s="294" t="s">
        <v>310</v>
      </c>
      <c r="B36" s="295" t="s">
        <v>299</v>
      </c>
      <c r="C36" s="296" t="s">
        <v>311</v>
      </c>
      <c r="D36" s="296" t="s">
        <v>312</v>
      </c>
      <c r="E36" s="297" t="s">
        <v>313</v>
      </c>
      <c r="F36" s="302"/>
      <c r="G36" s="302"/>
      <c r="H36" s="302"/>
      <c r="I36" s="302"/>
      <c r="J36" s="1754"/>
      <c r="K36" s="3800"/>
      <c r="L36" s="3800"/>
      <c r="M36" s="1135" t="s">
        <v>321</v>
      </c>
      <c r="N36" s="3800"/>
      <c r="O36" s="3800"/>
      <c r="P36" s="1752"/>
      <c r="V36" s="1752"/>
    </row>
    <row r="37" spans="1:26" ht="16.5" customHeight="1" thickBot="1">
      <c r="A37" s="1129" t="s">
        <v>314</v>
      </c>
      <c r="B37" s="298"/>
      <c r="C37" s="285"/>
      <c r="D37" s="285"/>
      <c r="E37" s="286"/>
      <c r="F37" s="302"/>
      <c r="G37" s="302"/>
      <c r="H37" s="302"/>
      <c r="I37" s="302"/>
      <c r="J37" s="1754"/>
      <c r="K37" s="3801"/>
      <c r="L37" s="3801"/>
      <c r="M37" s="1136"/>
      <c r="N37" s="3801"/>
      <c r="O37" s="3801"/>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2" t="str">
        <f>MID(A44,3,LEN(A44)-2)</f>
        <v/>
      </c>
      <c r="L39" s="3813"/>
      <c r="M39" s="3813"/>
      <c r="N39" s="3814"/>
      <c r="O39" s="1247" t="str">
        <f>C44</f>
        <v>——</v>
      </c>
      <c r="P39" s="1752"/>
      <c r="V39" s="1752"/>
    </row>
    <row r="40" spans="1:26" ht="19.5" thickBot="1">
      <c r="A40" s="100" t="s">
        <v>810</v>
      </c>
      <c r="B40" s="302"/>
      <c r="C40" s="302"/>
      <c r="D40" s="302"/>
      <c r="E40" s="302"/>
      <c r="F40" s="302"/>
      <c r="G40" s="302"/>
      <c r="H40" s="302"/>
      <c r="I40" s="302"/>
      <c r="J40" s="1754"/>
      <c r="K40" s="3812" t="str">
        <f>MID(A45,3,LEN(A45)-2)</f>
        <v/>
      </c>
      <c r="L40" s="3813"/>
      <c r="M40" s="3813"/>
      <c r="N40" s="3814"/>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2" t="str">
        <f>MID(A46,3,LEN(A46)-2)</f>
        <v/>
      </c>
      <c r="L41" s="3813"/>
      <c r="M41" s="3813"/>
      <c r="N41" s="3814"/>
      <c r="O41" s="1247" t="str">
        <f>C46</f>
        <v>——</v>
      </c>
      <c r="P41" s="1752"/>
      <c r="V41" s="1752"/>
    </row>
    <row r="42" spans="1:26" ht="29.25">
      <c r="A42" s="3841" t="s">
        <v>1585</v>
      </c>
      <c r="B42" s="3842"/>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51" t="s">
        <v>2012</v>
      </c>
      <c r="B43" s="3852"/>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41" t="str">
        <f>IF(OR(项目基本情况!E8="抵押价格",项目基本情况!E8="已注销及未注销"),"3.抵押价格","——")</f>
        <v>——</v>
      </c>
      <c r="B44" s="3842"/>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46" t="str">
        <f>IF(项目基本情况!E8="已注销及未注销","4.抵押担保权已注销时的抵押价格",IF(项目基本情况!E8="已注销","3.抵押担保权已注销时的抵押价格","——"))</f>
        <v>——</v>
      </c>
      <c r="B45" s="384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43" t="str">
        <f>IF(项目基本情况!E9="抵押净值",IF(A45="——","4.抵押净值","5.抵押净值"),"——")</f>
        <v>——</v>
      </c>
      <c r="B46" s="384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4" t="s">
        <v>340</v>
      </c>
      <c r="B63" s="3805"/>
      <c r="C63" s="3806"/>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8" t="s">
        <v>344</v>
      </c>
      <c r="B64" s="3849"/>
      <c r="C64" s="3849"/>
      <c r="D64" s="3849"/>
      <c r="E64" s="3849"/>
      <c r="F64" s="3849"/>
      <c r="G64" s="385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5" t="s">
        <v>352</v>
      </c>
      <c r="B66" s="3811"/>
      <c r="C66" s="3811"/>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72" t="s">
        <v>351</v>
      </c>
      <c r="M66" s="3773"/>
      <c r="N66" s="2110"/>
      <c r="O66" s="2111"/>
      <c r="P66" s="2112"/>
      <c r="Q66" s="1752"/>
      <c r="R66" s="1752"/>
      <c r="S66" s="1752"/>
      <c r="T66" s="1752"/>
      <c r="U66" s="1752"/>
      <c r="V66" s="1752"/>
    </row>
    <row r="67" spans="1:22" ht="25.5" customHeight="1">
      <c r="A67" s="343" t="s">
        <v>355</v>
      </c>
      <c r="B67" s="3823" t="s">
        <v>356</v>
      </c>
      <c r="C67" s="3823"/>
      <c r="D67" s="344">
        <v>0</v>
      </c>
      <c r="E67" s="39" t="s">
        <v>357</v>
      </c>
      <c r="F67" s="60" t="s">
        <v>15</v>
      </c>
      <c r="G67" s="3807"/>
      <c r="H67" s="2749" t="s">
        <v>2257</v>
      </c>
      <c r="I67" s="2751"/>
      <c r="J67" s="1759"/>
      <c r="K67" s="1731">
        <v>2</v>
      </c>
      <c r="L67" s="3777" t="s">
        <v>354</v>
      </c>
      <c r="M67" s="3777"/>
      <c r="N67" s="1194">
        <f>'数据-取费表'!B2</f>
        <v>0</v>
      </c>
      <c r="O67" s="1194"/>
      <c r="P67" s="1194"/>
      <c r="Q67" s="1752"/>
      <c r="R67" s="1752"/>
      <c r="S67" s="1752"/>
      <c r="T67" s="1752"/>
      <c r="U67" s="1752"/>
      <c r="V67" s="1752"/>
    </row>
    <row r="68" spans="1:22" ht="25.5" customHeight="1">
      <c r="A68" s="345"/>
      <c r="B68" s="3823" t="s">
        <v>359</v>
      </c>
      <c r="C68" s="3823"/>
      <c r="D68" s="346"/>
      <c r="E68" s="75"/>
      <c r="F68" s="347"/>
      <c r="G68" s="3808"/>
      <c r="H68" s="2750" t="s">
        <v>2258</v>
      </c>
      <c r="I68" s="2751"/>
      <c r="J68" s="1759"/>
      <c r="K68" s="1731">
        <v>3</v>
      </c>
      <c r="L68" s="3777" t="s">
        <v>358</v>
      </c>
      <c r="M68" s="3777"/>
      <c r="N68" s="1162" t="e">
        <f ca="1">C42</f>
        <v>#REF!</v>
      </c>
      <c r="O68" s="1162"/>
      <c r="P68" s="1162"/>
      <c r="Q68" s="1752"/>
      <c r="R68" s="1752"/>
      <c r="S68" s="1752"/>
      <c r="T68" s="1752"/>
      <c r="U68" s="1752"/>
      <c r="V68" s="1752"/>
    </row>
    <row r="69" spans="1:22" ht="23.45" customHeight="1">
      <c r="A69" s="348"/>
      <c r="B69" s="3823" t="s">
        <v>360</v>
      </c>
      <c r="C69" s="3823"/>
      <c r="D69" s="349"/>
      <c r="E69" s="71"/>
      <c r="F69" s="347"/>
      <c r="G69" s="3809"/>
      <c r="H69" s="2750" t="s">
        <v>2259</v>
      </c>
      <c r="I69" s="2751"/>
      <c r="J69" s="1759"/>
      <c r="K69" s="1163">
        <v>4</v>
      </c>
      <c r="L69" s="3778" t="s">
        <v>2157</v>
      </c>
      <c r="M69" s="3779"/>
      <c r="N69" s="1164" t="str">
        <f>C44</f>
        <v>——</v>
      </c>
      <c r="O69" s="1164"/>
      <c r="P69" s="1164"/>
      <c r="Q69" s="1752"/>
      <c r="R69" s="1752"/>
      <c r="S69" s="1752"/>
      <c r="T69" s="1752"/>
      <c r="U69" s="1752"/>
      <c r="V69" s="1752"/>
    </row>
    <row r="70" spans="1:22" ht="24" customHeight="1">
      <c r="A70" s="350" t="s">
        <v>361</v>
      </c>
      <c r="B70" s="3823" t="s">
        <v>362</v>
      </c>
      <c r="C70" s="3823"/>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2" t="s">
        <v>2282</v>
      </c>
      <c r="C71" s="3839"/>
      <c r="D71" s="349" t="e">
        <f ca="1">ROUND(D63*'数据-取费表'!B41/(1+'数据-取费表'!C42),0)</f>
        <v>#REF!</v>
      </c>
      <c r="E71" s="15" t="s">
        <v>363</v>
      </c>
      <c r="F71" s="351">
        <f>'数据-取费表'!B41</f>
        <v>0</v>
      </c>
      <c r="G71" s="352"/>
      <c r="H71" s="302"/>
      <c r="I71" s="1161"/>
      <c r="J71" s="1759"/>
      <c r="K71" s="2521" t="s">
        <v>364</v>
      </c>
      <c r="L71" s="3780" t="s">
        <v>365</v>
      </c>
      <c r="M71" s="3780"/>
      <c r="N71" s="2521" t="s">
        <v>366</v>
      </c>
      <c r="O71" s="2521" t="s">
        <v>367</v>
      </c>
      <c r="P71" s="2521" t="s">
        <v>368</v>
      </c>
      <c r="Q71" s="1752"/>
      <c r="R71" s="1752"/>
      <c r="S71" s="1752"/>
      <c r="T71" s="1752"/>
      <c r="U71" s="1752"/>
      <c r="V71" s="1752"/>
    </row>
    <row r="72" spans="1:22" ht="12" customHeight="1">
      <c r="A72" s="350" t="s">
        <v>371</v>
      </c>
      <c r="B72" s="3822" t="s">
        <v>2283</v>
      </c>
      <c r="C72" s="3839"/>
      <c r="D72" s="349" t="e">
        <f ca="1">C86</f>
        <v>#REF!</v>
      </c>
      <c r="E72" s="71" t="s">
        <v>372</v>
      </c>
      <c r="F72" s="351">
        <f>'数据-取费表'!B41</f>
        <v>0</v>
      </c>
      <c r="G72" s="352"/>
      <c r="H72" s="1167"/>
      <c r="I72" s="1161"/>
      <c r="J72" s="1759"/>
      <c r="K72" s="1731">
        <v>1</v>
      </c>
      <c r="L72" s="3776" t="s">
        <v>370</v>
      </c>
      <c r="M72" s="3776"/>
      <c r="N72" s="1165" t="b">
        <f>D66</f>
        <v>0</v>
      </c>
      <c r="O72" s="1636" t="str">
        <f>E66</f>
        <v>销售额×税（费）率</v>
      </c>
      <c r="P72" s="1166">
        <f>F66</f>
        <v>0</v>
      </c>
      <c r="Q72" s="1752"/>
      <c r="R72" s="1752"/>
      <c r="S72" s="1752"/>
      <c r="T72" s="1752"/>
      <c r="U72" s="1752"/>
      <c r="V72" s="1752"/>
    </row>
    <row r="73" spans="1:22" ht="24" customHeight="1">
      <c r="A73" s="3810" t="s">
        <v>374</v>
      </c>
      <c r="B73" s="3811"/>
      <c r="C73" s="3811"/>
      <c r="D73" s="353" t="e">
        <f ca="1">IF(H73="个人住宅",0,ROUND(D63*I73,0))</f>
        <v>#REF!</v>
      </c>
      <c r="E73" s="15" t="s">
        <v>375</v>
      </c>
      <c r="F73" s="351" t="str">
        <f>IF(H73="正常",I73,"免征")</f>
        <v>免征</v>
      </c>
      <c r="G73" s="352"/>
      <c r="H73" s="184"/>
      <c r="I73" s="351">
        <f>'数据-取费表'!B49</f>
        <v>0</v>
      </c>
      <c r="J73" s="1759"/>
      <c r="K73" s="1731">
        <v>2</v>
      </c>
      <c r="L73" s="3776" t="s">
        <v>373</v>
      </c>
      <c r="M73" s="3776"/>
      <c r="N73" s="1165" t="e">
        <f t="shared" ref="N73:P74" ca="1" si="0">D73</f>
        <v>#REF!</v>
      </c>
      <c r="O73" s="1636" t="str">
        <f t="shared" si="0"/>
        <v>销售额×税（费）率</v>
      </c>
      <c r="P73" s="1166" t="str">
        <f t="shared" si="0"/>
        <v>免征</v>
      </c>
      <c r="Q73" s="1752"/>
      <c r="R73" s="1752"/>
      <c r="S73" s="1752"/>
      <c r="T73" s="1752"/>
      <c r="U73" s="1752"/>
      <c r="V73" s="1752"/>
    </row>
    <row r="74" spans="1:22" ht="24.75">
      <c r="A74" s="3810" t="s">
        <v>377</v>
      </c>
      <c r="B74" s="3811"/>
      <c r="C74" s="3811"/>
      <c r="D74" s="353" t="e">
        <f ca="1">IF(H74="个人住宅",D75,D76)</f>
        <v>#REF!</v>
      </c>
      <c r="E74" s="15" t="s">
        <v>378</v>
      </c>
      <c r="F74" s="351" t="str">
        <f>IF(H74="正常",F76,"免征")</f>
        <v>免征</v>
      </c>
      <c r="G74" s="945" t="s">
        <v>379</v>
      </c>
      <c r="H74" s="354"/>
      <c r="I74" s="40"/>
      <c r="J74" s="1759"/>
      <c r="K74" s="1731">
        <v>3</v>
      </c>
      <c r="L74" s="3776" t="s">
        <v>376</v>
      </c>
      <c r="M74" s="3776"/>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91" t="s">
        <v>381</v>
      </c>
      <c r="C75" s="3792"/>
      <c r="D75" s="355">
        <v>0</v>
      </c>
      <c r="E75" s="39" t="s">
        <v>382</v>
      </c>
      <c r="F75" s="356"/>
      <c r="G75" s="352"/>
      <c r="H75" s="40"/>
      <c r="I75" s="40"/>
      <c r="J75" s="1759"/>
      <c r="K75" s="2515">
        <f>IF(H77="非个人房产","",4)</f>
        <v>4</v>
      </c>
      <c r="L75" s="3776" t="str">
        <f>IF(H77="非个人房产","——","个人所得税")</f>
        <v>个人所得税</v>
      </c>
      <c r="M75" s="3776"/>
      <c r="N75" s="1169">
        <f>D77</f>
        <v>0</v>
      </c>
      <c r="O75" s="1637" t="str">
        <f>E77</f>
        <v>差额计税</v>
      </c>
      <c r="P75" s="1170">
        <f>F77</f>
        <v>0.01</v>
      </c>
      <c r="Q75" s="1752"/>
      <c r="R75" s="1752"/>
      <c r="S75" s="1752"/>
      <c r="T75" s="1752"/>
      <c r="U75" s="1752"/>
      <c r="V75" s="1752"/>
    </row>
    <row r="76" spans="1:22" ht="24.75">
      <c r="A76" s="350" t="s">
        <v>361</v>
      </c>
      <c r="B76" s="3791" t="s">
        <v>384</v>
      </c>
      <c r="C76" s="3833"/>
      <c r="D76" s="353" t="e">
        <f ca="1">IF(H76="转让取得",C99,C115)</f>
        <v>#REF!</v>
      </c>
      <c r="E76" s="15" t="s">
        <v>385</v>
      </c>
      <c r="F76" s="51" t="s">
        <v>15</v>
      </c>
      <c r="G76" s="352"/>
      <c r="H76" s="354"/>
      <c r="I76" s="40"/>
      <c r="J76" s="1759"/>
      <c r="K76" s="2515" t="str">
        <f>IF(项目基本情况!K6="上海银行",IF(K75="",4,K75+1),"")</f>
        <v/>
      </c>
      <c r="L76" s="3787" t="str">
        <f>IF(项目基本情况!K6="上海银行","其他处置费用","")</f>
        <v/>
      </c>
      <c r="M76" s="3788"/>
      <c r="N76" s="1165" t="str">
        <f>IF(项目基本情况!K6="上海银行",N89,"")</f>
        <v/>
      </c>
      <c r="O76" s="3789" t="str">
        <f>IF(项目基本情况!K6="上海银行","包含处置中涉及的律师、诉讼、拍卖、评估等费用","")</f>
        <v/>
      </c>
      <c r="P76" s="3790"/>
      <c r="Q76" s="1752"/>
      <c r="R76" s="1752"/>
      <c r="S76" s="1752"/>
      <c r="T76" s="1752"/>
      <c r="U76" s="1752"/>
      <c r="V76" s="1752"/>
    </row>
    <row r="77" spans="1:22" ht="24.75" thickBot="1">
      <c r="A77" s="3802" t="s">
        <v>387</v>
      </c>
      <c r="B77" s="3803"/>
      <c r="C77" s="380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98">
        <f>IF(AND(K75="",K76=""),4,IF(项目基本情况!K6="上海银行",K76+1,K75+1))</f>
        <v>5</v>
      </c>
      <c r="L77" s="3776"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98"/>
      <c r="L78" s="3776"/>
      <c r="M78" s="2520" t="s">
        <v>386</v>
      </c>
      <c r="N78" s="1171"/>
      <c r="O78" s="1172" t="str">
        <f ca="1">NUMBERSTRING(INT(O77*10000),2)&amp;"元整"</f>
        <v>零元整</v>
      </c>
      <c r="P78" s="1173"/>
      <c r="Q78" s="1752"/>
      <c r="R78" s="1752"/>
      <c r="S78" s="1752"/>
      <c r="T78" s="1752"/>
      <c r="U78" s="1752"/>
      <c r="V78" s="1752"/>
    </row>
    <row r="79" spans="1:22" ht="13.5" thickBot="1">
      <c r="A79" s="3853" t="s">
        <v>388</v>
      </c>
      <c r="B79" s="3853"/>
      <c r="C79" s="3853"/>
      <c r="D79" s="3853"/>
      <c r="E79" s="3853"/>
      <c r="F79" s="40"/>
      <c r="G79" s="40"/>
      <c r="H79" s="965"/>
      <c r="I79" s="302"/>
      <c r="J79" s="1759"/>
      <c r="K79" s="3774">
        <f>K77+1</f>
        <v>6</v>
      </c>
      <c r="L79" s="3776" t="s">
        <v>2159</v>
      </c>
      <c r="M79" s="2520" t="s">
        <v>383</v>
      </c>
      <c r="N79" s="1171"/>
      <c r="O79" s="1172" t="e">
        <f ca="1">N69-O77</f>
        <v>#VALUE!</v>
      </c>
      <c r="P79" s="1173"/>
      <c r="Q79" s="1752"/>
      <c r="R79" s="1752"/>
      <c r="S79" s="1752"/>
      <c r="T79" s="1752"/>
      <c r="U79" s="1752"/>
      <c r="V79" s="1752"/>
    </row>
    <row r="80" spans="1:22" ht="12.75">
      <c r="A80" s="3784" t="s">
        <v>389</v>
      </c>
      <c r="B80" s="3785"/>
      <c r="C80" s="956"/>
      <c r="D80" s="956" t="s">
        <v>390</v>
      </c>
      <c r="E80" s="357" t="s">
        <v>391</v>
      </c>
      <c r="F80" s="40"/>
      <c r="G80" s="40"/>
      <c r="H80" s="965"/>
      <c r="I80" s="302"/>
      <c r="J80" s="1752"/>
      <c r="K80" s="3775"/>
      <c r="L80" s="3776"/>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796" t="s">
        <v>2160</v>
      </c>
      <c r="M81" s="3797"/>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6"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86"/>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86"/>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86"/>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6"/>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25" t="s">
        <v>398</v>
      </c>
      <c r="B88" s="3826"/>
      <c r="C88" s="3826"/>
      <c r="D88" s="3826"/>
      <c r="E88" s="3826"/>
      <c r="F88" s="3826"/>
      <c r="G88" s="3826"/>
      <c r="H88" s="3826"/>
      <c r="I88" s="1184"/>
      <c r="J88" s="1760"/>
      <c r="K88" s="3786"/>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84" t="s">
        <v>389</v>
      </c>
      <c r="B89" s="3785"/>
      <c r="C89" s="956"/>
      <c r="D89" s="956" t="s">
        <v>390</v>
      </c>
      <c r="E89" s="378" t="s">
        <v>399</v>
      </c>
      <c r="F89" s="379"/>
      <c r="G89" s="379"/>
      <c r="H89" s="380"/>
      <c r="I89" s="1185"/>
      <c r="J89" s="1762"/>
      <c r="K89" s="3786"/>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2" t="s">
        <v>407</v>
      </c>
      <c r="F94" s="3823"/>
      <c r="G94" s="3823"/>
      <c r="H94" s="382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81" t="s">
        <v>1780</v>
      </c>
      <c r="F96" s="3782"/>
      <c r="G96" s="3782"/>
      <c r="H96" s="378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5" t="s">
        <v>414</v>
      </c>
      <c r="B101" s="3826"/>
      <c r="C101" s="3826"/>
      <c r="D101" s="3826"/>
      <c r="E101" s="3826"/>
      <c r="F101" s="3826"/>
      <c r="G101" s="3826"/>
      <c r="H101" s="382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4" t="s">
        <v>389</v>
      </c>
      <c r="B102" s="378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7" t="s">
        <v>2252</v>
      </c>
      <c r="H108" s="3838"/>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5" t="s">
        <v>422</v>
      </c>
      <c r="F109" s="3782"/>
      <c r="G109" s="378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5" t="s">
        <v>424</v>
      </c>
      <c r="F110" s="3782"/>
      <c r="G110" s="3782"/>
      <c r="H110" s="3783"/>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81" t="s">
        <v>1780</v>
      </c>
      <c r="F111" s="3782"/>
      <c r="G111" s="3782"/>
      <c r="H111" s="378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5" t="s">
        <v>1799</v>
      </c>
      <c r="F112" s="3782"/>
      <c r="G112" s="3782"/>
      <c r="H112" s="378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4" t="s">
        <v>1394</v>
      </c>
      <c r="B24" s="3855"/>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4" t="s">
        <v>2293</v>
      </c>
      <c r="B25" s="3855"/>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4" t="s">
        <v>2294</v>
      </c>
      <c r="B26" s="3855"/>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6" t="s">
        <v>2292</v>
      </c>
      <c r="B27" s="3857"/>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出让国有建设用地使用权预评估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1" t="s">
        <v>471</v>
      </c>
      <c r="D6" s="3882"/>
      <c r="E6" s="3881" t="s">
        <v>472</v>
      </c>
      <c r="F6" s="3882"/>
      <c r="G6" s="3881" t="s">
        <v>473</v>
      </c>
      <c r="H6" s="3882"/>
      <c r="I6" s="3881" t="s">
        <v>474</v>
      </c>
      <c r="J6" s="3882"/>
      <c r="K6" s="484" t="s">
        <v>475</v>
      </c>
      <c r="L6" s="1856"/>
      <c r="M6" s="1855"/>
      <c r="N6" s="1855"/>
      <c r="O6" s="1857"/>
      <c r="P6" s="3883" t="s">
        <v>476</v>
      </c>
      <c r="Q6" s="3884"/>
      <c r="R6" s="3867" t="s">
        <v>472</v>
      </c>
      <c r="S6" s="3868"/>
      <c r="T6" s="3867" t="s">
        <v>473</v>
      </c>
      <c r="U6" s="3868"/>
      <c r="V6" s="3889" t="s">
        <v>474</v>
      </c>
      <c r="W6" s="3889"/>
      <c r="X6" s="1380"/>
      <c r="Y6" s="3867" t="s">
        <v>476</v>
      </c>
      <c r="Z6" s="3868"/>
      <c r="AA6" s="3862" t="s">
        <v>472</v>
      </c>
      <c r="AB6" s="3863" t="s">
        <v>473</v>
      </c>
      <c r="AC6" s="3862" t="s">
        <v>474</v>
      </c>
    </row>
    <row r="7" spans="1:30" ht="20.25">
      <c r="A7" s="485"/>
      <c r="B7" s="486"/>
      <c r="C7" s="3892" t="s">
        <v>2192</v>
      </c>
      <c r="D7" s="3893"/>
      <c r="E7" s="3892" t="s">
        <v>2193</v>
      </c>
      <c r="F7" s="3893"/>
      <c r="G7" s="3892" t="s">
        <v>2194</v>
      </c>
      <c r="H7" s="3893"/>
      <c r="I7" s="3892" t="s">
        <v>2195</v>
      </c>
      <c r="J7" s="3893"/>
      <c r="K7" s="484"/>
      <c r="L7" s="1856"/>
      <c r="M7" s="1855"/>
      <c r="N7" s="1855"/>
      <c r="O7" s="1857"/>
      <c r="P7" s="3885"/>
      <c r="Q7" s="3886"/>
      <c r="R7" s="3869"/>
      <c r="S7" s="3870"/>
      <c r="T7" s="3869"/>
      <c r="U7" s="3870"/>
      <c r="V7" s="3889"/>
      <c r="W7" s="3889"/>
      <c r="X7" s="1380"/>
      <c r="Y7" s="3869"/>
      <c r="Z7" s="3870"/>
      <c r="AA7" s="3863"/>
      <c r="AB7" s="3863"/>
      <c r="AC7" s="3863"/>
    </row>
    <row r="8" spans="1:30" ht="21" thickBot="1">
      <c r="A8" s="485"/>
      <c r="B8" s="486"/>
      <c r="C8" s="3894" t="s">
        <v>2196</v>
      </c>
      <c r="D8" s="3895"/>
      <c r="E8" s="3894" t="s">
        <v>2196</v>
      </c>
      <c r="F8" s="3895"/>
      <c r="G8" s="3890" t="s">
        <v>2196</v>
      </c>
      <c r="H8" s="3891"/>
      <c r="I8" s="3890" t="s">
        <v>2196</v>
      </c>
      <c r="J8" s="3891"/>
      <c r="K8" s="484" t="s">
        <v>477</v>
      </c>
      <c r="L8" s="1856"/>
      <c r="M8" s="1855"/>
      <c r="N8" s="1855"/>
      <c r="O8" s="1857"/>
      <c r="P8" s="3887"/>
      <c r="Q8" s="3888"/>
      <c r="R8" s="3869"/>
      <c r="S8" s="3870"/>
      <c r="T8" s="3871"/>
      <c r="U8" s="3872"/>
      <c r="V8" s="3889"/>
      <c r="W8" s="3889"/>
      <c r="X8" s="1380"/>
      <c r="Y8" s="3871"/>
      <c r="Z8" s="3872"/>
      <c r="AA8" s="3864"/>
      <c r="AB8" s="3864"/>
      <c r="AC8" s="3864"/>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65" t="s">
        <v>479</v>
      </c>
      <c r="Q9" s="3874"/>
      <c r="R9" s="1381" t="s">
        <v>5</v>
      </c>
      <c r="S9" s="1382">
        <f t="shared" ref="S9:S17" si="0">F9</f>
        <v>100</v>
      </c>
      <c r="T9" s="1381" t="s">
        <v>5</v>
      </c>
      <c r="U9" s="1382">
        <f t="shared" ref="U9:U17" si="1">H9</f>
        <v>100</v>
      </c>
      <c r="V9" s="1381" t="s">
        <v>5</v>
      </c>
      <c r="W9" s="1382">
        <f t="shared" ref="W9:W17" si="2">J9</f>
        <v>100</v>
      </c>
      <c r="X9" s="1383"/>
      <c r="Y9" s="3865" t="s">
        <v>479</v>
      </c>
      <c r="Z9" s="3866"/>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5" t="s">
        <v>482</v>
      </c>
      <c r="Q10" s="3866"/>
      <c r="R10" s="1381" t="s">
        <v>5</v>
      </c>
      <c r="S10" s="1382">
        <f t="shared" si="0"/>
        <v>0</v>
      </c>
      <c r="T10" s="1381" t="s">
        <v>5</v>
      </c>
      <c r="U10" s="1382">
        <f t="shared" si="1"/>
        <v>0</v>
      </c>
      <c r="V10" s="1381" t="s">
        <v>5</v>
      </c>
      <c r="W10" s="1382">
        <f t="shared" si="2"/>
        <v>0</v>
      </c>
      <c r="X10" s="1383"/>
      <c r="Y10" s="3865" t="s">
        <v>482</v>
      </c>
      <c r="Z10" s="3866"/>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3"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73"/>
      <c r="Q12" s="1050" t="str">
        <f t="shared" si="6"/>
        <v>土地使用年限（年）</v>
      </c>
      <c r="R12" s="1381" t="s">
        <v>5</v>
      </c>
      <c r="S12" s="1382" t="e">
        <f t="shared" si="0"/>
        <v>#DIV/0!</v>
      </c>
      <c r="T12" s="1381" t="s">
        <v>5</v>
      </c>
      <c r="U12" s="1382" t="e">
        <f t="shared" si="1"/>
        <v>#DIV/0!</v>
      </c>
      <c r="V12" s="1381" t="s">
        <v>5</v>
      </c>
      <c r="W12" s="1382" t="e">
        <f t="shared" si="2"/>
        <v>#DIV/0!</v>
      </c>
      <c r="X12" s="1383"/>
      <c r="Y12" s="3821"/>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3"/>
      <c r="Q13" s="1050" t="str">
        <f t="shared" si="6"/>
        <v>容积率</v>
      </c>
      <c r="R13" s="1381" t="s">
        <v>5</v>
      </c>
      <c r="S13" s="1382" t="e">
        <f t="shared" si="0"/>
        <v>#N/A</v>
      </c>
      <c r="T13" s="1381" t="s">
        <v>5</v>
      </c>
      <c r="U13" s="1382" t="e">
        <f t="shared" si="1"/>
        <v>#N/A</v>
      </c>
      <c r="V13" s="1381" t="s">
        <v>5</v>
      </c>
      <c r="W13" s="1382" t="e">
        <f t="shared" si="2"/>
        <v>#N/A</v>
      </c>
      <c r="X13" s="1383"/>
      <c r="Y13" s="3821"/>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3"/>
      <c r="Q14" s="1050" t="str">
        <f t="shared" si="6"/>
        <v>配建</v>
      </c>
      <c r="R14" s="1381" t="s">
        <v>5</v>
      </c>
      <c r="S14" s="1382">
        <f t="shared" si="0"/>
        <v>100</v>
      </c>
      <c r="T14" s="1381" t="s">
        <v>5</v>
      </c>
      <c r="U14" s="1382">
        <f t="shared" si="1"/>
        <v>100</v>
      </c>
      <c r="V14" s="1381" t="s">
        <v>5</v>
      </c>
      <c r="W14" s="1382">
        <f t="shared" si="2"/>
        <v>100</v>
      </c>
      <c r="X14" s="1383"/>
      <c r="Y14" s="382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3"/>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3"/>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5" t="s">
        <v>489</v>
      </c>
      <c r="Q17" s="1385" t="str">
        <f t="shared" si="6"/>
        <v>居住社区成熟度</v>
      </c>
      <c r="R17" s="1386" t="s">
        <v>5</v>
      </c>
      <c r="S17" s="1387">
        <f t="shared" si="0"/>
        <v>100</v>
      </c>
      <c r="T17" s="1386" t="s">
        <v>5</v>
      </c>
      <c r="U17" s="1387">
        <f t="shared" si="1"/>
        <v>100</v>
      </c>
      <c r="V17" s="1386" t="s">
        <v>5</v>
      </c>
      <c r="W17" s="1387">
        <f t="shared" si="2"/>
        <v>100</v>
      </c>
      <c r="X17" s="1380"/>
      <c r="Y17" s="3875"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6"/>
      <c r="Q18" s="1385"/>
      <c r="R18" s="1386"/>
      <c r="S18" s="1387"/>
      <c r="T18" s="1386"/>
      <c r="U18" s="1387"/>
      <c r="V18" s="1386"/>
      <c r="W18" s="1387"/>
      <c r="X18" s="1380"/>
      <c r="Y18" s="387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6"/>
      <c r="Q19" s="1385" t="str">
        <f>B19</f>
        <v>商业繁华度</v>
      </c>
      <c r="R19" s="1386" t="s">
        <v>5</v>
      </c>
      <c r="S19" s="1387">
        <f>F19</f>
        <v>100</v>
      </c>
      <c r="T19" s="1386" t="s">
        <v>5</v>
      </c>
      <c r="U19" s="1387">
        <f>H19</f>
        <v>100</v>
      </c>
      <c r="V19" s="1386" t="s">
        <v>5</v>
      </c>
      <c r="W19" s="1387">
        <f>J19</f>
        <v>100</v>
      </c>
      <c r="X19" s="1380"/>
      <c r="Y19" s="3876"/>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6"/>
      <c r="Q20" s="1385"/>
      <c r="R20" s="1386"/>
      <c r="S20" s="1387"/>
      <c r="T20" s="1386"/>
      <c r="U20" s="1387"/>
      <c r="V20" s="1386"/>
      <c r="W20" s="1387"/>
      <c r="X20" s="1380"/>
      <c r="Y20" s="387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6"/>
      <c r="Q21" s="1385" t="str">
        <f>B21</f>
        <v>办公集聚程度</v>
      </c>
      <c r="R21" s="1386" t="s">
        <v>5</v>
      </c>
      <c r="S21" s="1387">
        <f>F21</f>
        <v>100</v>
      </c>
      <c r="T21" s="1386" t="s">
        <v>5</v>
      </c>
      <c r="U21" s="1387">
        <f>H21</f>
        <v>100</v>
      </c>
      <c r="V21" s="1386" t="s">
        <v>5</v>
      </c>
      <c r="W21" s="1387">
        <f>J21</f>
        <v>100</v>
      </c>
      <c r="X21" s="1380"/>
      <c r="Y21" s="3876"/>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6"/>
      <c r="Q22" s="1385"/>
      <c r="R22" s="1386"/>
      <c r="S22" s="1387"/>
      <c r="T22" s="1386"/>
      <c r="U22" s="1387"/>
      <c r="V22" s="1386"/>
      <c r="W22" s="1387"/>
      <c r="X22" s="1380"/>
      <c r="Y22" s="387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6"/>
      <c r="Q23" s="1385" t="str">
        <f>B23</f>
        <v>交通便捷度</v>
      </c>
      <c r="R23" s="1386" t="s">
        <v>5</v>
      </c>
      <c r="S23" s="1387">
        <f>F23</f>
        <v>100</v>
      </c>
      <c r="T23" s="1386" t="s">
        <v>5</v>
      </c>
      <c r="U23" s="1387">
        <f>H23</f>
        <v>100</v>
      </c>
      <c r="V23" s="1386" t="s">
        <v>5</v>
      </c>
      <c r="W23" s="1387">
        <f>J23</f>
        <v>100</v>
      </c>
      <c r="X23" s="1380"/>
      <c r="Y23" s="3876"/>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6"/>
      <c r="Q24" s="1385"/>
      <c r="R24" s="1386"/>
      <c r="S24" s="1387"/>
      <c r="T24" s="1386"/>
      <c r="U24" s="1387"/>
      <c r="V24" s="1386"/>
      <c r="W24" s="1387"/>
      <c r="X24" s="1380"/>
      <c r="Y24" s="387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6"/>
      <c r="Q25" s="1385" t="str">
        <f t="shared" ref="Q25:Q39" si="8">B25</f>
        <v>区域土地利用方向</v>
      </c>
      <c r="R25" s="1386" t="s">
        <v>5</v>
      </c>
      <c r="S25" s="1387">
        <f>F25</f>
        <v>100</v>
      </c>
      <c r="T25" s="1386" t="s">
        <v>5</v>
      </c>
      <c r="U25" s="1387">
        <f>H25</f>
        <v>100</v>
      </c>
      <c r="V25" s="1386" t="s">
        <v>5</v>
      </c>
      <c r="W25" s="1387">
        <f>J25</f>
        <v>100</v>
      </c>
      <c r="X25" s="1380"/>
      <c r="Y25" s="387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6"/>
      <c r="Q26" s="1385"/>
      <c r="R26" s="1386"/>
      <c r="S26" s="1387"/>
      <c r="T26" s="1386"/>
      <c r="U26" s="1387"/>
      <c r="V26" s="1386"/>
      <c r="W26" s="1387"/>
      <c r="X26" s="1380"/>
      <c r="Y26" s="387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6"/>
      <c r="Q27" s="1385" t="str">
        <f t="shared" si="8"/>
        <v>自然及人文环境状况</v>
      </c>
      <c r="R27" s="1386" t="s">
        <v>5</v>
      </c>
      <c r="S27" s="1387">
        <f>F27</f>
        <v>100</v>
      </c>
      <c r="T27" s="1386" t="s">
        <v>5</v>
      </c>
      <c r="U27" s="1387">
        <f>H27</f>
        <v>100</v>
      </c>
      <c r="V27" s="1386" t="s">
        <v>5</v>
      </c>
      <c r="W27" s="1387">
        <f>J27</f>
        <v>100</v>
      </c>
      <c r="X27" s="1380"/>
      <c r="Y27" s="387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6"/>
      <c r="Q28" s="1385"/>
      <c r="R28" s="1386"/>
      <c r="S28" s="1387"/>
      <c r="T28" s="1386"/>
      <c r="U28" s="1387"/>
      <c r="V28" s="1386"/>
      <c r="W28" s="1387"/>
      <c r="X28" s="1380"/>
      <c r="Y28" s="3876"/>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6"/>
      <c r="Q29" s="1050" t="str">
        <f t="shared" si="8"/>
        <v>公共配套设施</v>
      </c>
      <c r="R29" s="1381" t="s">
        <v>5</v>
      </c>
      <c r="S29" s="1382">
        <f>F29</f>
        <v>100</v>
      </c>
      <c r="T29" s="1381" t="s">
        <v>5</v>
      </c>
      <c r="U29" s="1382">
        <f>H29</f>
        <v>100</v>
      </c>
      <c r="V29" s="1381" t="s">
        <v>5</v>
      </c>
      <c r="W29" s="1382">
        <f>J29</f>
        <v>100</v>
      </c>
      <c r="X29" s="1383"/>
      <c r="Y29" s="3876"/>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6"/>
      <c r="Q30" s="1050"/>
      <c r="R30" s="1381"/>
      <c r="S30" s="1382"/>
      <c r="T30" s="1381"/>
      <c r="U30" s="1382"/>
      <c r="V30" s="1381"/>
      <c r="W30" s="1382"/>
      <c r="X30" s="1383"/>
      <c r="Y30" s="3876"/>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6"/>
      <c r="Q31" s="2192" t="str">
        <f>B31</f>
        <v>基础设施水平</v>
      </c>
      <c r="R31" s="1381" t="s">
        <v>5</v>
      </c>
      <c r="S31" s="1382">
        <f>F31</f>
        <v>100</v>
      </c>
      <c r="T31" s="1381" t="s">
        <v>5</v>
      </c>
      <c r="U31" s="1382">
        <f>H31</f>
        <v>100</v>
      </c>
      <c r="V31" s="1381" t="s">
        <v>5</v>
      </c>
      <c r="W31" s="1382">
        <f>J31</f>
        <v>100</v>
      </c>
      <c r="X31" s="1383"/>
      <c r="Y31" s="3876"/>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6"/>
      <c r="Q32" s="2192"/>
      <c r="R32" s="1381"/>
      <c r="S32" s="1382"/>
      <c r="T32" s="1381"/>
      <c r="U32" s="1382"/>
      <c r="V32" s="1381"/>
      <c r="W32" s="1382"/>
      <c r="X32" s="1383"/>
      <c r="Y32" s="3876"/>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6"/>
      <c r="Q34" s="1385" t="str">
        <f t="shared" si="8"/>
        <v>毗邻道路的类型与等级</v>
      </c>
      <c r="R34" s="1386" t="s">
        <v>5</v>
      </c>
      <c r="S34" s="1387">
        <f t="shared" si="9"/>
        <v>100</v>
      </c>
      <c r="T34" s="1386" t="s">
        <v>5</v>
      </c>
      <c r="U34" s="1387">
        <f t="shared" si="10"/>
        <v>100</v>
      </c>
      <c r="V34" s="1386" t="s">
        <v>5</v>
      </c>
      <c r="W34" s="1387">
        <f t="shared" si="11"/>
        <v>100</v>
      </c>
      <c r="X34" s="1380"/>
      <c r="Y34" s="387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6"/>
      <c r="Q35" s="1385"/>
      <c r="R35" s="1386"/>
      <c r="S35" s="1387"/>
      <c r="T35" s="1386"/>
      <c r="U35" s="1387"/>
      <c r="V35" s="1386"/>
      <c r="W35" s="1387"/>
      <c r="X35" s="1380"/>
      <c r="Y35" s="387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6"/>
      <c r="Q36" s="1385" t="str">
        <f t="shared" si="8"/>
        <v>土地级别</v>
      </c>
      <c r="R36" s="1386" t="s">
        <v>5</v>
      </c>
      <c r="S36" s="1387">
        <f t="shared" si="9"/>
        <v>100</v>
      </c>
      <c r="T36" s="1386" t="s">
        <v>5</v>
      </c>
      <c r="U36" s="1387">
        <f t="shared" si="10"/>
        <v>100</v>
      </c>
      <c r="V36" s="1386" t="s">
        <v>5</v>
      </c>
      <c r="W36" s="1387">
        <f t="shared" si="11"/>
        <v>100</v>
      </c>
      <c r="X36" s="1380"/>
      <c r="Y36" s="387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6"/>
      <c r="Q37" s="1385">
        <f t="shared" si="8"/>
        <v>111</v>
      </c>
      <c r="R37" s="1386" t="s">
        <v>5</v>
      </c>
      <c r="S37" s="1387">
        <f t="shared" si="9"/>
        <v>100</v>
      </c>
      <c r="T37" s="1386" t="s">
        <v>5</v>
      </c>
      <c r="U37" s="1387">
        <f t="shared" si="10"/>
        <v>100</v>
      </c>
      <c r="V37" s="1386" t="s">
        <v>5</v>
      </c>
      <c r="W37" s="1387">
        <f t="shared" si="11"/>
        <v>100</v>
      </c>
      <c r="X37" s="1380"/>
      <c r="Y37" s="387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7" t="s">
        <v>499</v>
      </c>
      <c r="Q38" s="1385">
        <f t="shared" si="8"/>
        <v>111</v>
      </c>
      <c r="R38" s="1386" t="s">
        <v>5</v>
      </c>
      <c r="S38" s="1387">
        <f t="shared" si="9"/>
        <v>100</v>
      </c>
      <c r="T38" s="1386" t="s">
        <v>5</v>
      </c>
      <c r="U38" s="1387">
        <f t="shared" si="10"/>
        <v>100</v>
      </c>
      <c r="V38" s="1386" t="s">
        <v>5</v>
      </c>
      <c r="W38" s="1387">
        <f t="shared" si="11"/>
        <v>100</v>
      </c>
      <c r="X38" s="1380"/>
      <c r="Y38" s="387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8"/>
      <c r="Q39" s="1385">
        <f t="shared" si="8"/>
        <v>111</v>
      </c>
      <c r="R39" s="1390" t="s">
        <v>5</v>
      </c>
      <c r="S39" s="1391">
        <f t="shared" si="9"/>
        <v>100</v>
      </c>
      <c r="T39" s="1390" t="s">
        <v>5</v>
      </c>
      <c r="U39" s="1391">
        <f t="shared" si="10"/>
        <v>100</v>
      </c>
      <c r="V39" s="1390" t="s">
        <v>5</v>
      </c>
      <c r="W39" s="1391">
        <f t="shared" si="11"/>
        <v>100</v>
      </c>
      <c r="X39" s="1392"/>
      <c r="Y39" s="3878"/>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8"/>
      <c r="Q40" s="1385" t="str">
        <f>B40</f>
        <v>宗地面积</v>
      </c>
      <c r="R40" s="1386" t="s">
        <v>5</v>
      </c>
      <c r="S40" s="1387" t="e">
        <f t="shared" si="9"/>
        <v>#N/A</v>
      </c>
      <c r="T40" s="1386" t="s">
        <v>5</v>
      </c>
      <c r="U40" s="1387" t="e">
        <f t="shared" si="10"/>
        <v>#N/A</v>
      </c>
      <c r="V40" s="1386" t="s">
        <v>5</v>
      </c>
      <c r="W40" s="1387" t="e">
        <f t="shared" si="11"/>
        <v>#N/A</v>
      </c>
      <c r="X40" s="1380"/>
      <c r="Y40" s="3878"/>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8"/>
      <c r="Q41" s="1385" t="str">
        <f t="shared" ref="Q41:Q47" si="13">B41</f>
        <v>宗地形状</v>
      </c>
      <c r="R41" s="1386" t="s">
        <v>5</v>
      </c>
      <c r="S41" s="1387">
        <f t="shared" si="9"/>
        <v>100</v>
      </c>
      <c r="T41" s="1386" t="s">
        <v>5</v>
      </c>
      <c r="U41" s="1387">
        <f t="shared" si="10"/>
        <v>100</v>
      </c>
      <c r="V41" s="1386" t="s">
        <v>5</v>
      </c>
      <c r="W41" s="1387">
        <f t="shared" si="11"/>
        <v>100</v>
      </c>
      <c r="X41" s="1380"/>
      <c r="Y41" s="387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8"/>
      <c r="Q42" s="1385" t="str">
        <f t="shared" si="13"/>
        <v>临街宽度及深度</v>
      </c>
      <c r="R42" s="1386" t="s">
        <v>5</v>
      </c>
      <c r="S42" s="1387">
        <f t="shared" si="9"/>
        <v>100</v>
      </c>
      <c r="T42" s="1386" t="s">
        <v>5</v>
      </c>
      <c r="U42" s="1387">
        <f t="shared" si="10"/>
        <v>100</v>
      </c>
      <c r="V42" s="1386" t="s">
        <v>5</v>
      </c>
      <c r="W42" s="1387">
        <f t="shared" si="11"/>
        <v>100</v>
      </c>
      <c r="X42" s="1380"/>
      <c r="Y42" s="3878"/>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8"/>
      <c r="Q43" s="1385" t="str">
        <f t="shared" si="13"/>
        <v>宗地开发程度</v>
      </c>
      <c r="R43" s="1381" t="s">
        <v>5</v>
      </c>
      <c r="S43" s="1382">
        <f t="shared" si="9"/>
        <v>100</v>
      </c>
      <c r="T43" s="1381" t="s">
        <v>5</v>
      </c>
      <c r="U43" s="1382">
        <f t="shared" si="10"/>
        <v>100</v>
      </c>
      <c r="V43" s="1381" t="s">
        <v>5</v>
      </c>
      <c r="W43" s="1382">
        <f t="shared" si="11"/>
        <v>100</v>
      </c>
      <c r="X43" s="1383"/>
      <c r="Y43" s="387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8" t="s">
        <v>499</v>
      </c>
      <c r="Q44" s="1385" t="str">
        <f t="shared" si="13"/>
        <v>工程地质条件</v>
      </c>
      <c r="R44" s="1386" t="s">
        <v>5</v>
      </c>
      <c r="S44" s="1387">
        <f t="shared" si="9"/>
        <v>100</v>
      </c>
      <c r="T44" s="1386" t="s">
        <v>5</v>
      </c>
      <c r="U44" s="1387">
        <f t="shared" si="10"/>
        <v>100</v>
      </c>
      <c r="V44" s="1386" t="s">
        <v>5</v>
      </c>
      <c r="W44" s="1387">
        <f t="shared" si="11"/>
        <v>100</v>
      </c>
      <c r="X44" s="1380"/>
      <c r="Y44" s="387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8"/>
      <c r="Q45" s="1385">
        <f t="shared" si="13"/>
        <v>111</v>
      </c>
      <c r="R45" s="1386" t="s">
        <v>5</v>
      </c>
      <c r="S45" s="1387">
        <f t="shared" si="9"/>
        <v>100</v>
      </c>
      <c r="T45" s="1386" t="s">
        <v>5</v>
      </c>
      <c r="U45" s="1387">
        <f t="shared" si="10"/>
        <v>100</v>
      </c>
      <c r="V45" s="1386" t="s">
        <v>5</v>
      </c>
      <c r="W45" s="1387">
        <f t="shared" si="11"/>
        <v>100</v>
      </c>
      <c r="X45" s="1380"/>
      <c r="Y45" s="387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8"/>
      <c r="Q46" s="1385">
        <f t="shared" si="13"/>
        <v>111</v>
      </c>
      <c r="R46" s="1386" t="s">
        <v>5</v>
      </c>
      <c r="S46" s="1387">
        <f t="shared" si="9"/>
        <v>100</v>
      </c>
      <c r="T46" s="1386" t="s">
        <v>5</v>
      </c>
      <c r="U46" s="1387">
        <f t="shared" si="10"/>
        <v>100</v>
      </c>
      <c r="V46" s="1386" t="s">
        <v>5</v>
      </c>
      <c r="W46" s="1387">
        <f t="shared" si="11"/>
        <v>100</v>
      </c>
      <c r="X46" s="1380"/>
      <c r="Y46" s="387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8"/>
      <c r="Q47" s="1385">
        <f t="shared" si="13"/>
        <v>111</v>
      </c>
      <c r="R47" s="1390" t="s">
        <v>5</v>
      </c>
      <c r="S47" s="1391">
        <f t="shared" si="9"/>
        <v>100</v>
      </c>
      <c r="T47" s="1390" t="s">
        <v>5</v>
      </c>
      <c r="U47" s="1391">
        <f t="shared" si="10"/>
        <v>100</v>
      </c>
      <c r="V47" s="1390" t="s">
        <v>5</v>
      </c>
      <c r="W47" s="1391">
        <f t="shared" si="11"/>
        <v>100</v>
      </c>
      <c r="X47" s="1392"/>
      <c r="Y47" s="3878"/>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3" t="str">
        <f>A48</f>
        <v>成交单价</v>
      </c>
      <c r="Q48" s="3873"/>
      <c r="R48" s="3889">
        <f>E48</f>
        <v>0</v>
      </c>
      <c r="S48" s="3889"/>
      <c r="T48" s="3889">
        <f>G48</f>
        <v>0</v>
      </c>
      <c r="U48" s="3889"/>
      <c r="V48" s="3889">
        <f>I48</f>
        <v>0</v>
      </c>
      <c r="W48" s="3889"/>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3" t="str">
        <f>A49</f>
        <v>比较价格（元/平方米）</v>
      </c>
      <c r="Q49" s="3873"/>
      <c r="R49" s="3897" t="e">
        <f>ROUND(PRODUCT(R48,AA9:AA47),0)</f>
        <v>#DIV/0!</v>
      </c>
      <c r="S49" s="3897"/>
      <c r="T49" s="3897" t="e">
        <f>ROUND(PRODUCT(T48,AB9:AB47),0)</f>
        <v>#DIV/0!</v>
      </c>
      <c r="U49" s="3897"/>
      <c r="V49" s="3897" t="e">
        <f>ROUND(PRODUCT(V48,AC9:AC47),0)</f>
        <v>#DIV/0!</v>
      </c>
      <c r="W49" s="3897"/>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9" t="str">
        <f>A50</f>
        <v>估价对象XX用房的比较价格（楼面单价，元/平方米）</v>
      </c>
      <c r="Q50" s="3880"/>
      <c r="R50" s="3896" t="e">
        <f>ROUND(IF(D49="简单平均",AVERAGE(R49:W49),R49*F49+T49*H49+V49*J49),0)</f>
        <v>#DIV/0!</v>
      </c>
      <c r="S50" s="3896"/>
      <c r="T50" s="3896"/>
      <c r="U50" s="3896"/>
      <c r="V50" s="3896"/>
      <c r="W50" s="389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8" t="s">
        <v>1639</v>
      </c>
      <c r="H57" s="3859"/>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0"/>
      <c r="H58" s="3861"/>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81" t="s">
        <v>471</v>
      </c>
      <c r="D6" s="3882"/>
      <c r="E6" s="3903" t="s">
        <v>472</v>
      </c>
      <c r="F6" s="3904"/>
      <c r="G6" s="3881" t="s">
        <v>473</v>
      </c>
      <c r="H6" s="3882"/>
      <c r="I6" s="3881" t="s">
        <v>474</v>
      </c>
      <c r="J6" s="3882"/>
      <c r="K6" s="484" t="s">
        <v>475</v>
      </c>
      <c r="L6" s="1856"/>
      <c r="M6" s="1857"/>
      <c r="N6" s="1857"/>
      <c r="O6" s="1857"/>
      <c r="P6" s="3883" t="s">
        <v>476</v>
      </c>
      <c r="Q6" s="3884"/>
      <c r="R6" s="3867" t="s">
        <v>472</v>
      </c>
      <c r="S6" s="3868"/>
      <c r="T6" s="3867" t="s">
        <v>473</v>
      </c>
      <c r="U6" s="3868"/>
      <c r="V6" s="3889" t="s">
        <v>474</v>
      </c>
      <c r="W6" s="3889"/>
      <c r="X6" s="1380"/>
      <c r="Y6" s="3867" t="s">
        <v>476</v>
      </c>
      <c r="Z6" s="3868"/>
      <c r="AA6" s="3862" t="s">
        <v>472</v>
      </c>
      <c r="AB6" s="3863" t="s">
        <v>473</v>
      </c>
      <c r="AC6" s="3862" t="s">
        <v>474</v>
      </c>
    </row>
    <row r="7" spans="1:29" ht="15">
      <c r="A7" s="485"/>
      <c r="B7" s="486"/>
      <c r="C7" s="3892" t="s">
        <v>2192</v>
      </c>
      <c r="D7" s="3893"/>
      <c r="E7" s="3905" t="s">
        <v>2193</v>
      </c>
      <c r="F7" s="3906"/>
      <c r="G7" s="3892" t="s">
        <v>2194</v>
      </c>
      <c r="H7" s="3893"/>
      <c r="I7" s="3892" t="s">
        <v>2195</v>
      </c>
      <c r="J7" s="3893"/>
      <c r="K7" s="484"/>
      <c r="L7" s="1856"/>
      <c r="M7" s="1857"/>
      <c r="N7" s="1857"/>
      <c r="O7" s="1857"/>
      <c r="P7" s="3885"/>
      <c r="Q7" s="3886"/>
      <c r="R7" s="3869"/>
      <c r="S7" s="3870"/>
      <c r="T7" s="3869"/>
      <c r="U7" s="3870"/>
      <c r="V7" s="3889"/>
      <c r="W7" s="3889"/>
      <c r="X7" s="1380"/>
      <c r="Y7" s="3869"/>
      <c r="Z7" s="3870"/>
      <c r="AA7" s="3863"/>
      <c r="AB7" s="3863"/>
      <c r="AC7" s="3863"/>
    </row>
    <row r="8" spans="1:29" ht="15.75" thickBot="1">
      <c r="A8" s="487"/>
      <c r="B8" s="488"/>
      <c r="C8" s="3890" t="s">
        <v>2196</v>
      </c>
      <c r="D8" s="3891"/>
      <c r="E8" s="3907" t="s">
        <v>2196</v>
      </c>
      <c r="F8" s="3908"/>
      <c r="G8" s="3890" t="s">
        <v>2196</v>
      </c>
      <c r="H8" s="3891"/>
      <c r="I8" s="3890" t="s">
        <v>2196</v>
      </c>
      <c r="J8" s="3891"/>
      <c r="K8" s="484" t="s">
        <v>477</v>
      </c>
      <c r="L8" s="1856"/>
      <c r="M8" s="1857"/>
      <c r="N8" s="1857"/>
      <c r="O8" s="1857"/>
      <c r="P8" s="3887"/>
      <c r="Q8" s="3888"/>
      <c r="R8" s="3869"/>
      <c r="S8" s="3870"/>
      <c r="T8" s="3871"/>
      <c r="U8" s="3872"/>
      <c r="V8" s="3889"/>
      <c r="W8" s="3889"/>
      <c r="X8" s="1380"/>
      <c r="Y8" s="3871"/>
      <c r="Z8" s="3872"/>
      <c r="AA8" s="3864"/>
      <c r="AB8" s="3864"/>
      <c r="AC8" s="3864"/>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65" t="s">
        <v>479</v>
      </c>
      <c r="Q9" s="3874"/>
      <c r="R9" s="1381" t="s">
        <v>5</v>
      </c>
      <c r="S9" s="1382">
        <f t="shared" ref="S9:S17" si="0">F9</f>
        <v>100</v>
      </c>
      <c r="T9" s="1381" t="s">
        <v>5</v>
      </c>
      <c r="U9" s="1382">
        <f t="shared" ref="U9:U17" si="1">H9</f>
        <v>100</v>
      </c>
      <c r="V9" s="1381" t="s">
        <v>5</v>
      </c>
      <c r="W9" s="1382">
        <f t="shared" ref="W9:W17" si="2">J9</f>
        <v>100</v>
      </c>
      <c r="X9" s="1383"/>
      <c r="Y9" s="3865" t="s">
        <v>479</v>
      </c>
      <c r="Z9" s="3866"/>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5" t="s">
        <v>482</v>
      </c>
      <c r="Q10" s="3866"/>
      <c r="R10" s="1381" t="s">
        <v>5</v>
      </c>
      <c r="S10" s="1382">
        <f t="shared" si="0"/>
        <v>0</v>
      </c>
      <c r="T10" s="1381" t="s">
        <v>5</v>
      </c>
      <c r="U10" s="1382">
        <f t="shared" si="1"/>
        <v>0</v>
      </c>
      <c r="V10" s="1381" t="s">
        <v>5</v>
      </c>
      <c r="W10" s="1382">
        <f t="shared" si="2"/>
        <v>0</v>
      </c>
      <c r="X10" s="1383"/>
      <c r="Y10" s="3865" t="s">
        <v>482</v>
      </c>
      <c r="Z10" s="3866"/>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3"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73"/>
      <c r="Q12" s="1050" t="str">
        <f t="shared" si="6"/>
        <v>土地使用年限（年）</v>
      </c>
      <c r="R12" s="1381" t="s">
        <v>5</v>
      </c>
      <c r="S12" s="1382" t="e">
        <f t="shared" si="0"/>
        <v>#DIV/0!</v>
      </c>
      <c r="T12" s="1381" t="s">
        <v>5</v>
      </c>
      <c r="U12" s="1382" t="e">
        <f t="shared" si="1"/>
        <v>#DIV/0!</v>
      </c>
      <c r="V12" s="1381" t="s">
        <v>5</v>
      </c>
      <c r="W12" s="1382" t="e">
        <f t="shared" si="2"/>
        <v>#DIV/0!</v>
      </c>
      <c r="X12" s="1383"/>
      <c r="Y12" s="3821"/>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3"/>
      <c r="Q13" s="1050" t="str">
        <f t="shared" si="6"/>
        <v>容积率</v>
      </c>
      <c r="R13" s="1381" t="s">
        <v>5</v>
      </c>
      <c r="S13" s="1382" t="e">
        <f t="shared" si="0"/>
        <v>#N/A</v>
      </c>
      <c r="T13" s="1381" t="s">
        <v>5</v>
      </c>
      <c r="U13" s="1382" t="e">
        <f t="shared" si="1"/>
        <v>#N/A</v>
      </c>
      <c r="V13" s="1381" t="s">
        <v>5</v>
      </c>
      <c r="W13" s="1382" t="e">
        <f t="shared" si="2"/>
        <v>#N/A</v>
      </c>
      <c r="X13" s="1383"/>
      <c r="Y13" s="382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3"/>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3"/>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5" t="s">
        <v>489</v>
      </c>
      <c r="Q17" s="1385" t="str">
        <f t="shared" si="6"/>
        <v>产业集聚程度</v>
      </c>
      <c r="R17" s="1386" t="s">
        <v>5</v>
      </c>
      <c r="S17" s="1387">
        <f t="shared" si="0"/>
        <v>100</v>
      </c>
      <c r="T17" s="1386" t="s">
        <v>5</v>
      </c>
      <c r="U17" s="1387">
        <f t="shared" si="1"/>
        <v>100</v>
      </c>
      <c r="V17" s="1386" t="s">
        <v>5</v>
      </c>
      <c r="W17" s="1387">
        <f t="shared" si="2"/>
        <v>100</v>
      </c>
      <c r="X17" s="1380"/>
      <c r="Y17" s="387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6"/>
      <c r="Q18" s="1385"/>
      <c r="R18" s="1386"/>
      <c r="S18" s="1387"/>
      <c r="T18" s="1386"/>
      <c r="U18" s="1387"/>
      <c r="V18" s="1386"/>
      <c r="W18" s="1387"/>
      <c r="X18" s="1380"/>
      <c r="Y18" s="3876"/>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6"/>
      <c r="Q19" s="1385" t="str">
        <f>B19</f>
        <v>交通便捷度</v>
      </c>
      <c r="R19" s="1386" t="s">
        <v>5</v>
      </c>
      <c r="S19" s="1387">
        <f>F19</f>
        <v>100</v>
      </c>
      <c r="T19" s="1386" t="s">
        <v>5</v>
      </c>
      <c r="U19" s="1387">
        <f>H19</f>
        <v>100</v>
      </c>
      <c r="V19" s="1386" t="s">
        <v>5</v>
      </c>
      <c r="W19" s="1387">
        <f>J19</f>
        <v>100</v>
      </c>
      <c r="X19" s="1380"/>
      <c r="Y19" s="387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6"/>
      <c r="Q21" s="1385" t="str">
        <f t="shared" ref="Q21:Q35" si="8">B21</f>
        <v>区域土地利用方向</v>
      </c>
      <c r="R21" s="1386" t="s">
        <v>5</v>
      </c>
      <c r="S21" s="1387">
        <f>F21</f>
        <v>100</v>
      </c>
      <c r="T21" s="1386" t="s">
        <v>5</v>
      </c>
      <c r="U21" s="1387">
        <f>H21</f>
        <v>100</v>
      </c>
      <c r="V21" s="1386" t="s">
        <v>5</v>
      </c>
      <c r="W21" s="1387">
        <f>J21</f>
        <v>100</v>
      </c>
      <c r="X21" s="1380"/>
      <c r="Y21" s="387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6"/>
      <c r="Q22" s="1385"/>
      <c r="R22" s="1386"/>
      <c r="S22" s="1387"/>
      <c r="T22" s="1386"/>
      <c r="U22" s="1387"/>
      <c r="V22" s="1386"/>
      <c r="W22" s="1387"/>
      <c r="X22" s="1380"/>
      <c r="Y22" s="3876"/>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6"/>
      <c r="Q23" s="1385" t="str">
        <f t="shared" si="8"/>
        <v>环境状况</v>
      </c>
      <c r="R23" s="1386" t="s">
        <v>5</v>
      </c>
      <c r="S23" s="1387">
        <f>F23</f>
        <v>100</v>
      </c>
      <c r="T23" s="1386" t="s">
        <v>5</v>
      </c>
      <c r="U23" s="1387">
        <f>H23</f>
        <v>100</v>
      </c>
      <c r="V23" s="1386" t="s">
        <v>5</v>
      </c>
      <c r="W23" s="1387">
        <f>J23</f>
        <v>100</v>
      </c>
      <c r="X23" s="1380"/>
      <c r="Y23" s="387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6"/>
      <c r="Q24" s="1385"/>
      <c r="R24" s="1386"/>
      <c r="S24" s="1387"/>
      <c r="T24" s="1386"/>
      <c r="U24" s="1387"/>
      <c r="V24" s="1386"/>
      <c r="W24" s="1387"/>
      <c r="X24" s="1380"/>
      <c r="Y24" s="3876"/>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6"/>
      <c r="Q25" s="1050" t="str">
        <f t="shared" si="8"/>
        <v>公共配套设施</v>
      </c>
      <c r="R25" s="1381" t="s">
        <v>5</v>
      </c>
      <c r="S25" s="1382">
        <f>F25</f>
        <v>100</v>
      </c>
      <c r="T25" s="1381" t="s">
        <v>5</v>
      </c>
      <c r="U25" s="1382">
        <f>H25</f>
        <v>100</v>
      </c>
      <c r="V25" s="1381" t="s">
        <v>5</v>
      </c>
      <c r="W25" s="1382">
        <f>J25</f>
        <v>100</v>
      </c>
      <c r="X25" s="1383"/>
      <c r="Y25" s="387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6"/>
      <c r="Q26" s="1050"/>
      <c r="R26" s="1381"/>
      <c r="S26" s="1382"/>
      <c r="T26" s="1381"/>
      <c r="U26" s="1382"/>
      <c r="V26" s="1381"/>
      <c r="W26" s="1382"/>
      <c r="X26" s="1383"/>
      <c r="Y26" s="3876"/>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6"/>
      <c r="Q27" s="2192" t="str">
        <f>B27</f>
        <v>基础设施水平</v>
      </c>
      <c r="R27" s="1381" t="s">
        <v>5</v>
      </c>
      <c r="S27" s="1382">
        <f>F27</f>
        <v>100</v>
      </c>
      <c r="T27" s="1381" t="s">
        <v>5</v>
      </c>
      <c r="U27" s="1382">
        <f>H27</f>
        <v>100</v>
      </c>
      <c r="V27" s="1381" t="s">
        <v>5</v>
      </c>
      <c r="W27" s="1382">
        <f>J27</f>
        <v>100</v>
      </c>
      <c r="X27" s="1383"/>
      <c r="Y27" s="387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6"/>
      <c r="Q28" s="2192"/>
      <c r="R28" s="1381"/>
      <c r="S28" s="1382"/>
      <c r="T28" s="1381"/>
      <c r="U28" s="1382"/>
      <c r="V28" s="1381"/>
      <c r="W28" s="1382"/>
      <c r="X28" s="1383"/>
      <c r="Y28" s="387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6"/>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6"/>
      <c r="Q30" s="1385" t="str">
        <f t="shared" si="8"/>
        <v>毗邻道路的类型与等级</v>
      </c>
      <c r="R30" s="1386" t="s">
        <v>5</v>
      </c>
      <c r="S30" s="1387">
        <f t="shared" si="9"/>
        <v>100</v>
      </c>
      <c r="T30" s="1386" t="s">
        <v>5</v>
      </c>
      <c r="U30" s="1387">
        <f t="shared" si="10"/>
        <v>100</v>
      </c>
      <c r="V30" s="1386" t="s">
        <v>5</v>
      </c>
      <c r="W30" s="1387">
        <f t="shared" si="11"/>
        <v>100</v>
      </c>
      <c r="X30" s="1380"/>
      <c r="Y30" s="387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6"/>
      <c r="Q31" s="1385"/>
      <c r="R31" s="1386"/>
      <c r="S31" s="1387"/>
      <c r="T31" s="1386"/>
      <c r="U31" s="1387"/>
      <c r="V31" s="1386"/>
      <c r="W31" s="1387"/>
      <c r="X31" s="1380"/>
      <c r="Y31" s="387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6"/>
      <c r="Q32" s="1385" t="str">
        <f t="shared" si="8"/>
        <v>土地级别</v>
      </c>
      <c r="R32" s="1386" t="s">
        <v>5</v>
      </c>
      <c r="S32" s="1387">
        <f t="shared" si="9"/>
        <v>100</v>
      </c>
      <c r="T32" s="1386" t="s">
        <v>5</v>
      </c>
      <c r="U32" s="1387">
        <f t="shared" si="10"/>
        <v>100</v>
      </c>
      <c r="V32" s="1386" t="s">
        <v>5</v>
      </c>
      <c r="W32" s="1387">
        <f t="shared" si="11"/>
        <v>100</v>
      </c>
      <c r="X32" s="1380"/>
      <c r="Y32" s="387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7" t="s">
        <v>499</v>
      </c>
      <c r="Q34" s="1385">
        <f t="shared" si="8"/>
        <v>111</v>
      </c>
      <c r="R34" s="1386" t="s">
        <v>5</v>
      </c>
      <c r="S34" s="1387">
        <f t="shared" si="9"/>
        <v>100</v>
      </c>
      <c r="T34" s="1386" t="s">
        <v>5</v>
      </c>
      <c r="U34" s="1387">
        <f t="shared" si="10"/>
        <v>100</v>
      </c>
      <c r="V34" s="1386" t="s">
        <v>5</v>
      </c>
      <c r="W34" s="1387">
        <f t="shared" si="11"/>
        <v>100</v>
      </c>
      <c r="X34" s="1380"/>
      <c r="Y34" s="3878"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8"/>
      <c r="Q35" s="1385">
        <f t="shared" si="8"/>
        <v>111</v>
      </c>
      <c r="R35" s="1390" t="s">
        <v>5</v>
      </c>
      <c r="S35" s="1391">
        <f t="shared" si="9"/>
        <v>100</v>
      </c>
      <c r="T35" s="1390" t="s">
        <v>5</v>
      </c>
      <c r="U35" s="1391">
        <f t="shared" si="10"/>
        <v>100</v>
      </c>
      <c r="V35" s="1390" t="s">
        <v>5</v>
      </c>
      <c r="W35" s="1391">
        <f t="shared" si="11"/>
        <v>100</v>
      </c>
      <c r="X35" s="1392"/>
      <c r="Y35" s="3878"/>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8"/>
      <c r="Q36" s="1385" t="str">
        <f>B36</f>
        <v>宗地面积</v>
      </c>
      <c r="R36" s="1386" t="s">
        <v>5</v>
      </c>
      <c r="S36" s="1387" t="e">
        <f t="shared" si="9"/>
        <v>#N/A</v>
      </c>
      <c r="T36" s="1386" t="s">
        <v>5</v>
      </c>
      <c r="U36" s="1387" t="e">
        <f t="shared" si="10"/>
        <v>#N/A</v>
      </c>
      <c r="V36" s="1386" t="s">
        <v>5</v>
      </c>
      <c r="W36" s="1387" t="e">
        <f t="shared" si="11"/>
        <v>#N/A</v>
      </c>
      <c r="X36" s="1380"/>
      <c r="Y36" s="3878"/>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8"/>
      <c r="Q37" s="1385" t="str">
        <f t="shared" ref="Q37:Q42" si="13">B37</f>
        <v>宗地形状</v>
      </c>
      <c r="R37" s="1386" t="s">
        <v>5</v>
      </c>
      <c r="S37" s="1387">
        <f t="shared" si="9"/>
        <v>100</v>
      </c>
      <c r="T37" s="1386" t="s">
        <v>5</v>
      </c>
      <c r="U37" s="1387">
        <f t="shared" si="10"/>
        <v>100</v>
      </c>
      <c r="V37" s="1386" t="s">
        <v>5</v>
      </c>
      <c r="W37" s="1387">
        <f t="shared" si="11"/>
        <v>100</v>
      </c>
      <c r="X37" s="1380"/>
      <c r="Y37" s="387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8"/>
      <c r="Q38" s="1385" t="str">
        <f t="shared" si="13"/>
        <v>宗地开发程度</v>
      </c>
      <c r="R38" s="1381" t="s">
        <v>5</v>
      </c>
      <c r="S38" s="1382">
        <f t="shared" si="9"/>
        <v>100</v>
      </c>
      <c r="T38" s="1381" t="s">
        <v>5</v>
      </c>
      <c r="U38" s="1382">
        <f t="shared" si="10"/>
        <v>100</v>
      </c>
      <c r="V38" s="1381" t="s">
        <v>5</v>
      </c>
      <c r="W38" s="1382">
        <f t="shared" si="11"/>
        <v>100</v>
      </c>
      <c r="X38" s="1383"/>
      <c r="Y38" s="387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8" t="s">
        <v>549</v>
      </c>
      <c r="Q39" s="1385" t="str">
        <f t="shared" si="13"/>
        <v>工程地质条件</v>
      </c>
      <c r="R39" s="1386" t="s">
        <v>5</v>
      </c>
      <c r="S39" s="1387">
        <f t="shared" si="9"/>
        <v>100</v>
      </c>
      <c r="T39" s="1386" t="s">
        <v>5</v>
      </c>
      <c r="U39" s="1387">
        <f t="shared" si="10"/>
        <v>100</v>
      </c>
      <c r="V39" s="1386" t="s">
        <v>5</v>
      </c>
      <c r="W39" s="1387">
        <f t="shared" si="11"/>
        <v>100</v>
      </c>
      <c r="X39" s="1380"/>
      <c r="Y39" s="387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8"/>
      <c r="Q40" s="1385">
        <f t="shared" si="13"/>
        <v>111</v>
      </c>
      <c r="R40" s="1386" t="s">
        <v>5</v>
      </c>
      <c r="S40" s="1387">
        <f t="shared" si="9"/>
        <v>100</v>
      </c>
      <c r="T40" s="1386" t="s">
        <v>5</v>
      </c>
      <c r="U40" s="1387">
        <f t="shared" si="10"/>
        <v>100</v>
      </c>
      <c r="V40" s="1386" t="s">
        <v>5</v>
      </c>
      <c r="W40" s="1387">
        <f t="shared" si="11"/>
        <v>100</v>
      </c>
      <c r="X40" s="1380"/>
      <c r="Y40" s="387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8"/>
      <c r="Q41" s="1385">
        <f t="shared" si="13"/>
        <v>111</v>
      </c>
      <c r="R41" s="1386" t="s">
        <v>5</v>
      </c>
      <c r="S41" s="1387">
        <f t="shared" si="9"/>
        <v>100</v>
      </c>
      <c r="T41" s="1386" t="s">
        <v>5</v>
      </c>
      <c r="U41" s="1387">
        <f t="shared" si="10"/>
        <v>100</v>
      </c>
      <c r="V41" s="1386" t="s">
        <v>5</v>
      </c>
      <c r="W41" s="1387">
        <f t="shared" si="11"/>
        <v>100</v>
      </c>
      <c r="X41" s="1380"/>
      <c r="Y41" s="387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8"/>
      <c r="Q42" s="1385">
        <f t="shared" si="13"/>
        <v>111</v>
      </c>
      <c r="R42" s="1390" t="s">
        <v>5</v>
      </c>
      <c r="S42" s="1391">
        <f t="shared" si="9"/>
        <v>100</v>
      </c>
      <c r="T42" s="1390" t="s">
        <v>5</v>
      </c>
      <c r="U42" s="1391">
        <f t="shared" si="10"/>
        <v>100</v>
      </c>
      <c r="V42" s="1390" t="s">
        <v>5</v>
      </c>
      <c r="W42" s="1391">
        <f t="shared" si="11"/>
        <v>100</v>
      </c>
      <c r="X42" s="1392"/>
      <c r="Y42" s="3878"/>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3" t="str">
        <f>A43</f>
        <v>成交单价</v>
      </c>
      <c r="Q43" s="3873"/>
      <c r="R43" s="3889">
        <f>E43</f>
        <v>0</v>
      </c>
      <c r="S43" s="3889"/>
      <c r="T43" s="3889">
        <f>G43</f>
        <v>0</v>
      </c>
      <c r="U43" s="3889"/>
      <c r="V43" s="3889">
        <f>I43</f>
        <v>0</v>
      </c>
      <c r="W43" s="3889"/>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3" t="str">
        <f>A44</f>
        <v>比较价格（元/平方米）</v>
      </c>
      <c r="Q44" s="3873"/>
      <c r="R44" s="3897" t="e">
        <f>ROUND(PRODUCT(R43,AA9:AA42),0)</f>
        <v>#DIV/0!</v>
      </c>
      <c r="S44" s="3897"/>
      <c r="T44" s="3897" t="e">
        <f>ROUND(PRODUCT(T43,AB9:AB42),0)</f>
        <v>#DIV/0!</v>
      </c>
      <c r="U44" s="3897"/>
      <c r="V44" s="3897" t="e">
        <f>ROUND(PRODUCT(V43,AC9:AC42),0)</f>
        <v>#DIV/0!</v>
      </c>
      <c r="W44" s="3897"/>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9" t="str">
        <f>A45</f>
        <v>估价对象XX用房的比较价格（楼面单价，元/平方米）</v>
      </c>
      <c r="Q45" s="3880"/>
      <c r="R45" s="3902" t="e">
        <f>ROUND(IF(D44="简单平均",AVERAGE(R44:W44),R44*F44+T44*H44+V44*J44),0)</f>
        <v>#DIV/0!</v>
      </c>
      <c r="S45" s="3902"/>
      <c r="T45" s="3902"/>
      <c r="U45" s="3902"/>
      <c r="V45" s="3902"/>
      <c r="W45" s="390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8" t="s">
        <v>1642</v>
      </c>
      <c r="H52" s="389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00"/>
      <c r="H53" s="390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3191</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7" t="s">
        <v>2060</v>
      </c>
      <c r="X8" s="391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6"/>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3192</v>
      </c>
      <c r="B12" s="3507" t="s">
        <v>3193</v>
      </c>
      <c r="C12" s="3513">
        <v>1.02</v>
      </c>
      <c r="D12" s="3508" t="s">
        <v>3194</v>
      </c>
      <c r="E12" s="3509" t="s">
        <v>3195</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3196</v>
      </c>
      <c r="B13" s="1283" t="s">
        <v>874</v>
      </c>
      <c r="C13" s="3527">
        <f>ROUND(C16*D16*E16*F16*G16*H16*I16*J16,4)</f>
        <v>0</v>
      </c>
      <c r="D13" s="3545" t="s">
        <v>3197</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3198</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3199</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3200</v>
      </c>
      <c r="B17" s="3557" t="s">
        <v>3201</v>
      </c>
      <c r="C17" s="3565">
        <f>ROUND(IF(OR(E2="工业",E2="公共服务"),1,IF(AND(E18=0,E19=0),1,IF(AND(E18=J24,E19=G19),0.8,IF(E19=0,1+E17*(-0.2),1+E17*G17*(-0.2))))),4)</f>
        <v>1</v>
      </c>
      <c r="D17" s="3558" t="s">
        <v>3202</v>
      </c>
      <c r="E17" s="3565" t="e">
        <f>ROUND(G18/I18,2)</f>
        <v>#DIV/0!</v>
      </c>
      <c r="F17" s="3558" t="s">
        <v>3205</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3203</v>
      </c>
      <c r="E18" s="3564"/>
      <c r="F18" s="3561" t="s">
        <v>3206</v>
      </c>
      <c r="G18" s="3563">
        <f>ROUND(1-(1/(POWER(1+G24,E18))),4)</f>
        <v>0</v>
      </c>
      <c r="H18" s="3561" t="s">
        <v>3208</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3204</v>
      </c>
      <c r="E19" s="3566"/>
      <c r="F19" s="3562" t="s">
        <v>3207</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0" t="s">
        <v>1370</v>
      </c>
      <c r="B20" s="1278" t="s">
        <v>875</v>
      </c>
      <c r="C20" s="998" t="e">
        <f>ROUND(IF(F21="与级别开发程度一致",0,(G21-E21)/C21),0)</f>
        <v>#DIV/0!</v>
      </c>
      <c r="D20" s="3922" t="s">
        <v>879</v>
      </c>
      <c r="E20" s="3923"/>
      <c r="F20" s="3922" t="s">
        <v>876</v>
      </c>
      <c r="G20" s="392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1"/>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3258</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存贷款利率!E28/100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3211</v>
      </c>
      <c r="G33" s="1327"/>
      <c r="H33" s="1327"/>
      <c r="I33" s="1327"/>
      <c r="J33" s="1328"/>
      <c r="K33" s="2985"/>
      <c r="L33" s="3639" t="s">
        <v>3237</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3212</v>
      </c>
      <c r="G34" s="1332"/>
      <c r="H34" s="1332"/>
      <c r="I34" s="1332"/>
      <c r="J34" s="1333"/>
      <c r="K34" s="2978"/>
      <c r="L34" s="3639" t="s">
        <v>3238</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3239</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4"/>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4"/>
      <c r="K37" s="3642" t="s">
        <v>3240</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915"/>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5"/>
      <c r="B39" s="3571" t="s">
        <v>3213</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3215</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3215</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3215</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3224</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3225</v>
      </c>
      <c r="B92" s="3574"/>
      <c r="C92" s="3574" t="s">
        <v>3230</v>
      </c>
      <c r="D92" s="3574" t="s">
        <v>3217</v>
      </c>
      <c r="E92" s="3631" t="s">
        <v>3218</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3226</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3227</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3215</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3219</v>
      </c>
      <c r="B96" s="3578" t="s">
        <v>3220</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3221</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3228</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3229</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3222</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3223</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2" t="s">
        <v>1172</v>
      </c>
      <c r="B104" s="3912"/>
      <c r="C104" s="3912"/>
      <c r="D104" s="3912"/>
      <c r="E104" s="3912"/>
      <c r="F104" s="3912"/>
      <c r="G104" s="3912"/>
      <c r="H104" s="3912"/>
      <c r="I104" s="3912"/>
      <c r="J104" s="3912"/>
      <c r="K104" s="2103"/>
      <c r="L104" s="2103"/>
      <c r="M104" s="2103"/>
      <c r="N104" s="2103"/>
    </row>
    <row r="105" spans="1:36">
      <c r="A105" s="3913" t="s">
        <v>1161</v>
      </c>
      <c r="B105" s="3913" t="s">
        <v>1173</v>
      </c>
      <c r="C105" s="1041" t="s">
        <v>1174</v>
      </c>
      <c r="D105" s="1042"/>
      <c r="E105" s="1042"/>
      <c r="F105" s="1042"/>
      <c r="G105" s="1042"/>
      <c r="H105" s="1042"/>
      <c r="I105" s="1042"/>
      <c r="J105" s="1043"/>
      <c r="K105" s="1035"/>
      <c r="L105" s="1035"/>
      <c r="M105" s="1035"/>
      <c r="N105" s="1035"/>
    </row>
    <row r="106" spans="1:36">
      <c r="A106" s="3913"/>
      <c r="B106" s="391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0"/>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9" t="s">
        <v>1175</v>
      </c>
      <c r="B114" s="3909"/>
      <c r="C114" s="3909"/>
      <c r="D114" s="3909"/>
      <c r="E114" s="3909"/>
      <c r="F114" s="3909"/>
      <c r="G114" s="3909"/>
      <c r="H114" s="3909"/>
      <c r="I114" s="3909"/>
      <c r="J114" s="3909"/>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3232</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3233</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3234</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3235</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3216</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8" t="s">
        <v>2457</v>
      </c>
      <c r="D19" s="3259"/>
      <c r="E19" s="3253" t="s">
        <v>2458</v>
      </c>
      <c r="F19" s="1033"/>
      <c r="G19" s="1033"/>
    </row>
    <row r="20" spans="1:13" s="1408" customFormat="1">
      <c r="A20" s="3928" t="s">
        <v>2449</v>
      </c>
      <c r="B20" s="3931" t="s">
        <v>2459</v>
      </c>
      <c r="C20" s="3260" t="s">
        <v>2460</v>
      </c>
      <c r="D20" s="3261"/>
      <c r="E20" s="3262">
        <v>1</v>
      </c>
      <c r="F20" s="3263" t="s">
        <v>2461</v>
      </c>
      <c r="G20" s="1035"/>
      <c r="H20" s="1025"/>
      <c r="I20" s="1025"/>
    </row>
    <row r="21" spans="1:13" s="1408" customFormat="1">
      <c r="A21" s="3929"/>
      <c r="B21" s="3927"/>
      <c r="C21" s="3264" t="s">
        <v>2462</v>
      </c>
      <c r="D21" s="3265"/>
      <c r="E21" s="3266">
        <v>1</v>
      </c>
      <c r="F21" s="3263" t="s">
        <v>2463</v>
      </c>
      <c r="G21" s="1035"/>
      <c r="H21" s="1025"/>
      <c r="I21" s="1025"/>
    </row>
    <row r="22" spans="1:13" s="1408" customFormat="1">
      <c r="A22" s="3929"/>
      <c r="B22" s="3927"/>
      <c r="C22" s="3264" t="s">
        <v>2464</v>
      </c>
      <c r="D22" s="3265"/>
      <c r="E22" s="3266">
        <v>0.9</v>
      </c>
      <c r="F22" s="3263" t="s">
        <v>2465</v>
      </c>
      <c r="G22" s="1035"/>
      <c r="H22" s="1025"/>
      <c r="I22" s="1025"/>
    </row>
    <row r="23" spans="1:13" s="1408" customFormat="1">
      <c r="A23" s="3929"/>
      <c r="B23" s="3927"/>
      <c r="C23" s="3264" t="s">
        <v>2466</v>
      </c>
      <c r="D23" s="3265"/>
      <c r="E23" s="3266">
        <v>0.9</v>
      </c>
      <c r="F23" s="3263" t="s">
        <v>2467</v>
      </c>
      <c r="G23" s="1035"/>
      <c r="H23" s="1025"/>
      <c r="I23" s="1025"/>
    </row>
    <row r="24" spans="1:13" s="1408" customFormat="1">
      <c r="A24" s="3929"/>
      <c r="B24" s="3927"/>
      <c r="C24" s="3264" t="s">
        <v>2468</v>
      </c>
      <c r="D24" s="3265"/>
      <c r="E24" s="3266">
        <v>0.8</v>
      </c>
      <c r="F24" s="3263" t="s">
        <v>2469</v>
      </c>
      <c r="G24" s="1035"/>
      <c r="H24" s="1025"/>
      <c r="I24" s="1025"/>
    </row>
    <row r="25" spans="1:13" s="1408" customFormat="1" ht="14.25" thickBot="1">
      <c r="A25" s="3930"/>
      <c r="B25" s="3932"/>
      <c r="C25" s="3267" t="s">
        <v>2470</v>
      </c>
      <c r="D25" s="3268"/>
      <c r="E25" s="3269">
        <v>0.8</v>
      </c>
      <c r="F25" s="3263" t="s">
        <v>2471</v>
      </c>
      <c r="G25" s="1035"/>
      <c r="H25" s="1025"/>
      <c r="I25" s="1025"/>
    </row>
    <row r="26" spans="1:13" s="1408" customFormat="1" ht="14.25" thickBot="1">
      <c r="A26" s="3270" t="s">
        <v>2450</v>
      </c>
      <c r="B26" s="3271" t="s">
        <v>2459</v>
      </c>
      <c r="C26" s="3272" t="s">
        <v>2472</v>
      </c>
      <c r="D26" s="3273"/>
      <c r="E26" s="3274">
        <v>1</v>
      </c>
      <c r="F26" s="3263" t="s">
        <v>2473</v>
      </c>
      <c r="G26" s="1035"/>
      <c r="H26" s="1025"/>
      <c r="I26" s="1025"/>
    </row>
    <row r="27" spans="1:13" s="1408" customFormat="1">
      <c r="A27" s="3933" t="s">
        <v>2454</v>
      </c>
      <c r="B27" s="3931" t="s">
        <v>2454</v>
      </c>
      <c r="C27" s="3260" t="s">
        <v>2474</v>
      </c>
      <c r="D27" s="3261"/>
      <c r="E27" s="3262">
        <v>1</v>
      </c>
      <c r="F27" s="3263" t="s">
        <v>2475</v>
      </c>
      <c r="G27" s="1035"/>
      <c r="H27" s="1025"/>
      <c r="I27" s="1025"/>
    </row>
    <row r="28" spans="1:13" s="1408" customFormat="1">
      <c r="A28" s="3934"/>
      <c r="B28" s="3927"/>
      <c r="C28" s="3264" t="s">
        <v>2476</v>
      </c>
      <c r="D28" s="3265"/>
      <c r="E28" s="3266">
        <v>1</v>
      </c>
      <c r="F28" s="3263" t="s">
        <v>2477</v>
      </c>
      <c r="G28" s="1035"/>
      <c r="H28" s="1025"/>
      <c r="I28" s="1025"/>
    </row>
    <row r="29" spans="1:13" s="1408" customFormat="1">
      <c r="A29" s="3934"/>
      <c r="B29" s="3927"/>
      <c r="C29" s="3264" t="s">
        <v>2478</v>
      </c>
      <c r="D29" s="3265"/>
      <c r="E29" s="3266">
        <v>0.8</v>
      </c>
      <c r="F29" s="3263" t="s">
        <v>2479</v>
      </c>
      <c r="G29" s="1035"/>
      <c r="H29" s="1025"/>
      <c r="I29" s="1025"/>
    </row>
    <row r="30" spans="1:13" s="1408" customFormat="1">
      <c r="A30" s="3934"/>
      <c r="B30" s="3927"/>
      <c r="C30" s="3264" t="s">
        <v>2480</v>
      </c>
      <c r="D30" s="3265"/>
      <c r="E30" s="3266">
        <v>0.8</v>
      </c>
      <c r="F30" s="3263" t="s">
        <v>2481</v>
      </c>
      <c r="G30" s="1035"/>
      <c r="H30" s="1025"/>
      <c r="I30" s="1025"/>
    </row>
    <row r="31" spans="1:13" s="1408" customFormat="1">
      <c r="A31" s="3934"/>
      <c r="B31" s="3927"/>
      <c r="C31" s="3264" t="s">
        <v>2482</v>
      </c>
      <c r="D31" s="3265"/>
      <c r="E31" s="3266">
        <v>0.8</v>
      </c>
      <c r="F31" s="3263" t="s">
        <v>2483</v>
      </c>
      <c r="G31" s="1035"/>
      <c r="H31" s="1025"/>
      <c r="I31" s="1025"/>
    </row>
    <row r="32" spans="1:13" s="1408" customFormat="1">
      <c r="A32" s="3934"/>
      <c r="B32" s="3927"/>
      <c r="C32" s="3264" t="s">
        <v>2484</v>
      </c>
      <c r="D32" s="3265"/>
      <c r="E32" s="3266">
        <v>0.7</v>
      </c>
      <c r="F32" s="3263" t="s">
        <v>2485</v>
      </c>
      <c r="G32" s="1035"/>
      <c r="H32" s="1025"/>
      <c r="I32" s="1025"/>
    </row>
    <row r="33" spans="1:9" s="1408" customFormat="1">
      <c r="A33" s="3934"/>
      <c r="B33" s="3927"/>
      <c r="C33" s="3264" t="s">
        <v>2486</v>
      </c>
      <c r="D33" s="3265"/>
      <c r="E33" s="3266">
        <v>0.8</v>
      </c>
      <c r="F33" s="3263" t="s">
        <v>2487</v>
      </c>
      <c r="G33" s="1035"/>
      <c r="H33" s="1025"/>
      <c r="I33" s="1025"/>
    </row>
    <row r="34" spans="1:9" s="1408" customFormat="1">
      <c r="A34" s="3934"/>
      <c r="B34" s="3927"/>
      <c r="C34" s="3264" t="s">
        <v>2488</v>
      </c>
      <c r="D34" s="3265"/>
      <c r="E34" s="3266">
        <v>0.6</v>
      </c>
      <c r="F34" s="3263" t="s">
        <v>2489</v>
      </c>
      <c r="G34" s="1035"/>
      <c r="H34" s="1025"/>
      <c r="I34" s="1025"/>
    </row>
    <row r="35" spans="1:9" s="1408" customFormat="1">
      <c r="A35" s="3934"/>
      <c r="B35" s="3927"/>
      <c r="C35" s="3264" t="s">
        <v>2490</v>
      </c>
      <c r="D35" s="3265"/>
      <c r="E35" s="3266">
        <v>0.2</v>
      </c>
      <c r="F35" s="3263" t="s">
        <v>2491</v>
      </c>
      <c r="G35" s="1035"/>
      <c r="H35" s="1025"/>
      <c r="I35" s="1025"/>
    </row>
    <row r="36" spans="1:9" s="1408" customFormat="1">
      <c r="A36" s="3934"/>
      <c r="B36" s="3927"/>
      <c r="C36" s="3264" t="s">
        <v>2492</v>
      </c>
      <c r="D36" s="3265"/>
      <c r="E36" s="3266">
        <v>0.2</v>
      </c>
      <c r="F36" s="3263" t="s">
        <v>2493</v>
      </c>
      <c r="G36" s="1035"/>
      <c r="H36" s="1025"/>
      <c r="I36" s="1025"/>
    </row>
    <row r="37" spans="1:9" s="1408" customFormat="1">
      <c r="A37" s="3934"/>
      <c r="B37" s="3925" t="s">
        <v>2494</v>
      </c>
      <c r="C37" s="3264" t="s">
        <v>2495</v>
      </c>
      <c r="D37" s="3265"/>
      <c r="E37" s="3266">
        <v>0.6</v>
      </c>
      <c r="F37" s="3263" t="s">
        <v>2496</v>
      </c>
      <c r="G37" s="1035"/>
      <c r="H37" s="1025"/>
      <c r="I37" s="1025"/>
    </row>
    <row r="38" spans="1:9" s="1408" customFormat="1">
      <c r="A38" s="3934"/>
      <c r="B38" s="3927"/>
      <c r="C38" s="3264" t="s">
        <v>2497</v>
      </c>
      <c r="D38" s="3265"/>
      <c r="E38" s="3266">
        <v>0.6</v>
      </c>
      <c r="F38" s="3263" t="s">
        <v>2498</v>
      </c>
      <c r="G38" s="1035"/>
      <c r="H38" s="1025"/>
      <c r="I38" s="1025"/>
    </row>
    <row r="39" spans="1:9" s="1408" customFormat="1" ht="14.25" thickBot="1">
      <c r="A39" s="3935"/>
      <c r="B39" s="3932"/>
      <c r="C39" s="3267" t="s">
        <v>2499</v>
      </c>
      <c r="D39" s="3268"/>
      <c r="E39" s="3269">
        <v>0.6</v>
      </c>
      <c r="F39" s="3263" t="s">
        <v>2500</v>
      </c>
      <c r="G39" s="1035"/>
      <c r="H39" s="1025"/>
      <c r="I39" s="1025"/>
    </row>
    <row r="40" spans="1:9" s="1408" customFormat="1" ht="14.25" thickBot="1">
      <c r="A40" s="3270" t="s">
        <v>2451</v>
      </c>
      <c r="B40" s="3271" t="s">
        <v>2451</v>
      </c>
      <c r="C40" s="3272" t="s">
        <v>2501</v>
      </c>
      <c r="D40" s="3273"/>
      <c r="E40" s="3274">
        <v>1</v>
      </c>
      <c r="F40" s="3263" t="s">
        <v>2502</v>
      </c>
      <c r="G40" s="1035"/>
      <c r="H40" s="1025"/>
      <c r="I40" s="1025"/>
    </row>
    <row r="41" spans="1:9" s="1408" customFormat="1">
      <c r="A41" s="3928" t="s">
        <v>2452</v>
      </c>
      <c r="B41" s="3931" t="s">
        <v>2503</v>
      </c>
      <c r="C41" s="3260" t="s">
        <v>2504</v>
      </c>
      <c r="D41" s="3261"/>
      <c r="E41" s="3262">
        <v>1</v>
      </c>
      <c r="F41" s="3263" t="s">
        <v>2505</v>
      </c>
      <c r="G41" s="1035"/>
      <c r="H41" s="1025"/>
      <c r="I41" s="1025"/>
    </row>
    <row r="42" spans="1:9" s="1408" customFormat="1">
      <c r="A42" s="3929"/>
      <c r="B42" s="3927"/>
      <c r="C42" s="3264" t="s">
        <v>2506</v>
      </c>
      <c r="D42" s="3265"/>
      <c r="E42" s="3266">
        <v>1</v>
      </c>
      <c r="F42" s="3263" t="s">
        <v>2507</v>
      </c>
      <c r="G42" s="1035"/>
      <c r="H42" s="1025"/>
      <c r="I42" s="1025"/>
    </row>
    <row r="43" spans="1:9" s="1408" customFormat="1">
      <c r="A43" s="3929"/>
      <c r="B43" s="3926"/>
      <c r="C43" s="3264" t="s">
        <v>2508</v>
      </c>
      <c r="D43" s="3265"/>
      <c r="E43" s="3266">
        <v>1.5</v>
      </c>
      <c r="F43" s="3263" t="s">
        <v>2509</v>
      </c>
      <c r="G43" s="1035"/>
      <c r="H43" s="1025"/>
      <c r="I43" s="1025"/>
    </row>
    <row r="44" spans="1:9" s="1408" customFormat="1">
      <c r="A44" s="3929"/>
      <c r="B44" s="3275" t="s">
        <v>2454</v>
      </c>
      <c r="C44" s="3264" t="s">
        <v>2453</v>
      </c>
      <c r="D44" s="3265"/>
      <c r="E44" s="3266">
        <v>2</v>
      </c>
      <c r="F44" s="3263" t="s">
        <v>2510</v>
      </c>
      <c r="G44" s="1035"/>
      <c r="H44" s="1025"/>
      <c r="I44" s="1025"/>
    </row>
    <row r="45" spans="1:9" s="1408" customFormat="1">
      <c r="A45" s="3929"/>
      <c r="B45" s="3925" t="s">
        <v>2511</v>
      </c>
      <c r="C45" s="3264" t="s">
        <v>2512</v>
      </c>
      <c r="D45" s="3265"/>
      <c r="E45" s="3266">
        <v>1</v>
      </c>
      <c r="F45" s="3263" t="s">
        <v>2513</v>
      </c>
      <c r="G45" s="1035"/>
      <c r="H45" s="1025"/>
      <c r="I45" s="1025"/>
    </row>
    <row r="46" spans="1:9" s="1408" customFormat="1">
      <c r="A46" s="3929"/>
      <c r="B46" s="3927"/>
      <c r="C46" s="3264" t="s">
        <v>2514</v>
      </c>
      <c r="D46" s="3265"/>
      <c r="E46" s="3266">
        <v>1</v>
      </c>
      <c r="F46" s="3263" t="s">
        <v>2515</v>
      </c>
      <c r="G46" s="1035"/>
      <c r="H46" s="1025"/>
      <c r="I46" s="1025"/>
    </row>
    <row r="47" spans="1:9" s="1408" customFormat="1">
      <c r="A47" s="3929"/>
      <c r="B47" s="3927"/>
      <c r="C47" s="3264" t="s">
        <v>2516</v>
      </c>
      <c r="D47" s="3265"/>
      <c r="E47" s="3266">
        <v>1</v>
      </c>
      <c r="F47" s="3263" t="s">
        <v>2517</v>
      </c>
      <c r="G47" s="1035"/>
      <c r="H47" s="1025"/>
      <c r="I47" s="1025"/>
    </row>
    <row r="48" spans="1:9" s="1408" customFormat="1">
      <c r="A48" s="3929"/>
      <c r="B48" s="3927"/>
      <c r="C48" s="3264" t="s">
        <v>2518</v>
      </c>
      <c r="D48" s="3265"/>
      <c r="E48" s="3266">
        <v>1</v>
      </c>
      <c r="F48" s="3263" t="s">
        <v>2519</v>
      </c>
      <c r="G48" s="1035"/>
      <c r="H48" s="1025"/>
      <c r="I48" s="1025"/>
    </row>
    <row r="49" spans="1:9" s="1408" customFormat="1">
      <c r="A49" s="3929"/>
      <c r="B49" s="3927"/>
      <c r="C49" s="3264" t="s">
        <v>2520</v>
      </c>
      <c r="D49" s="3265"/>
      <c r="E49" s="3266">
        <v>1</v>
      </c>
      <c r="F49" s="3263" t="s">
        <v>2521</v>
      </c>
      <c r="G49" s="1035"/>
      <c r="H49" s="1025"/>
      <c r="I49" s="1025"/>
    </row>
    <row r="50" spans="1:9" s="1408" customFormat="1">
      <c r="A50" s="3929"/>
      <c r="B50" s="3927"/>
      <c r="C50" s="3264" t="s">
        <v>2522</v>
      </c>
      <c r="D50" s="3265"/>
      <c r="E50" s="3266">
        <v>1</v>
      </c>
      <c r="F50" s="3263" t="s">
        <v>2523</v>
      </c>
      <c r="G50" s="1035"/>
      <c r="H50" s="1025"/>
      <c r="I50" s="1025"/>
    </row>
    <row r="51" spans="1:9" s="1408" customFormat="1" ht="14.25" thickBot="1">
      <c r="A51" s="3930"/>
      <c r="B51" s="3932"/>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c r="A73" s="3275">
        <v>1</v>
      </c>
      <c r="B73" s="3925" t="s">
        <v>2527</v>
      </c>
      <c r="C73" s="3253" t="s">
        <v>2528</v>
      </c>
      <c r="D73" s="3253" t="s">
        <v>2529</v>
      </c>
      <c r="E73" s="3276">
        <v>0.2</v>
      </c>
      <c r="F73" s="3275">
        <v>25</v>
      </c>
      <c r="H73" s="1025">
        <f>SUMIF(C71:C139,基准地价!C8,E71:E139)</f>
        <v>0</v>
      </c>
    </row>
    <row r="74" spans="1:8" s="1025" customFormat="1" ht="24">
      <c r="A74" s="3275">
        <v>2</v>
      </c>
      <c r="B74" s="3927"/>
      <c r="C74" s="3253" t="s">
        <v>2530</v>
      </c>
      <c r="D74" s="3253" t="s">
        <v>2531</v>
      </c>
      <c r="E74" s="3276">
        <v>0.2</v>
      </c>
      <c r="F74" s="3275">
        <v>25</v>
      </c>
    </row>
    <row r="75" spans="1:8" s="1025" customFormat="1" ht="24">
      <c r="A75" s="3275">
        <v>3</v>
      </c>
      <c r="B75" s="3927"/>
      <c r="C75" s="3253" t="s">
        <v>2532</v>
      </c>
      <c r="D75" s="3253" t="s">
        <v>2533</v>
      </c>
      <c r="E75" s="3276">
        <v>0.2</v>
      </c>
      <c r="F75" s="3275">
        <v>25</v>
      </c>
    </row>
    <row r="76" spans="1:8" s="1025" customFormat="1">
      <c r="A76" s="3275">
        <v>4</v>
      </c>
      <c r="B76" s="3927"/>
      <c r="C76" s="3253" t="s">
        <v>2534</v>
      </c>
      <c r="D76" s="3253" t="s">
        <v>2535</v>
      </c>
      <c r="E76" s="3276">
        <v>0.15</v>
      </c>
      <c r="F76" s="3275">
        <v>20</v>
      </c>
    </row>
    <row r="77" spans="1:8" s="1025" customFormat="1" ht="24">
      <c r="A77" s="3275">
        <v>5</v>
      </c>
      <c r="B77" s="3927"/>
      <c r="C77" s="3253" t="s">
        <v>2536</v>
      </c>
      <c r="D77" s="3253" t="s">
        <v>2537</v>
      </c>
      <c r="E77" s="3276">
        <v>0.15</v>
      </c>
      <c r="F77" s="3275">
        <v>20</v>
      </c>
    </row>
    <row r="78" spans="1:8" s="1025" customFormat="1" ht="24">
      <c r="A78" s="3275">
        <v>6</v>
      </c>
      <c r="B78" s="3927"/>
      <c r="C78" s="3253" t="s">
        <v>2538</v>
      </c>
      <c r="D78" s="3253" t="s">
        <v>2539</v>
      </c>
      <c r="E78" s="3276">
        <v>0.15</v>
      </c>
      <c r="F78" s="3275">
        <v>20</v>
      </c>
    </row>
    <row r="79" spans="1:8" s="1025" customFormat="1" ht="24">
      <c r="A79" s="3275">
        <v>7</v>
      </c>
      <c r="B79" s="3927"/>
      <c r="C79" s="3253" t="s">
        <v>2540</v>
      </c>
      <c r="D79" s="3253" t="s">
        <v>2541</v>
      </c>
      <c r="E79" s="3276">
        <v>0.15</v>
      </c>
      <c r="F79" s="3275">
        <v>20</v>
      </c>
    </row>
    <row r="80" spans="1:8" s="1025" customFormat="1" ht="24">
      <c r="A80" s="3275">
        <v>8</v>
      </c>
      <c r="B80" s="3927"/>
      <c r="C80" s="3253" t="s">
        <v>2542</v>
      </c>
      <c r="D80" s="3253" t="s">
        <v>2543</v>
      </c>
      <c r="E80" s="3276">
        <v>0.1</v>
      </c>
      <c r="F80" s="3275">
        <v>15</v>
      </c>
    </row>
    <row r="81" spans="1:6" s="1025" customFormat="1" ht="24">
      <c r="A81" s="3275">
        <v>9</v>
      </c>
      <c r="B81" s="3927"/>
      <c r="C81" s="3253" t="s">
        <v>2544</v>
      </c>
      <c r="D81" s="3253" t="s">
        <v>2545</v>
      </c>
      <c r="E81" s="3276">
        <v>0.1</v>
      </c>
      <c r="F81" s="3275">
        <v>15</v>
      </c>
    </row>
    <row r="82" spans="1:6" s="1025" customFormat="1" ht="24">
      <c r="A82" s="3275">
        <v>10</v>
      </c>
      <c r="B82" s="3927"/>
      <c r="C82" s="3253" t="s">
        <v>2546</v>
      </c>
      <c r="D82" s="3253" t="s">
        <v>2547</v>
      </c>
      <c r="E82" s="3276">
        <v>0.1</v>
      </c>
      <c r="F82" s="3275">
        <v>15</v>
      </c>
    </row>
    <row r="83" spans="1:6" s="1025" customFormat="1" ht="24">
      <c r="A83" s="3275">
        <v>11</v>
      </c>
      <c r="B83" s="3927"/>
      <c r="C83" s="3253" t="s">
        <v>2548</v>
      </c>
      <c r="D83" s="3253" t="s">
        <v>2549</v>
      </c>
      <c r="E83" s="3276">
        <v>0.1</v>
      </c>
      <c r="F83" s="3275">
        <v>15</v>
      </c>
    </row>
    <row r="84" spans="1:6" s="1025" customFormat="1" ht="24">
      <c r="A84" s="3275">
        <v>12</v>
      </c>
      <c r="B84" s="3927"/>
      <c r="C84" s="3253" t="s">
        <v>2550</v>
      </c>
      <c r="D84" s="3253" t="s">
        <v>2551</v>
      </c>
      <c r="E84" s="3276">
        <v>0.1</v>
      </c>
      <c r="F84" s="3275">
        <v>15</v>
      </c>
    </row>
    <row r="85" spans="1:6" s="1025" customFormat="1">
      <c r="A85" s="3275">
        <v>13</v>
      </c>
      <c r="B85" s="3927"/>
      <c r="C85" s="3253" t="s">
        <v>2552</v>
      </c>
      <c r="D85" s="3253" t="s">
        <v>2553</v>
      </c>
      <c r="E85" s="3276">
        <v>0.1</v>
      </c>
      <c r="F85" s="3275">
        <v>15</v>
      </c>
    </row>
    <row r="86" spans="1:6" s="1025" customFormat="1">
      <c r="A86" s="3275">
        <v>14</v>
      </c>
      <c r="B86" s="3927"/>
      <c r="C86" s="3253" t="s">
        <v>2554</v>
      </c>
      <c r="D86" s="3253" t="s">
        <v>2555</v>
      </c>
      <c r="E86" s="3276">
        <v>0.1</v>
      </c>
      <c r="F86" s="3275">
        <v>15</v>
      </c>
    </row>
    <row r="87" spans="1:6" s="1025" customFormat="1">
      <c r="A87" s="3275">
        <v>15</v>
      </c>
      <c r="B87" s="3927"/>
      <c r="C87" s="3253" t="s">
        <v>2556</v>
      </c>
      <c r="D87" s="3253" t="s">
        <v>2557</v>
      </c>
      <c r="E87" s="3276">
        <v>0.1</v>
      </c>
      <c r="F87" s="3275">
        <v>15</v>
      </c>
    </row>
    <row r="88" spans="1:6" s="1025" customFormat="1" ht="24">
      <c r="A88" s="3275">
        <v>16</v>
      </c>
      <c r="B88" s="3927"/>
      <c r="C88" s="3253" t="s">
        <v>2558</v>
      </c>
      <c r="D88" s="3253" t="s">
        <v>2559</v>
      </c>
      <c r="E88" s="3276">
        <v>0.1</v>
      </c>
      <c r="F88" s="3275">
        <v>15</v>
      </c>
    </row>
    <row r="89" spans="1:6" s="1025" customFormat="1" ht="24">
      <c r="A89" s="3275">
        <v>17</v>
      </c>
      <c r="B89" s="3926"/>
      <c r="C89" s="3253" t="s">
        <v>2560</v>
      </c>
      <c r="D89" s="3253" t="s">
        <v>2561</v>
      </c>
      <c r="E89" s="3276">
        <v>0.1</v>
      </c>
      <c r="F89" s="3275">
        <v>15</v>
      </c>
    </row>
    <row r="90" spans="1:6" s="1025" customFormat="1">
      <c r="A90" s="3275">
        <v>18</v>
      </c>
      <c r="B90" s="3925" t="s">
        <v>2562</v>
      </c>
      <c r="C90" s="3253" t="s">
        <v>2563</v>
      </c>
      <c r="D90" s="3253" t="s">
        <v>2564</v>
      </c>
      <c r="E90" s="3276">
        <v>0.2</v>
      </c>
      <c r="F90" s="3275">
        <v>25</v>
      </c>
    </row>
    <row r="91" spans="1:6" s="1025" customFormat="1" ht="24">
      <c r="A91" s="3275">
        <v>19</v>
      </c>
      <c r="B91" s="3927"/>
      <c r="C91" s="3253" t="s">
        <v>2565</v>
      </c>
      <c r="D91" s="3253" t="s">
        <v>2566</v>
      </c>
      <c r="E91" s="3276">
        <v>0.2</v>
      </c>
      <c r="F91" s="3275">
        <v>25</v>
      </c>
    </row>
    <row r="92" spans="1:6" s="1025" customFormat="1">
      <c r="A92" s="3275">
        <v>20</v>
      </c>
      <c r="B92" s="3927"/>
      <c r="C92" s="3253" t="s">
        <v>2567</v>
      </c>
      <c r="D92" s="3253" t="s">
        <v>2568</v>
      </c>
      <c r="E92" s="3276">
        <v>0.15</v>
      </c>
      <c r="F92" s="3275">
        <v>20</v>
      </c>
    </row>
    <row r="93" spans="1:6" s="1025" customFormat="1" ht="24">
      <c r="A93" s="3275">
        <v>21</v>
      </c>
      <c r="B93" s="3927"/>
      <c r="C93" s="3253" t="s">
        <v>2569</v>
      </c>
      <c r="D93" s="3253" t="s">
        <v>2570</v>
      </c>
      <c r="E93" s="3276">
        <v>0.15</v>
      </c>
      <c r="F93" s="3275">
        <v>20</v>
      </c>
    </row>
    <row r="94" spans="1:6" s="1025" customFormat="1" ht="24">
      <c r="A94" s="3275">
        <v>22</v>
      </c>
      <c r="B94" s="3927"/>
      <c r="C94" s="3253" t="s">
        <v>2571</v>
      </c>
      <c r="D94" s="3253" t="s">
        <v>2572</v>
      </c>
      <c r="E94" s="3276">
        <v>0.15</v>
      </c>
      <c r="F94" s="3275">
        <v>20</v>
      </c>
    </row>
    <row r="95" spans="1:6" s="1025" customFormat="1" ht="36">
      <c r="A95" s="3275">
        <v>23</v>
      </c>
      <c r="B95" s="3927"/>
      <c r="C95" s="3253" t="s">
        <v>2573</v>
      </c>
      <c r="D95" s="3253" t="s">
        <v>2574</v>
      </c>
      <c r="E95" s="3276">
        <v>0.15</v>
      </c>
      <c r="F95" s="3275">
        <v>20</v>
      </c>
    </row>
    <row r="96" spans="1:6" s="1025" customFormat="1">
      <c r="A96" s="3275">
        <v>24</v>
      </c>
      <c r="B96" s="3927"/>
      <c r="C96" s="3253" t="s">
        <v>2575</v>
      </c>
      <c r="D96" s="3253" t="s">
        <v>2576</v>
      </c>
      <c r="E96" s="3276">
        <v>0.1</v>
      </c>
      <c r="F96" s="3275">
        <v>15</v>
      </c>
    </row>
    <row r="97" spans="1:6" s="1025" customFormat="1" ht="24">
      <c r="A97" s="3275">
        <v>25</v>
      </c>
      <c r="B97" s="3927"/>
      <c r="C97" s="3253" t="s">
        <v>2577</v>
      </c>
      <c r="D97" s="3253" t="s">
        <v>2578</v>
      </c>
      <c r="E97" s="3276">
        <v>0.1</v>
      </c>
      <c r="F97" s="3275">
        <v>15</v>
      </c>
    </row>
    <row r="98" spans="1:6" s="1025" customFormat="1" ht="24">
      <c r="A98" s="3275">
        <v>26</v>
      </c>
      <c r="B98" s="3927"/>
      <c r="C98" s="3253" t="s">
        <v>2579</v>
      </c>
      <c r="D98" s="3253" t="s">
        <v>2580</v>
      </c>
      <c r="E98" s="3276">
        <v>0.1</v>
      </c>
      <c r="F98" s="3275">
        <v>15</v>
      </c>
    </row>
    <row r="99" spans="1:6" s="1025" customFormat="1" ht="24">
      <c r="A99" s="3275">
        <v>27</v>
      </c>
      <c r="B99" s="3927"/>
      <c r="C99" s="3253" t="s">
        <v>2581</v>
      </c>
      <c r="D99" s="3253" t="s">
        <v>2582</v>
      </c>
      <c r="E99" s="3276">
        <v>0.1</v>
      </c>
      <c r="F99" s="3275">
        <v>15</v>
      </c>
    </row>
    <row r="100" spans="1:6" s="1025" customFormat="1" ht="24">
      <c r="A100" s="3275">
        <v>28</v>
      </c>
      <c r="B100" s="3927"/>
      <c r="C100" s="3253" t="s">
        <v>2583</v>
      </c>
      <c r="D100" s="3253" t="s">
        <v>2584</v>
      </c>
      <c r="E100" s="3276">
        <v>0.1</v>
      </c>
      <c r="F100" s="3275">
        <v>15</v>
      </c>
    </row>
    <row r="101" spans="1:6" s="1025" customFormat="1" ht="24">
      <c r="A101" s="3275">
        <v>29</v>
      </c>
      <c r="B101" s="3927"/>
      <c r="C101" s="3253" t="s">
        <v>2585</v>
      </c>
      <c r="D101" s="3253" t="s">
        <v>2586</v>
      </c>
      <c r="E101" s="3276">
        <v>0.1</v>
      </c>
      <c r="F101" s="3275">
        <v>15</v>
      </c>
    </row>
    <row r="102" spans="1:6" s="1025" customFormat="1" ht="24">
      <c r="A102" s="3275">
        <v>30</v>
      </c>
      <c r="B102" s="3927"/>
      <c r="C102" s="3253" t="s">
        <v>2587</v>
      </c>
      <c r="D102" s="3253" t="s">
        <v>2588</v>
      </c>
      <c r="E102" s="3276">
        <v>0.1</v>
      </c>
      <c r="F102" s="3275">
        <v>15</v>
      </c>
    </row>
    <row r="103" spans="1:6" s="1025" customFormat="1" ht="24">
      <c r="A103" s="3275">
        <v>31</v>
      </c>
      <c r="B103" s="3927"/>
      <c r="C103" s="3253" t="s">
        <v>2589</v>
      </c>
      <c r="D103" s="3253" t="s">
        <v>2590</v>
      </c>
      <c r="E103" s="3276">
        <v>0.1</v>
      </c>
      <c r="F103" s="3275">
        <v>15</v>
      </c>
    </row>
    <row r="104" spans="1:6" s="1025" customFormat="1" ht="24">
      <c r="A104" s="3275">
        <v>32</v>
      </c>
      <c r="B104" s="3927"/>
      <c r="C104" s="3253" t="s">
        <v>2591</v>
      </c>
      <c r="D104" s="3253" t="s">
        <v>2592</v>
      </c>
      <c r="E104" s="3276">
        <v>0.1</v>
      </c>
      <c r="F104" s="3275">
        <v>15</v>
      </c>
    </row>
    <row r="105" spans="1:6" s="1025" customFormat="1" ht="24">
      <c r="A105" s="3275">
        <v>33</v>
      </c>
      <c r="B105" s="3927"/>
      <c r="C105" s="3253" t="s">
        <v>2593</v>
      </c>
      <c r="D105" s="3253" t="s">
        <v>2594</v>
      </c>
      <c r="E105" s="3276">
        <v>0.1</v>
      </c>
      <c r="F105" s="3275">
        <v>15</v>
      </c>
    </row>
    <row r="106" spans="1:6" s="1025" customFormat="1" ht="24">
      <c r="A106" s="3275">
        <v>34</v>
      </c>
      <c r="B106" s="3926"/>
      <c r="C106" s="3253" t="s">
        <v>2595</v>
      </c>
      <c r="D106" s="3253" t="s">
        <v>2596</v>
      </c>
      <c r="E106" s="3276">
        <v>0.1</v>
      </c>
      <c r="F106" s="3275">
        <v>15</v>
      </c>
    </row>
    <row r="107" spans="1:6" s="1025" customFormat="1" ht="24">
      <c r="A107" s="3275">
        <v>35</v>
      </c>
      <c r="B107" s="3925" t="s">
        <v>2597</v>
      </c>
      <c r="C107" s="3275" t="s">
        <v>2598</v>
      </c>
      <c r="D107" s="3253" t="s">
        <v>2599</v>
      </c>
      <c r="E107" s="3276">
        <v>0.15</v>
      </c>
      <c r="F107" s="3275">
        <v>20</v>
      </c>
    </row>
    <row r="108" spans="1:6" s="1025" customFormat="1" ht="24">
      <c r="A108" s="3275">
        <v>36</v>
      </c>
      <c r="B108" s="3927"/>
      <c r="C108" s="3275" t="s">
        <v>2600</v>
      </c>
      <c r="D108" s="3253" t="s">
        <v>2601</v>
      </c>
      <c r="E108" s="3276">
        <v>0.15</v>
      </c>
      <c r="F108" s="3275">
        <v>20</v>
      </c>
    </row>
    <row r="109" spans="1:6" s="1025" customFormat="1" ht="24">
      <c r="A109" s="3275">
        <v>37</v>
      </c>
      <c r="B109" s="3927"/>
      <c r="C109" s="3275" t="s">
        <v>2602</v>
      </c>
      <c r="D109" s="3253" t="s">
        <v>2603</v>
      </c>
      <c r="E109" s="3276">
        <v>0.15</v>
      </c>
      <c r="F109" s="3275">
        <v>20</v>
      </c>
    </row>
    <row r="110" spans="1:6" s="1025" customFormat="1">
      <c r="A110" s="3275">
        <v>38</v>
      </c>
      <c r="B110" s="3927"/>
      <c r="C110" s="3275" t="s">
        <v>2604</v>
      </c>
      <c r="D110" s="3253" t="s">
        <v>2605</v>
      </c>
      <c r="E110" s="3276">
        <v>0.1</v>
      </c>
      <c r="F110" s="3275">
        <v>15</v>
      </c>
    </row>
    <row r="111" spans="1:6" s="1025" customFormat="1" ht="24">
      <c r="A111" s="3275">
        <v>39</v>
      </c>
      <c r="B111" s="3927"/>
      <c r="C111" s="3275" t="s">
        <v>2606</v>
      </c>
      <c r="D111" s="3253" t="s">
        <v>2607</v>
      </c>
      <c r="E111" s="3276">
        <v>0.1</v>
      </c>
      <c r="F111" s="3275">
        <v>15</v>
      </c>
    </row>
    <row r="112" spans="1:6" s="1025" customFormat="1" ht="24">
      <c r="A112" s="3275">
        <v>40</v>
      </c>
      <c r="B112" s="3926"/>
      <c r="C112" s="3275" t="s">
        <v>2608</v>
      </c>
      <c r="D112" s="3253" t="s">
        <v>2609</v>
      </c>
      <c r="E112" s="3276">
        <v>0.1</v>
      </c>
      <c r="F112" s="3275">
        <v>15</v>
      </c>
    </row>
    <row r="113" spans="1:6" s="1025" customFormat="1" ht="24">
      <c r="A113" s="3275">
        <v>41</v>
      </c>
      <c r="B113" s="3924" t="s">
        <v>2610</v>
      </c>
      <c r="C113" s="3275" t="s">
        <v>2611</v>
      </c>
      <c r="D113" s="3253" t="s">
        <v>2612</v>
      </c>
      <c r="E113" s="3276">
        <v>0.1</v>
      </c>
      <c r="F113" s="3275">
        <v>15</v>
      </c>
    </row>
    <row r="114" spans="1:6" s="1025" customFormat="1">
      <c r="A114" s="3275">
        <v>42</v>
      </c>
      <c r="B114" s="3924"/>
      <c r="C114" s="3275" t="s">
        <v>2613</v>
      </c>
      <c r="D114" s="3253" t="s">
        <v>2614</v>
      </c>
      <c r="E114" s="3276">
        <v>0.1</v>
      </c>
      <c r="F114" s="3275">
        <v>15</v>
      </c>
    </row>
    <row r="115" spans="1:6" s="1025" customFormat="1" ht="24">
      <c r="A115" s="3275">
        <v>43</v>
      </c>
      <c r="B115" s="3924"/>
      <c r="C115" s="3275" t="s">
        <v>2615</v>
      </c>
      <c r="D115" s="3253" t="s">
        <v>2616</v>
      </c>
      <c r="E115" s="3276">
        <v>0.1</v>
      </c>
      <c r="F115" s="3275">
        <v>15</v>
      </c>
    </row>
    <row r="116" spans="1:6" s="1025" customFormat="1" ht="24">
      <c r="A116" s="3275">
        <v>44</v>
      </c>
      <c r="B116" s="3925" t="s">
        <v>2617</v>
      </c>
      <c r="C116" s="3275" t="s">
        <v>2618</v>
      </c>
      <c r="D116" s="3253" t="s">
        <v>2619</v>
      </c>
      <c r="E116" s="3276">
        <v>0.1</v>
      </c>
      <c r="F116" s="3275">
        <v>15</v>
      </c>
    </row>
    <row r="117" spans="1:6" s="1025" customFormat="1" ht="24">
      <c r="A117" s="3275">
        <v>45</v>
      </c>
      <c r="B117" s="3926"/>
      <c r="C117" s="3253" t="s">
        <v>2620</v>
      </c>
      <c r="D117" s="3253" t="s">
        <v>2621</v>
      </c>
      <c r="E117" s="3276">
        <v>0.1</v>
      </c>
      <c r="F117" s="3275">
        <v>15</v>
      </c>
    </row>
    <row r="118" spans="1:6" s="1025" customFormat="1" ht="24">
      <c r="A118" s="3275">
        <v>46</v>
      </c>
      <c r="B118" s="3925" t="s">
        <v>2622</v>
      </c>
      <c r="C118" s="3275" t="s">
        <v>2623</v>
      </c>
      <c r="D118" s="3253" t="s">
        <v>2624</v>
      </c>
      <c r="E118" s="3276">
        <v>0.1</v>
      </c>
      <c r="F118" s="3275">
        <v>15</v>
      </c>
    </row>
    <row r="119" spans="1:6" s="1025" customFormat="1" ht="24">
      <c r="A119" s="3275">
        <v>47</v>
      </c>
      <c r="B119" s="3926"/>
      <c r="C119" s="3275" t="s">
        <v>2625</v>
      </c>
      <c r="D119" s="3253" t="s">
        <v>2626</v>
      </c>
      <c r="E119" s="3276">
        <v>0.1</v>
      </c>
      <c r="F119" s="3275">
        <v>15</v>
      </c>
    </row>
    <row r="120" spans="1:6" s="1025" customFormat="1" ht="24">
      <c r="A120" s="3275">
        <v>48</v>
      </c>
      <c r="B120" s="3925" t="s">
        <v>2627</v>
      </c>
      <c r="C120" s="3275" t="s">
        <v>2628</v>
      </c>
      <c r="D120" s="3253" t="s">
        <v>2629</v>
      </c>
      <c r="E120" s="3276">
        <v>0.1</v>
      </c>
      <c r="F120" s="3275">
        <v>15</v>
      </c>
    </row>
    <row r="121" spans="1:6" s="1025" customFormat="1">
      <c r="A121" s="3275">
        <v>49</v>
      </c>
      <c r="B121" s="3926"/>
      <c r="C121" s="3275" t="s">
        <v>2630</v>
      </c>
      <c r="D121" s="3253" t="s">
        <v>2631</v>
      </c>
      <c r="E121" s="3276">
        <v>0.1</v>
      </c>
      <c r="F121" s="3275">
        <v>15</v>
      </c>
    </row>
    <row r="122" spans="1:6" s="1025" customFormat="1" ht="24">
      <c r="A122" s="3275">
        <v>50</v>
      </c>
      <c r="B122" s="3924" t="s">
        <v>2632</v>
      </c>
      <c r="C122" s="3275" t="s">
        <v>2633</v>
      </c>
      <c r="D122" s="3253" t="s">
        <v>2634</v>
      </c>
      <c r="E122" s="3276">
        <v>0.1</v>
      </c>
      <c r="F122" s="3275">
        <v>15</v>
      </c>
    </row>
    <row r="123" spans="1:6" s="1025" customFormat="1" ht="24">
      <c r="A123" s="3275">
        <v>51</v>
      </c>
      <c r="B123" s="3924"/>
      <c r="C123" s="3275" t="s">
        <v>2635</v>
      </c>
      <c r="D123" s="3253" t="s">
        <v>2636</v>
      </c>
      <c r="E123" s="3276">
        <v>0.1</v>
      </c>
      <c r="F123" s="3275">
        <v>15</v>
      </c>
    </row>
    <row r="124" spans="1:6" s="1025" customFormat="1" ht="24">
      <c r="A124" s="3275">
        <v>52</v>
      </c>
      <c r="B124" s="3924" t="s">
        <v>2637</v>
      </c>
      <c r="C124" s="3275" t="s">
        <v>2638</v>
      </c>
      <c r="D124" s="3253" t="s">
        <v>2639</v>
      </c>
      <c r="E124" s="3276">
        <v>0.1</v>
      </c>
      <c r="F124" s="3275">
        <v>15</v>
      </c>
    </row>
    <row r="125" spans="1:6" s="1025" customFormat="1" ht="24">
      <c r="A125" s="3275">
        <v>53</v>
      </c>
      <c r="B125" s="3924"/>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c r="A127" s="3275">
        <v>55</v>
      </c>
      <c r="B127" s="3924" t="s">
        <v>2645</v>
      </c>
      <c r="C127" s="3275" t="s">
        <v>2646</v>
      </c>
      <c r="D127" s="3253" t="s">
        <v>2647</v>
      </c>
      <c r="E127" s="3276">
        <v>0.1</v>
      </c>
      <c r="F127" s="3275">
        <v>15</v>
      </c>
    </row>
    <row r="128" spans="1:6">
      <c r="A128" s="3275">
        <v>56</v>
      </c>
      <c r="B128" s="3924"/>
      <c r="C128" s="3275" t="s">
        <v>2648</v>
      </c>
      <c r="D128" s="3253" t="s">
        <v>2649</v>
      </c>
      <c r="E128" s="3276">
        <v>0.1</v>
      </c>
      <c r="F128" s="3275">
        <v>15</v>
      </c>
    </row>
    <row r="129" spans="1:14" ht="24">
      <c r="A129" s="3275">
        <v>57</v>
      </c>
      <c r="B129" s="3924"/>
      <c r="C129" s="3275" t="s">
        <v>2650</v>
      </c>
      <c r="D129" s="3253" t="s">
        <v>2651</v>
      </c>
      <c r="E129" s="3276">
        <v>0.1</v>
      </c>
      <c r="F129" s="3275">
        <v>15</v>
      </c>
    </row>
    <row r="130" spans="1:14" ht="24">
      <c r="A130" s="3275">
        <v>58</v>
      </c>
      <c r="B130" s="3924" t="s">
        <v>2652</v>
      </c>
      <c r="C130" s="3275" t="s">
        <v>2653</v>
      </c>
      <c r="D130" s="3253" t="s">
        <v>2654</v>
      </c>
      <c r="E130" s="3276">
        <v>0.1</v>
      </c>
      <c r="F130" s="3275">
        <v>15</v>
      </c>
    </row>
    <row r="131" spans="1:14" ht="24">
      <c r="A131" s="3275">
        <v>59</v>
      </c>
      <c r="B131" s="3924"/>
      <c r="C131" s="3275" t="s">
        <v>2655</v>
      </c>
      <c r="D131" s="3253" t="s">
        <v>2656</v>
      </c>
      <c r="E131" s="3276">
        <v>0.1</v>
      </c>
      <c r="F131" s="3275">
        <v>15</v>
      </c>
    </row>
    <row r="132" spans="1:14" ht="24">
      <c r="A132" s="3275">
        <v>60</v>
      </c>
      <c r="B132" s="3925" t="s">
        <v>2657</v>
      </c>
      <c r="C132" s="3275" t="s">
        <v>2658</v>
      </c>
      <c r="D132" s="3253" t="s">
        <v>2659</v>
      </c>
      <c r="E132" s="3276">
        <v>0.1</v>
      </c>
      <c r="F132" s="3275">
        <v>15</v>
      </c>
    </row>
    <row r="133" spans="1:14" ht="24">
      <c r="A133" s="3275">
        <v>61</v>
      </c>
      <c r="B133" s="3926"/>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3924" t="s">
        <v>2665</v>
      </c>
      <c r="C135" s="3275" t="s">
        <v>2666</v>
      </c>
      <c r="D135" s="3253" t="s">
        <v>2667</v>
      </c>
      <c r="E135" s="3276">
        <v>0.1</v>
      </c>
      <c r="F135" s="3275">
        <v>15</v>
      </c>
    </row>
    <row r="136" spans="1:14">
      <c r="A136" s="3275">
        <v>64</v>
      </c>
      <c r="B136" s="3924"/>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6" t="s">
        <v>2811</v>
      </c>
      <c r="B1" s="3936"/>
      <c r="C1" s="3936"/>
      <c r="D1" s="3936"/>
      <c r="E1" s="3936"/>
      <c r="F1" s="3936"/>
      <c r="G1" s="3937"/>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2812</v>
      </c>
      <c r="B2" s="3420"/>
      <c r="C2" s="3420"/>
      <c r="D2" s="3420"/>
      <c r="E2" s="3420"/>
      <c r="F2" s="3420"/>
      <c r="G2" s="3415" t="s">
        <v>2813</v>
      </c>
      <c r="J2" s="3444" t="s">
        <v>2819</v>
      </c>
      <c r="K2" s="3424" t="s">
        <v>2821</v>
      </c>
      <c r="L2" s="3424" t="s">
        <v>2823</v>
      </c>
      <c r="M2" s="3424" t="s">
        <v>2829</v>
      </c>
      <c r="N2" s="3424" t="s">
        <v>2839</v>
      </c>
      <c r="O2" s="3424" t="s">
        <v>2854</v>
      </c>
      <c r="P2" s="3424" t="s">
        <v>2891</v>
      </c>
      <c r="Q2" s="3424" t="s">
        <v>2922</v>
      </c>
      <c r="R2" s="3424" t="s">
        <v>2950</v>
      </c>
      <c r="S2" s="3424" t="s">
        <v>2985</v>
      </c>
      <c r="T2" s="3424" t="s">
        <v>3005</v>
      </c>
      <c r="U2" s="3424" t="s">
        <v>3017</v>
      </c>
    </row>
    <row r="3" spans="1:21" s="1012" customFormat="1" ht="19.5" customHeight="1">
      <c r="A3" s="3938" t="s">
        <v>2814</v>
      </c>
      <c r="B3" s="3416"/>
      <c r="C3" s="3417" t="s">
        <v>2792</v>
      </c>
      <c r="D3" s="3417" t="s">
        <v>2815</v>
      </c>
      <c r="E3" s="3417" t="s">
        <v>2794</v>
      </c>
      <c r="F3" s="3417" t="s">
        <v>2816</v>
      </c>
      <c r="G3" s="3417" t="s">
        <v>2737</v>
      </c>
      <c r="H3" s="1015"/>
      <c r="J3" s="3444" t="s">
        <v>2820</v>
      </c>
      <c r="K3" s="3424" t="s">
        <v>973</v>
      </c>
      <c r="L3" s="3424" t="s">
        <v>974</v>
      </c>
      <c r="M3" s="3424" t="s">
        <v>975</v>
      </c>
      <c r="N3" s="3424" t="s">
        <v>976</v>
      </c>
      <c r="O3" s="3424" t="s">
        <v>977</v>
      </c>
      <c r="P3" s="3424" t="s">
        <v>978</v>
      </c>
      <c r="Q3" s="3424" t="s">
        <v>979</v>
      </c>
      <c r="R3" s="3424" t="s">
        <v>980</v>
      </c>
      <c r="S3" s="3424" t="s">
        <v>981</v>
      </c>
      <c r="T3" s="3424" t="s">
        <v>3006</v>
      </c>
      <c r="U3" s="3424" t="s">
        <v>3018</v>
      </c>
    </row>
    <row r="4" spans="1:21" s="1012" customFormat="1" ht="19.5" customHeight="1" thickBot="1">
      <c r="A4" s="3939"/>
      <c r="B4" s="3418" t="s">
        <v>2817</v>
      </c>
      <c r="C4" s="3418" t="s">
        <v>2818</v>
      </c>
      <c r="D4" s="3418" t="s">
        <v>2818</v>
      </c>
      <c r="E4" s="3418" t="s">
        <v>2818</v>
      </c>
      <c r="F4" s="3419" t="s">
        <v>2818</v>
      </c>
      <c r="G4" s="3419" t="s">
        <v>2818</v>
      </c>
      <c r="H4" s="1015"/>
      <c r="J4" s="3444" t="s">
        <v>982</v>
      </c>
      <c r="K4" s="3424" t="s">
        <v>983</v>
      </c>
      <c r="L4" s="3424" t="s">
        <v>984</v>
      </c>
      <c r="M4" s="3424" t="s">
        <v>985</v>
      </c>
      <c r="N4" s="3424" t="s">
        <v>986</v>
      </c>
      <c r="O4" s="3424" t="s">
        <v>987</v>
      </c>
      <c r="P4" s="3424" t="s">
        <v>988</v>
      </c>
      <c r="Q4" s="3424" t="s">
        <v>989</v>
      </c>
      <c r="R4" s="3424" t="s">
        <v>2951</v>
      </c>
      <c r="S4" s="3424" t="s">
        <v>2986</v>
      </c>
      <c r="T4" s="3424" t="s">
        <v>3007</v>
      </c>
      <c r="U4" s="3424" t="s">
        <v>3019</v>
      </c>
    </row>
    <row r="5" spans="1:21" ht="14.25" customHeight="1">
      <c r="A5" s="3421" t="s">
        <v>990</v>
      </c>
      <c r="B5" s="3422" t="s">
        <v>2819</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2952</v>
      </c>
      <c r="S5" s="3424" t="s">
        <v>2987</v>
      </c>
      <c r="T5" s="3424" t="s">
        <v>999</v>
      </c>
      <c r="U5" s="3424" t="s">
        <v>3020</v>
      </c>
    </row>
    <row r="6" spans="1:21" ht="14.25" customHeight="1">
      <c r="A6" s="3424" t="s">
        <v>990</v>
      </c>
      <c r="B6" s="3424" t="s">
        <v>2820</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2923</v>
      </c>
      <c r="R6" s="3424" t="s">
        <v>2953</v>
      </c>
      <c r="S6" s="3424" t="s">
        <v>1008</v>
      </c>
      <c r="T6" s="3424" t="s">
        <v>3008</v>
      </c>
      <c r="U6" s="3424" t="s">
        <v>3021</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2924</v>
      </c>
      <c r="R7" s="3424" t="s">
        <v>2954</v>
      </c>
      <c r="S7" s="3424" t="s">
        <v>2988</v>
      </c>
      <c r="T7" s="3424" t="s">
        <v>3009</v>
      </c>
      <c r="U7" s="1289" t="s">
        <v>3022</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2925</v>
      </c>
      <c r="R8" s="3424" t="s">
        <v>1021</v>
      </c>
      <c r="S8" s="3424" t="s">
        <v>2989</v>
      </c>
      <c r="T8" s="3424" t="s">
        <v>3010</v>
      </c>
      <c r="U8" s="3424" t="s">
        <v>3023</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2926</v>
      </c>
      <c r="R9" s="3424" t="s">
        <v>1029</v>
      </c>
      <c r="S9" s="3424" t="s">
        <v>1030</v>
      </c>
      <c r="T9" s="3424" t="s">
        <v>1047</v>
      </c>
    </row>
    <row r="10" spans="1:21" ht="14.25" customHeight="1">
      <c r="A10" s="3421" t="s">
        <v>1031</v>
      </c>
      <c r="B10" s="3422" t="s">
        <v>2821</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3011</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2892</v>
      </c>
      <c r="Q11" s="3424" t="s">
        <v>1038</v>
      </c>
      <c r="R11" s="3424" t="s">
        <v>1046</v>
      </c>
      <c r="S11" s="3424" t="s">
        <v>2990</v>
      </c>
      <c r="T11" s="3424" t="s">
        <v>3012</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2893</v>
      </c>
      <c r="Q12" s="3424" t="s">
        <v>2927</v>
      </c>
      <c r="R12" s="3424" t="s">
        <v>2955</v>
      </c>
      <c r="S12" s="3424" t="s">
        <v>2991</v>
      </c>
      <c r="T12" s="3424" t="s">
        <v>3013</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2894</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2956</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2895</v>
      </c>
      <c r="Q15" s="3424" t="s">
        <v>2928</v>
      </c>
      <c r="R15" s="3424" t="s">
        <v>1090</v>
      </c>
      <c r="S15" s="3424" t="s">
        <v>2992</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2896</v>
      </c>
      <c r="Q16" s="3424" t="s">
        <v>1075</v>
      </c>
      <c r="R16" s="3424" t="s">
        <v>1098</v>
      </c>
      <c r="S16" s="3424" t="s">
        <v>1054</v>
      </c>
      <c r="T16" s="3424" t="s">
        <v>3014</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2897</v>
      </c>
      <c r="Q17" s="3424" t="s">
        <v>2929</v>
      </c>
      <c r="R17" s="3424" t="s">
        <v>1104</v>
      </c>
      <c r="S17" s="3424" t="s">
        <v>2993</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2898</v>
      </c>
      <c r="Q18" s="3424" t="s">
        <v>1089</v>
      </c>
      <c r="R18" s="3424" t="s">
        <v>2957</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2899</v>
      </c>
      <c r="Q19" s="3424" t="s">
        <v>1097</v>
      </c>
      <c r="R19" s="3424" t="s">
        <v>2958</v>
      </c>
      <c r="S19" s="3424" t="s">
        <v>1113</v>
      </c>
      <c r="T19" s="3424" t="s">
        <v>3015</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2900</v>
      </c>
      <c r="Q20" s="3424" t="s">
        <v>2930</v>
      </c>
      <c r="R20" s="3424" t="s">
        <v>1139</v>
      </c>
      <c r="S20" s="3424" t="s">
        <v>2994</v>
      </c>
      <c r="T20" s="3424" t="s">
        <v>1126</v>
      </c>
    </row>
    <row r="21" spans="1:20" ht="14.25" customHeight="1">
      <c r="A21" s="3424" t="s">
        <v>1031</v>
      </c>
      <c r="B21" s="1289" t="s">
        <v>1055</v>
      </c>
      <c r="C21" s="3424">
        <v>32370</v>
      </c>
      <c r="D21" s="3424">
        <v>26730</v>
      </c>
      <c r="E21" s="3424">
        <v>26640</v>
      </c>
      <c r="F21" s="3430"/>
      <c r="G21" s="3431">
        <v>19440</v>
      </c>
      <c r="K21" s="3433" t="s">
        <v>2822</v>
      </c>
      <c r="L21" s="3424" t="s">
        <v>1115</v>
      </c>
      <c r="M21" s="3424" t="s">
        <v>1116</v>
      </c>
      <c r="N21" s="3424" t="s">
        <v>1117</v>
      </c>
      <c r="O21" s="3424" t="s">
        <v>1118</v>
      </c>
      <c r="P21" s="3424" t="s">
        <v>1112</v>
      </c>
      <c r="Q21" s="3424" t="s">
        <v>1132</v>
      </c>
      <c r="R21" s="3424" t="s">
        <v>1142</v>
      </c>
      <c r="S21" s="3424" t="s">
        <v>2995</v>
      </c>
      <c r="T21" s="3424" t="s">
        <v>3016</v>
      </c>
    </row>
    <row r="22" spans="1:20" ht="14.25" customHeight="1">
      <c r="A22" s="3424" t="s">
        <v>1031</v>
      </c>
      <c r="B22" s="1289" t="s">
        <v>1062</v>
      </c>
      <c r="C22" s="3424">
        <v>29830</v>
      </c>
      <c r="D22" s="3424">
        <v>27600</v>
      </c>
      <c r="E22" s="3424">
        <v>28150</v>
      </c>
      <c r="F22" s="3430"/>
      <c r="G22" s="3431">
        <v>20080</v>
      </c>
      <c r="L22" s="3433" t="s">
        <v>2824</v>
      </c>
      <c r="M22" s="3424" t="s">
        <v>1120</v>
      </c>
      <c r="N22" s="3424" t="s">
        <v>1121</v>
      </c>
      <c r="O22" s="3424" t="s">
        <v>1122</v>
      </c>
      <c r="P22" s="3424" t="s">
        <v>2901</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2825</v>
      </c>
      <c r="M23" s="3424" t="s">
        <v>1127</v>
      </c>
      <c r="N23" s="3424" t="s">
        <v>1128</v>
      </c>
      <c r="O23" s="3424" t="s">
        <v>2855</v>
      </c>
      <c r="P23" s="3424" t="s">
        <v>2902</v>
      </c>
      <c r="Q23" s="3424" t="s">
        <v>1138</v>
      </c>
      <c r="R23" s="3424" t="s">
        <v>1147</v>
      </c>
      <c r="S23" s="3424" t="s">
        <v>2996</v>
      </c>
    </row>
    <row r="24" spans="1:20" ht="14.25" customHeight="1">
      <c r="A24" s="3424" t="s">
        <v>1031</v>
      </c>
      <c r="B24" s="1289" t="s">
        <v>1078</v>
      </c>
      <c r="C24" s="3424">
        <v>27930</v>
      </c>
      <c r="D24" s="3424">
        <v>32260</v>
      </c>
      <c r="E24" s="3424">
        <v>32120</v>
      </c>
      <c r="F24" s="3430"/>
      <c r="G24" s="3431">
        <v>23470</v>
      </c>
      <c r="L24" s="3433" t="s">
        <v>2826</v>
      </c>
      <c r="M24" s="3424" t="s">
        <v>1130</v>
      </c>
      <c r="N24" s="3424" t="s">
        <v>1131</v>
      </c>
      <c r="O24" s="3424" t="s">
        <v>2856</v>
      </c>
      <c r="P24" s="3424" t="s">
        <v>1134</v>
      </c>
      <c r="Q24" s="3424" t="s">
        <v>2931</v>
      </c>
      <c r="R24" s="3424" t="s">
        <v>2959</v>
      </c>
      <c r="S24" s="3424" t="s">
        <v>2997</v>
      </c>
    </row>
    <row r="25" spans="1:20" ht="14.25" customHeight="1">
      <c r="A25" s="3424" t="s">
        <v>1031</v>
      </c>
      <c r="B25" s="1289" t="s">
        <v>1083</v>
      </c>
      <c r="C25" s="3424">
        <v>32230</v>
      </c>
      <c r="D25" s="3424">
        <v>29640</v>
      </c>
      <c r="E25" s="3424">
        <v>29510</v>
      </c>
      <c r="F25" s="3430"/>
      <c r="G25" s="3431">
        <v>21560</v>
      </c>
      <c r="L25" s="3433" t="s">
        <v>2827</v>
      </c>
      <c r="M25" s="3424" t="s">
        <v>2830</v>
      </c>
      <c r="N25" s="3424" t="s">
        <v>1133</v>
      </c>
      <c r="O25" s="3424" t="s">
        <v>1141</v>
      </c>
      <c r="P25" s="3424" t="s">
        <v>1137</v>
      </c>
      <c r="Q25" s="3424" t="s">
        <v>1124</v>
      </c>
      <c r="R25" s="3424" t="s">
        <v>1119</v>
      </c>
      <c r="S25" s="3424" t="s">
        <v>2998</v>
      </c>
    </row>
    <row r="26" spans="1:20" ht="14.25" customHeight="1">
      <c r="A26" s="3424" t="s">
        <v>1031</v>
      </c>
      <c r="B26" s="1289" t="s">
        <v>1092</v>
      </c>
      <c r="C26" s="3424">
        <v>31690</v>
      </c>
      <c r="D26" s="3424">
        <v>27650</v>
      </c>
      <c r="E26" s="3424">
        <v>28200</v>
      </c>
      <c r="F26" s="3430"/>
      <c r="G26" s="3431">
        <v>20110</v>
      </c>
      <c r="L26" s="3433" t="s">
        <v>2828</v>
      </c>
      <c r="M26" s="3424" t="s">
        <v>2831</v>
      </c>
      <c r="N26" s="3424" t="s">
        <v>1136</v>
      </c>
      <c r="O26" s="3424" t="s">
        <v>1143</v>
      </c>
      <c r="P26" s="3424" t="s">
        <v>2903</v>
      </c>
      <c r="Q26" s="3424" t="s">
        <v>2932</v>
      </c>
      <c r="R26" s="3424" t="s">
        <v>1125</v>
      </c>
      <c r="S26" s="3424" t="s">
        <v>2999</v>
      </c>
    </row>
    <row r="27" spans="1:20" ht="14.25" customHeight="1">
      <c r="A27" s="3424" t="s">
        <v>1031</v>
      </c>
      <c r="B27" s="1289" t="s">
        <v>1099</v>
      </c>
      <c r="C27" s="3424">
        <v>29610</v>
      </c>
      <c r="D27" s="3424">
        <v>27770</v>
      </c>
      <c r="E27" s="3424">
        <v>28300</v>
      </c>
      <c r="F27" s="3430"/>
      <c r="G27" s="3431">
        <v>20210</v>
      </c>
      <c r="M27" s="3424" t="s">
        <v>2832</v>
      </c>
      <c r="N27" s="3424" t="s">
        <v>1140</v>
      </c>
      <c r="O27" s="3424" t="s">
        <v>1146</v>
      </c>
      <c r="P27" s="3424" t="s">
        <v>1123</v>
      </c>
      <c r="Q27" s="3424" t="s">
        <v>2933</v>
      </c>
      <c r="R27" s="3424" t="s">
        <v>2960</v>
      </c>
      <c r="S27" s="3424" t="s">
        <v>3000</v>
      </c>
    </row>
    <row r="28" spans="1:20" ht="14.25" customHeight="1">
      <c r="A28" s="3438" t="s">
        <v>1031</v>
      </c>
      <c r="B28" s="2601" t="s">
        <v>1107</v>
      </c>
      <c r="C28" s="1287"/>
      <c r="D28" s="1287">
        <v>31520</v>
      </c>
      <c r="E28" s="1287">
        <v>31410</v>
      </c>
      <c r="F28" s="3435"/>
      <c r="G28" s="3436">
        <v>22940</v>
      </c>
      <c r="M28" s="3424" t="s">
        <v>2833</v>
      </c>
      <c r="N28" s="3424" t="s">
        <v>2840</v>
      </c>
      <c r="O28" s="3424" t="s">
        <v>2857</v>
      </c>
      <c r="P28" s="3424" t="s">
        <v>2904</v>
      </c>
      <c r="Q28" s="3424" t="s">
        <v>2934</v>
      </c>
      <c r="R28" s="3424" t="s">
        <v>2961</v>
      </c>
      <c r="S28" s="3433" t="s">
        <v>3001</v>
      </c>
    </row>
    <row r="29" spans="1:20" ht="14.25" customHeight="1" thickBot="1">
      <c r="A29" s="3439" t="s">
        <v>1031</v>
      </c>
      <c r="B29" s="3427" t="s">
        <v>2822</v>
      </c>
      <c r="C29" s="3427"/>
      <c r="D29" s="3427">
        <v>29460</v>
      </c>
      <c r="E29" s="3427">
        <v>28640</v>
      </c>
      <c r="F29" s="3428"/>
      <c r="G29" s="3440">
        <v>21430</v>
      </c>
      <c r="M29" s="3433" t="s">
        <v>2834</v>
      </c>
      <c r="N29" s="3424" t="s">
        <v>2841</v>
      </c>
      <c r="O29" s="3424" t="s">
        <v>2858</v>
      </c>
      <c r="P29" s="3424" t="s">
        <v>2905</v>
      </c>
      <c r="Q29" s="3424" t="s">
        <v>2935</v>
      </c>
      <c r="R29" s="3424" t="s">
        <v>2962</v>
      </c>
      <c r="S29" s="3433" t="s">
        <v>1129</v>
      </c>
    </row>
    <row r="30" spans="1:20" ht="14.25" customHeight="1">
      <c r="A30" s="3438" t="s">
        <v>1145</v>
      </c>
      <c r="B30" s="1289" t="s">
        <v>2823</v>
      </c>
      <c r="C30" s="1289">
        <v>26890</v>
      </c>
      <c r="D30" s="1289">
        <v>26770</v>
      </c>
      <c r="E30" s="1289">
        <v>25700</v>
      </c>
      <c r="F30" s="3425">
        <v>8180</v>
      </c>
      <c r="G30" s="3425">
        <v>18740</v>
      </c>
      <c r="I30" s="1022"/>
      <c r="M30" s="3433" t="s">
        <v>2835</v>
      </c>
      <c r="N30" s="3424" t="s">
        <v>2842</v>
      </c>
      <c r="O30" s="3424" t="s">
        <v>2859</v>
      </c>
      <c r="P30" s="3424" t="s">
        <v>2906</v>
      </c>
      <c r="Q30" s="3424" t="s">
        <v>2936</v>
      </c>
      <c r="R30" s="3424" t="s">
        <v>2963</v>
      </c>
      <c r="S30" s="3433" t="s">
        <v>3002</v>
      </c>
    </row>
    <row r="31" spans="1:20" ht="14.25" customHeight="1">
      <c r="A31" s="3424" t="s">
        <v>1145</v>
      </c>
      <c r="B31" s="1289" t="s">
        <v>974</v>
      </c>
      <c r="C31" s="3424">
        <v>24550</v>
      </c>
      <c r="D31" s="3424">
        <v>23990</v>
      </c>
      <c r="E31" s="3424">
        <v>22930</v>
      </c>
      <c r="F31" s="3430">
        <v>7470</v>
      </c>
      <c r="G31" s="3430">
        <v>16790</v>
      </c>
      <c r="I31" s="1022"/>
      <c r="M31" s="3433" t="s">
        <v>2836</v>
      </c>
      <c r="N31" s="3424" t="s">
        <v>2843</v>
      </c>
      <c r="O31" s="3424" t="s">
        <v>2860</v>
      </c>
      <c r="P31" s="3424" t="s">
        <v>2907</v>
      </c>
      <c r="Q31" s="3424" t="s">
        <v>2937</v>
      </c>
      <c r="R31" s="3424" t="s">
        <v>2964</v>
      </c>
      <c r="S31" s="3433" t="s">
        <v>3003</v>
      </c>
    </row>
    <row r="32" spans="1:20" ht="14.25" customHeight="1">
      <c r="A32" s="3424" t="s">
        <v>1145</v>
      </c>
      <c r="B32" s="1289" t="s">
        <v>984</v>
      </c>
      <c r="C32" s="3424">
        <v>27210</v>
      </c>
      <c r="D32" s="3424">
        <v>23240</v>
      </c>
      <c r="E32" s="3424">
        <v>23260</v>
      </c>
      <c r="F32" s="3430">
        <v>7130</v>
      </c>
      <c r="G32" s="3430">
        <v>16270</v>
      </c>
      <c r="I32" s="1022"/>
      <c r="M32" s="3433" t="s">
        <v>2837</v>
      </c>
      <c r="N32" s="3424" t="s">
        <v>2844</v>
      </c>
      <c r="O32" s="3424" t="s">
        <v>1149</v>
      </c>
      <c r="P32" s="3424" t="s">
        <v>2908</v>
      </c>
      <c r="Q32" s="3424" t="s">
        <v>1148</v>
      </c>
      <c r="R32" s="3424" t="s">
        <v>2965</v>
      </c>
      <c r="S32" s="3433" t="s">
        <v>3004</v>
      </c>
    </row>
    <row r="33" spans="1:18" ht="14.25" customHeight="1">
      <c r="A33" s="3424" t="s">
        <v>1145</v>
      </c>
      <c r="B33" s="1289" t="s">
        <v>993</v>
      </c>
      <c r="C33" s="3424">
        <v>27300</v>
      </c>
      <c r="D33" s="3424">
        <v>22980</v>
      </c>
      <c r="E33" s="3424">
        <v>24260</v>
      </c>
      <c r="F33" s="3430">
        <v>5860</v>
      </c>
      <c r="G33" s="3430">
        <v>16090</v>
      </c>
      <c r="I33" s="1022"/>
      <c r="M33" s="3433" t="s">
        <v>2838</v>
      </c>
      <c r="N33" s="3424" t="s">
        <v>2845</v>
      </c>
      <c r="O33" s="3424" t="s">
        <v>1150</v>
      </c>
      <c r="P33" s="3424" t="s">
        <v>2909</v>
      </c>
      <c r="Q33" s="3424" t="s">
        <v>2938</v>
      </c>
      <c r="R33" s="3424" t="s">
        <v>2966</v>
      </c>
    </row>
    <row r="34" spans="1:18" ht="14.25" customHeight="1">
      <c r="A34" s="3424" t="s">
        <v>1145</v>
      </c>
      <c r="B34" s="1289" t="s">
        <v>1003</v>
      </c>
      <c r="C34" s="3424">
        <v>23090</v>
      </c>
      <c r="D34" s="3424">
        <v>23390</v>
      </c>
      <c r="E34" s="3424">
        <v>23510</v>
      </c>
      <c r="F34" s="3430">
        <v>6700</v>
      </c>
      <c r="G34" s="3430">
        <v>16370</v>
      </c>
      <c r="I34" s="1022"/>
      <c r="N34" s="3424" t="s">
        <v>2846</v>
      </c>
      <c r="O34" s="3424" t="s">
        <v>1151</v>
      </c>
      <c r="P34" s="3424" t="s">
        <v>2910</v>
      </c>
      <c r="Q34" s="3424" t="s">
        <v>2939</v>
      </c>
      <c r="R34" s="3424" t="s">
        <v>2967</v>
      </c>
    </row>
    <row r="35" spans="1:18" ht="14.25" customHeight="1">
      <c r="A35" s="3424" t="s">
        <v>1145</v>
      </c>
      <c r="B35" s="1289" t="s">
        <v>1010</v>
      </c>
      <c r="C35" s="3424">
        <v>27270</v>
      </c>
      <c r="D35" s="3424">
        <v>24270</v>
      </c>
      <c r="E35" s="3424">
        <v>24950</v>
      </c>
      <c r="F35" s="3430">
        <v>6600</v>
      </c>
      <c r="G35" s="3430">
        <v>16990</v>
      </c>
      <c r="I35" s="1022"/>
      <c r="N35" s="3424" t="s">
        <v>2847</v>
      </c>
      <c r="O35" s="3424" t="s">
        <v>2861</v>
      </c>
      <c r="P35" s="3424" t="s">
        <v>2911</v>
      </c>
      <c r="Q35" s="3424" t="s">
        <v>2940</v>
      </c>
      <c r="R35" s="3424" t="s">
        <v>2968</v>
      </c>
    </row>
    <row r="36" spans="1:18" ht="14.25" customHeight="1">
      <c r="A36" s="3424" t="s">
        <v>1145</v>
      </c>
      <c r="B36" s="1289" t="s">
        <v>1016</v>
      </c>
      <c r="C36" s="3424">
        <v>23490</v>
      </c>
      <c r="D36" s="3424">
        <v>23020</v>
      </c>
      <c r="E36" s="3424">
        <v>25230</v>
      </c>
      <c r="F36" s="3430">
        <v>6780</v>
      </c>
      <c r="G36" s="3430">
        <v>16120</v>
      </c>
      <c r="I36" s="1022"/>
      <c r="N36" s="3433" t="s">
        <v>2848</v>
      </c>
      <c r="O36" s="3461" t="s">
        <v>2862</v>
      </c>
      <c r="P36" s="3424" t="s">
        <v>2912</v>
      </c>
      <c r="Q36" s="3424" t="s">
        <v>2941</v>
      </c>
      <c r="R36" s="3424" t="s">
        <v>2969</v>
      </c>
    </row>
    <row r="37" spans="1:18" ht="14.25" customHeight="1">
      <c r="A37" s="3424" t="s">
        <v>1145</v>
      </c>
      <c r="B37" s="1289" t="s">
        <v>1023</v>
      </c>
      <c r="C37" s="3424">
        <v>24380</v>
      </c>
      <c r="D37" s="3424">
        <v>22240</v>
      </c>
      <c r="E37" s="3424">
        <v>25980</v>
      </c>
      <c r="F37" s="3430">
        <v>8160</v>
      </c>
      <c r="G37" s="3430">
        <v>15570</v>
      </c>
      <c r="I37" s="1023"/>
      <c r="N37" s="3433" t="s">
        <v>2849</v>
      </c>
      <c r="O37" s="3461" t="s">
        <v>2863</v>
      </c>
      <c r="P37" s="3424" t="s">
        <v>2913</v>
      </c>
      <c r="Q37" s="3424" t="s">
        <v>2942</v>
      </c>
      <c r="R37" s="3424" t="s">
        <v>2970</v>
      </c>
    </row>
    <row r="38" spans="1:18" ht="14.25" customHeight="1">
      <c r="A38" s="3424" t="s">
        <v>1145</v>
      </c>
      <c r="B38" s="1289" t="s">
        <v>1033</v>
      </c>
      <c r="C38" s="3424">
        <v>23120</v>
      </c>
      <c r="D38" s="3424">
        <v>24630</v>
      </c>
      <c r="E38" s="3424">
        <v>25030</v>
      </c>
      <c r="F38" s="3430">
        <v>7710</v>
      </c>
      <c r="G38" s="3430">
        <v>17240</v>
      </c>
      <c r="I38" s="1024"/>
      <c r="N38" s="3433" t="s">
        <v>2850</v>
      </c>
      <c r="O38" s="3461" t="s">
        <v>2864</v>
      </c>
      <c r="P38" s="3424" t="s">
        <v>2914</v>
      </c>
      <c r="Q38" s="3424" t="s">
        <v>2943</v>
      </c>
      <c r="R38" s="3424" t="s">
        <v>2971</v>
      </c>
    </row>
    <row r="39" spans="1:18" ht="14.25" customHeight="1">
      <c r="A39" s="3424" t="s">
        <v>1145</v>
      </c>
      <c r="B39" s="1289" t="s">
        <v>1042</v>
      </c>
      <c r="C39" s="3424">
        <v>22330</v>
      </c>
      <c r="D39" s="3424">
        <v>21140</v>
      </c>
      <c r="E39" s="3424">
        <v>23970</v>
      </c>
      <c r="F39" s="3430">
        <v>7940</v>
      </c>
      <c r="G39" s="3430">
        <v>14790</v>
      </c>
      <c r="I39" s="1024"/>
      <c r="N39" s="3433" t="s">
        <v>2851</v>
      </c>
      <c r="O39" s="3461" t="s">
        <v>2865</v>
      </c>
      <c r="P39" s="3424" t="s">
        <v>2915</v>
      </c>
      <c r="Q39" s="3424" t="s">
        <v>2944</v>
      </c>
      <c r="R39" s="3424" t="s">
        <v>2972</v>
      </c>
    </row>
    <row r="40" spans="1:18" ht="14.25" customHeight="1">
      <c r="A40" s="3424" t="s">
        <v>1145</v>
      </c>
      <c r="B40" s="1289" t="s">
        <v>1049</v>
      </c>
      <c r="C40" s="3424">
        <v>24740</v>
      </c>
      <c r="D40" s="3424">
        <v>24690</v>
      </c>
      <c r="E40" s="3424">
        <v>22610</v>
      </c>
      <c r="F40" s="3430"/>
      <c r="G40" s="3430">
        <v>17280</v>
      </c>
      <c r="I40" s="1024"/>
      <c r="N40" s="3433" t="s">
        <v>2852</v>
      </c>
      <c r="O40" s="3461" t="s">
        <v>2866</v>
      </c>
      <c r="P40" s="3424" t="s">
        <v>2916</v>
      </c>
      <c r="Q40" s="3424" t="s">
        <v>2945</v>
      </c>
      <c r="R40" s="3424" t="s">
        <v>2973</v>
      </c>
    </row>
    <row r="41" spans="1:18" ht="14.25" customHeight="1">
      <c r="A41" s="3424" t="s">
        <v>1145</v>
      </c>
      <c r="B41" s="1289" t="s">
        <v>1056</v>
      </c>
      <c r="C41" s="3424">
        <v>21220</v>
      </c>
      <c r="D41" s="3424">
        <v>21120</v>
      </c>
      <c r="E41" s="3424">
        <v>22590</v>
      </c>
      <c r="F41" s="3430"/>
      <c r="G41" s="3430">
        <v>14780</v>
      </c>
      <c r="I41" s="1024"/>
      <c r="N41" s="3433" t="s">
        <v>2853</v>
      </c>
      <c r="O41" s="3462" t="s">
        <v>2867</v>
      </c>
      <c r="P41" s="1289" t="s">
        <v>2917</v>
      </c>
      <c r="Q41" s="3433" t="s">
        <v>2946</v>
      </c>
      <c r="R41" s="1289" t="s">
        <v>2974</v>
      </c>
    </row>
    <row r="42" spans="1:18" ht="14.25" customHeight="1">
      <c r="A42" s="3424" t="s">
        <v>1145</v>
      </c>
      <c r="B42" s="1289" t="s">
        <v>1063</v>
      </c>
      <c r="C42" s="3424">
        <v>24800</v>
      </c>
      <c r="D42" s="3424">
        <v>22280</v>
      </c>
      <c r="E42" s="3424">
        <v>24350</v>
      </c>
      <c r="F42" s="3430"/>
      <c r="G42" s="3430">
        <v>15590</v>
      </c>
      <c r="I42" s="1024"/>
      <c r="O42" s="3424" t="s">
        <v>2868</v>
      </c>
      <c r="P42" s="3424" t="s">
        <v>2918</v>
      </c>
      <c r="Q42" s="3433" t="s">
        <v>2947</v>
      </c>
      <c r="R42" s="3424" t="s">
        <v>2975</v>
      </c>
    </row>
    <row r="43" spans="1:18" ht="14.25" customHeight="1">
      <c r="A43" s="3424" t="s">
        <v>1145</v>
      </c>
      <c r="B43" s="1289" t="s">
        <v>1071</v>
      </c>
      <c r="C43" s="3424">
        <v>21210</v>
      </c>
      <c r="D43" s="3424">
        <v>21160</v>
      </c>
      <c r="E43" s="3424">
        <v>22650</v>
      </c>
      <c r="F43" s="3430"/>
      <c r="G43" s="3430">
        <v>14800</v>
      </c>
      <c r="I43" s="1024"/>
      <c r="O43" s="3424" t="s">
        <v>2869</v>
      </c>
      <c r="P43" s="3424" t="s">
        <v>2919</v>
      </c>
      <c r="Q43" s="3433" t="s">
        <v>2948</v>
      </c>
      <c r="R43" s="3424" t="s">
        <v>2976</v>
      </c>
    </row>
    <row r="44" spans="1:18" ht="14.25" customHeight="1">
      <c r="A44" s="3424" t="s">
        <v>1145</v>
      </c>
      <c r="B44" s="1289" t="s">
        <v>1079</v>
      </c>
      <c r="C44" s="3424">
        <v>22370</v>
      </c>
      <c r="D44" s="3424">
        <v>23140</v>
      </c>
      <c r="E44" s="3424">
        <v>25090</v>
      </c>
      <c r="F44" s="3430"/>
      <c r="G44" s="3430">
        <v>16190</v>
      </c>
      <c r="I44" s="1024"/>
      <c r="O44" s="3424" t="s">
        <v>2870</v>
      </c>
      <c r="P44" s="3424" t="s">
        <v>2920</v>
      </c>
      <c r="Q44" s="3433" t="s">
        <v>2949</v>
      </c>
      <c r="R44" s="3424" t="s">
        <v>2977</v>
      </c>
    </row>
    <row r="45" spans="1:18" ht="14.25" customHeight="1">
      <c r="A45" s="3424" t="s">
        <v>1145</v>
      </c>
      <c r="B45" s="1289" t="s">
        <v>1084</v>
      </c>
      <c r="C45" s="3424">
        <v>21240</v>
      </c>
      <c r="D45" s="3424">
        <v>27050</v>
      </c>
      <c r="E45" s="3424">
        <v>28000</v>
      </c>
      <c r="F45" s="3430"/>
      <c r="G45" s="3430">
        <v>18940</v>
      </c>
      <c r="I45" s="1022"/>
      <c r="O45" s="3424" t="s">
        <v>2871</v>
      </c>
      <c r="P45" s="3424" t="s">
        <v>2921</v>
      </c>
      <c r="R45" s="3424" t="s">
        <v>2978</v>
      </c>
    </row>
    <row r="46" spans="1:18" ht="14.25" customHeight="1">
      <c r="A46" s="3424" t="s">
        <v>1145</v>
      </c>
      <c r="B46" s="1289" t="s">
        <v>1093</v>
      </c>
      <c r="C46" s="3424">
        <v>23240</v>
      </c>
      <c r="D46" s="3424">
        <v>23000</v>
      </c>
      <c r="E46" s="3424">
        <v>24980</v>
      </c>
      <c r="F46" s="3430"/>
      <c r="G46" s="3430">
        <v>16100</v>
      </c>
      <c r="I46" s="1024"/>
      <c r="O46" s="3424" t="s">
        <v>2872</v>
      </c>
      <c r="P46" s="3424"/>
      <c r="R46" s="3424" t="s">
        <v>2979</v>
      </c>
    </row>
    <row r="47" spans="1:18" ht="14.25" customHeight="1">
      <c r="A47" s="3424" t="s">
        <v>1145</v>
      </c>
      <c r="B47" s="2601" t="s">
        <v>1100</v>
      </c>
      <c r="C47" s="1287">
        <v>27150</v>
      </c>
      <c r="D47" s="1287">
        <v>23310</v>
      </c>
      <c r="E47" s="1287">
        <v>25150</v>
      </c>
      <c r="F47" s="3435"/>
      <c r="G47" s="3435">
        <v>16310</v>
      </c>
      <c r="I47" s="1024"/>
      <c r="O47" s="3424" t="s">
        <v>2873</v>
      </c>
      <c r="P47" s="3424"/>
      <c r="R47" s="3433" t="s">
        <v>2980</v>
      </c>
    </row>
    <row r="48" spans="1:18" ht="14.25" customHeight="1">
      <c r="A48" s="3424" t="s">
        <v>1145</v>
      </c>
      <c r="B48" s="3424" t="s">
        <v>1108</v>
      </c>
      <c r="C48" s="3424">
        <v>23100</v>
      </c>
      <c r="D48" s="3424">
        <v>21110</v>
      </c>
      <c r="E48" s="3424">
        <v>23080</v>
      </c>
      <c r="F48" s="3430"/>
      <c r="G48" s="3437">
        <v>14780</v>
      </c>
      <c r="I48" s="1022"/>
      <c r="O48" s="3424" t="s">
        <v>2874</v>
      </c>
      <c r="P48" s="3424"/>
      <c r="R48" s="3433" t="s">
        <v>2981</v>
      </c>
    </row>
    <row r="49" spans="1:18" ht="14.25" customHeight="1">
      <c r="A49" s="3424" t="s">
        <v>1145</v>
      </c>
      <c r="B49" s="1289" t="s">
        <v>1115</v>
      </c>
      <c r="C49" s="1289">
        <v>23400</v>
      </c>
      <c r="D49" s="1289">
        <v>22920</v>
      </c>
      <c r="E49" s="1289">
        <v>24900</v>
      </c>
      <c r="F49" s="3425"/>
      <c r="G49" s="3425">
        <v>16040</v>
      </c>
      <c r="I49" s="1024"/>
      <c r="O49" s="3424" t="s">
        <v>2875</v>
      </c>
      <c r="P49" s="3424"/>
      <c r="R49" s="3433" t="s">
        <v>2982</v>
      </c>
    </row>
    <row r="50" spans="1:18" ht="14.25" customHeight="1">
      <c r="A50" s="3424" t="s">
        <v>1145</v>
      </c>
      <c r="B50" s="3424" t="s">
        <v>2824</v>
      </c>
      <c r="C50" s="3424">
        <v>21200</v>
      </c>
      <c r="D50" s="3424">
        <v>26540</v>
      </c>
      <c r="E50" s="3424">
        <v>23200</v>
      </c>
      <c r="F50" s="3430"/>
      <c r="G50" s="3430">
        <v>18580</v>
      </c>
      <c r="I50" s="1024"/>
      <c r="O50" s="3433" t="s">
        <v>2876</v>
      </c>
      <c r="R50" s="3433" t="s">
        <v>2983</v>
      </c>
    </row>
    <row r="51" spans="1:18" ht="14.25" customHeight="1">
      <c r="A51" s="3424" t="s">
        <v>1145</v>
      </c>
      <c r="B51" s="3424" t="s">
        <v>2825</v>
      </c>
      <c r="C51" s="3424">
        <v>23000</v>
      </c>
      <c r="D51" s="3424">
        <v>23460</v>
      </c>
      <c r="E51" s="3424">
        <v>25290</v>
      </c>
      <c r="F51" s="3430"/>
      <c r="G51" s="3430">
        <v>16420</v>
      </c>
      <c r="I51" s="1024"/>
      <c r="O51" s="3433" t="s">
        <v>2877</v>
      </c>
      <c r="R51" s="3433" t="s">
        <v>2984</v>
      </c>
    </row>
    <row r="52" spans="1:18" ht="14.25" customHeight="1">
      <c r="A52" s="3424" t="s">
        <v>1145</v>
      </c>
      <c r="B52" s="3424" t="s">
        <v>2826</v>
      </c>
      <c r="C52" s="3424">
        <v>26660</v>
      </c>
      <c r="D52" s="3424">
        <v>22350</v>
      </c>
      <c r="E52" s="3424">
        <v>22920</v>
      </c>
      <c r="F52" s="3430"/>
      <c r="G52" s="3430">
        <v>15640</v>
      </c>
      <c r="I52" s="1024"/>
      <c r="O52" s="3433" t="s">
        <v>2878</v>
      </c>
    </row>
    <row r="53" spans="1:18" ht="14.25" customHeight="1">
      <c r="A53" s="3424" t="s">
        <v>1145</v>
      </c>
      <c r="B53" s="3424" t="s">
        <v>2827</v>
      </c>
      <c r="C53" s="3424">
        <v>23580</v>
      </c>
      <c r="D53" s="3424"/>
      <c r="E53" s="3424">
        <v>24280</v>
      </c>
      <c r="F53" s="3430"/>
      <c r="G53" s="3430"/>
      <c r="I53" s="1024"/>
      <c r="O53" s="3433" t="s">
        <v>2879</v>
      </c>
    </row>
    <row r="54" spans="1:18" ht="14.25" customHeight="1" thickBot="1">
      <c r="A54" s="3439" t="s">
        <v>1145</v>
      </c>
      <c r="B54" s="3427" t="s">
        <v>2828</v>
      </c>
      <c r="C54" s="3427">
        <v>22460</v>
      </c>
      <c r="D54" s="3427"/>
      <c r="E54" s="3427"/>
      <c r="F54" s="3428"/>
      <c r="G54" s="3440"/>
      <c r="I54" s="1024"/>
      <c r="O54" s="3433" t="s">
        <v>2880</v>
      </c>
    </row>
    <row r="55" spans="1:18" ht="14.25" customHeight="1">
      <c r="A55" s="3438" t="s">
        <v>853</v>
      </c>
      <c r="B55" s="1289" t="s">
        <v>2829</v>
      </c>
      <c r="C55" s="1289">
        <v>21970</v>
      </c>
      <c r="D55" s="1289">
        <v>20370</v>
      </c>
      <c r="E55" s="1289">
        <v>20180</v>
      </c>
      <c r="F55" s="3425">
        <v>5730</v>
      </c>
      <c r="G55" s="3425">
        <v>13820</v>
      </c>
      <c r="I55" s="1024"/>
      <c r="O55" s="3433" t="s">
        <v>2881</v>
      </c>
    </row>
    <row r="56" spans="1:18" ht="14.25" customHeight="1">
      <c r="A56" s="3424" t="s">
        <v>853</v>
      </c>
      <c r="B56" s="3424" t="s">
        <v>975</v>
      </c>
      <c r="C56" s="3424">
        <v>20470</v>
      </c>
      <c r="D56" s="3424">
        <v>20700</v>
      </c>
      <c r="E56" s="3424">
        <v>20380</v>
      </c>
      <c r="F56" s="3430">
        <v>4760</v>
      </c>
      <c r="G56" s="3430">
        <v>14050</v>
      </c>
      <c r="I56" s="1024"/>
      <c r="O56" s="3433" t="s">
        <v>2882</v>
      </c>
    </row>
    <row r="57" spans="1:18" ht="14.25" customHeight="1">
      <c r="A57" s="3424" t="s">
        <v>853</v>
      </c>
      <c r="B57" s="3424" t="s">
        <v>985</v>
      </c>
      <c r="C57" s="3424">
        <v>20790</v>
      </c>
      <c r="D57" s="3424">
        <v>21370</v>
      </c>
      <c r="E57" s="3424">
        <v>20890</v>
      </c>
      <c r="F57" s="3430">
        <v>4910</v>
      </c>
      <c r="G57" s="3430">
        <v>14510</v>
      </c>
      <c r="I57" s="1024"/>
      <c r="O57" s="3433" t="s">
        <v>2883</v>
      </c>
    </row>
    <row r="58" spans="1:18" ht="14.25" customHeight="1">
      <c r="A58" s="3424" t="s">
        <v>853</v>
      </c>
      <c r="B58" s="3424" t="s">
        <v>994</v>
      </c>
      <c r="C58" s="3424">
        <v>21460</v>
      </c>
      <c r="D58" s="3424">
        <v>20920</v>
      </c>
      <c r="E58" s="3424">
        <v>23410</v>
      </c>
      <c r="F58" s="3430">
        <v>5100</v>
      </c>
      <c r="G58" s="3430">
        <v>14200</v>
      </c>
      <c r="I58" s="1024"/>
      <c r="O58" s="3433" t="s">
        <v>2884</v>
      </c>
    </row>
    <row r="59" spans="1:18" ht="14.25" customHeight="1">
      <c r="A59" s="3424" t="s">
        <v>853</v>
      </c>
      <c r="B59" s="3424" t="s">
        <v>1004</v>
      </c>
      <c r="C59" s="3424">
        <v>21000</v>
      </c>
      <c r="D59" s="3424">
        <v>21550</v>
      </c>
      <c r="E59" s="3424">
        <v>21150</v>
      </c>
      <c r="F59" s="3430">
        <v>5250</v>
      </c>
      <c r="G59" s="3430">
        <v>14630</v>
      </c>
      <c r="I59" s="1024"/>
      <c r="O59" s="3433" t="s">
        <v>2885</v>
      </c>
    </row>
    <row r="60" spans="1:18" ht="14.25" customHeight="1">
      <c r="A60" s="3424" t="s">
        <v>853</v>
      </c>
      <c r="B60" s="3424" t="s">
        <v>1011</v>
      </c>
      <c r="C60" s="3424">
        <v>21640</v>
      </c>
      <c r="D60" s="3424">
        <v>21260</v>
      </c>
      <c r="E60" s="3424">
        <v>24040</v>
      </c>
      <c r="F60" s="3430">
        <v>4470</v>
      </c>
      <c r="G60" s="3430">
        <v>14430</v>
      </c>
      <c r="I60" s="1024"/>
      <c r="O60" s="3433" t="s">
        <v>2886</v>
      </c>
    </row>
    <row r="61" spans="1:18" ht="14.25" customHeight="1">
      <c r="A61" s="3424" t="s">
        <v>853</v>
      </c>
      <c r="B61" s="3424" t="s">
        <v>1017</v>
      </c>
      <c r="C61" s="3424">
        <v>21330</v>
      </c>
      <c r="D61" s="3424">
        <v>18640</v>
      </c>
      <c r="E61" s="3424">
        <v>21190</v>
      </c>
      <c r="F61" s="3430">
        <v>4180</v>
      </c>
      <c r="G61" s="3432">
        <v>12650</v>
      </c>
      <c r="I61" s="1024"/>
      <c r="O61" s="3433" t="s">
        <v>2887</v>
      </c>
    </row>
    <row r="62" spans="1:18" ht="14.25" customHeight="1">
      <c r="A62" s="3424" t="s">
        <v>853</v>
      </c>
      <c r="B62" s="3424" t="s">
        <v>1024</v>
      </c>
      <c r="C62" s="3424">
        <v>18710</v>
      </c>
      <c r="D62" s="3424">
        <v>19400</v>
      </c>
      <c r="E62" s="3424">
        <v>23750</v>
      </c>
      <c r="F62" s="3430">
        <v>4860</v>
      </c>
      <c r="G62" s="3432">
        <v>13170</v>
      </c>
      <c r="I62" s="1024"/>
      <c r="O62" s="3433" t="s">
        <v>2888</v>
      </c>
    </row>
    <row r="63" spans="1:18" ht="14.25" customHeight="1">
      <c r="A63" s="3424" t="s">
        <v>853</v>
      </c>
      <c r="B63" s="3424" t="s">
        <v>1034</v>
      </c>
      <c r="C63" s="3424">
        <v>19480</v>
      </c>
      <c r="D63" s="3424">
        <v>16830</v>
      </c>
      <c r="E63" s="3424">
        <v>21590</v>
      </c>
      <c r="F63" s="3430">
        <v>4560</v>
      </c>
      <c r="G63" s="3432">
        <v>11420</v>
      </c>
      <c r="I63" s="1024"/>
      <c r="O63" s="3433" t="s">
        <v>2889</v>
      </c>
    </row>
    <row r="64" spans="1:18" ht="14.25" customHeight="1">
      <c r="A64" s="3424" t="s">
        <v>853</v>
      </c>
      <c r="B64" s="3424" t="s">
        <v>1043</v>
      </c>
      <c r="C64" s="3424">
        <v>16920</v>
      </c>
      <c r="D64" s="3424">
        <v>19190</v>
      </c>
      <c r="E64" s="3424">
        <v>22200</v>
      </c>
      <c r="F64" s="3430">
        <v>4390</v>
      </c>
      <c r="G64" s="3432">
        <v>13030</v>
      </c>
      <c r="I64" s="1024"/>
      <c r="O64" s="3433" t="s">
        <v>2890</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2830</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2831</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2832</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2833</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2834</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2835</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2836</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2837</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2838</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2839</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2840</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2841</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2842</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2843</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2844</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2845</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2846</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2847</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2848</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2849</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2850</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2851</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2852</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2853</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2854</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2855</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2856</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2857</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2858</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2859</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2860</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2861</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2862</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2863</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2864</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2865</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2866</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2867</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2868</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2869</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2870</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2871</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2872</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2873</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2874</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2875</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2876</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2877</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2878</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2879</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2880</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2881</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2882</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2883</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2884</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2885</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2886</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2887</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2888</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2889</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2890</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2891</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2892</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2893</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2894</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2895</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2896</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2897</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2898</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2899</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2900</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2901</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2902</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2903</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2904</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2905</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2906</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2907</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2908</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2909</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2910</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2911</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2912</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2913</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2914</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2915</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2916</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2917</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2918</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2919</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2920</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2921</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2922</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2923</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2924</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2925</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2926</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2927</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2928</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2929</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2930</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2931</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2932</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2933</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2934</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2935</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2936</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2937</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2938</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2939</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2940</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2941</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2942</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2943</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2944</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2945</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2946</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2947</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2948</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2949</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2950</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2951</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2952</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2953</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2954</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2955</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2956</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2957</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2958</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2959</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2960</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2961</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2962</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2963</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2964</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2965</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2966</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2967</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2968</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2969</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2970</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2971</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2972</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2973</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2974</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2975</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2976</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2977</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2978</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2979</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2980</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2981</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2982</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2983</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2984</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2985</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2986</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2987</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2988</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2989</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2990</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2991</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2992</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2993</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2994</v>
      </c>
      <c r="C345" s="3433">
        <v>3190</v>
      </c>
      <c r="D345" s="3433">
        <v>3140</v>
      </c>
      <c r="E345" s="3433">
        <v>3450</v>
      </c>
      <c r="F345" s="3433">
        <v>720</v>
      </c>
      <c r="G345" s="3433">
        <v>1880</v>
      </c>
      <c r="H345" s="3446"/>
    </row>
    <row r="346" spans="1:21">
      <c r="A346" s="3433" t="s">
        <v>1157</v>
      </c>
      <c r="B346" s="3433" t="s">
        <v>2995</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2996</v>
      </c>
      <c r="C348" s="3433">
        <v>4000</v>
      </c>
      <c r="D348" s="3433">
        <v>3950</v>
      </c>
      <c r="E348" s="3433">
        <v>4430</v>
      </c>
      <c r="F348" s="3433">
        <v>760</v>
      </c>
      <c r="G348" s="3433">
        <v>2360</v>
      </c>
      <c r="H348" s="3446"/>
    </row>
    <row r="349" spans="1:21">
      <c r="A349" s="3433" t="s">
        <v>1157</v>
      </c>
      <c r="B349" s="3433" t="s">
        <v>2997</v>
      </c>
      <c r="C349" s="3433">
        <v>3820</v>
      </c>
      <c r="D349" s="3433">
        <v>3780</v>
      </c>
      <c r="E349" s="3433">
        <v>4170</v>
      </c>
      <c r="F349" s="3433">
        <v>710</v>
      </c>
      <c r="G349" s="3433">
        <v>2260</v>
      </c>
      <c r="H349" s="3446"/>
    </row>
    <row r="350" spans="1:21">
      <c r="A350" s="3433" t="s">
        <v>1157</v>
      </c>
      <c r="B350" s="3433" t="s">
        <v>2998</v>
      </c>
      <c r="C350" s="3433">
        <v>3760</v>
      </c>
      <c r="D350" s="3433">
        <v>3730</v>
      </c>
      <c r="E350" s="3433">
        <v>4100</v>
      </c>
      <c r="F350" s="3433">
        <v>800</v>
      </c>
      <c r="G350" s="3433">
        <v>2230</v>
      </c>
      <c r="H350" s="3446"/>
    </row>
    <row r="351" spans="1:21">
      <c r="A351" s="3433" t="s">
        <v>1157</v>
      </c>
      <c r="B351" s="3433" t="s">
        <v>2999</v>
      </c>
      <c r="C351" s="3433">
        <v>3610</v>
      </c>
      <c r="D351" s="3433">
        <v>3580</v>
      </c>
      <c r="E351" s="3433">
        <v>3930</v>
      </c>
      <c r="F351" s="3433">
        <v>700</v>
      </c>
      <c r="G351" s="3433">
        <v>2140</v>
      </c>
      <c r="H351" s="3446"/>
    </row>
    <row r="352" spans="1:21">
      <c r="A352" s="3433" t="s">
        <v>1157</v>
      </c>
      <c r="B352" s="3433" t="s">
        <v>3000</v>
      </c>
      <c r="C352" s="3433">
        <v>3670</v>
      </c>
      <c r="D352" s="3433">
        <v>3630</v>
      </c>
      <c r="E352" s="3433">
        <v>4000</v>
      </c>
      <c r="F352" s="3433">
        <v>750</v>
      </c>
      <c r="G352" s="3433">
        <v>2180</v>
      </c>
      <c r="H352" s="3446"/>
    </row>
    <row r="353" spans="1:8">
      <c r="A353" s="3433" t="s">
        <v>1157</v>
      </c>
      <c r="B353" s="3433" t="s">
        <v>3001</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3002</v>
      </c>
      <c r="C355" s="3433">
        <v>3650</v>
      </c>
      <c r="D355" s="3433">
        <v>3610</v>
      </c>
      <c r="E355" s="3433">
        <v>4200</v>
      </c>
      <c r="F355" s="3433">
        <v>640</v>
      </c>
      <c r="G355" s="3433">
        <v>2160</v>
      </c>
      <c r="H355" s="3446"/>
    </row>
    <row r="356" spans="1:8">
      <c r="A356" s="3433" t="s">
        <v>1157</v>
      </c>
      <c r="B356" s="3433" t="s">
        <v>3003</v>
      </c>
      <c r="C356" s="3433">
        <v>3260</v>
      </c>
      <c r="D356" s="3433">
        <v>3230</v>
      </c>
      <c r="E356" s="3433">
        <v>3740</v>
      </c>
      <c r="F356" s="3433">
        <v>600</v>
      </c>
      <c r="G356" s="3433">
        <v>1930</v>
      </c>
      <c r="H356" s="3446"/>
    </row>
    <row r="357" spans="1:8" ht="14.25" thickBot="1">
      <c r="A357" s="3449" t="s">
        <v>1157</v>
      </c>
      <c r="B357" s="3449" t="s">
        <v>3004</v>
      </c>
      <c r="C357" s="3449">
        <v>3690</v>
      </c>
      <c r="D357" s="3449">
        <v>3650</v>
      </c>
      <c r="E357" s="3449">
        <v>4020</v>
      </c>
      <c r="F357" s="3449">
        <v>700</v>
      </c>
      <c r="G357" s="3449">
        <v>2190</v>
      </c>
      <c r="H357" s="3446"/>
    </row>
    <row r="358" spans="1:8">
      <c r="A358" s="3450" t="s">
        <v>2762</v>
      </c>
      <c r="B358" s="3451" t="s">
        <v>3005</v>
      </c>
      <c r="C358" s="3451">
        <v>2080</v>
      </c>
      <c r="D358" s="3451">
        <v>2040</v>
      </c>
      <c r="E358" s="3451">
        <v>2010</v>
      </c>
      <c r="F358" s="3451">
        <v>530</v>
      </c>
      <c r="G358" s="3452">
        <v>1230</v>
      </c>
      <c r="H358" s="3446"/>
    </row>
    <row r="359" spans="1:8">
      <c r="A359" s="3453" t="s">
        <v>2762</v>
      </c>
      <c r="B359" s="3433" t="s">
        <v>3006</v>
      </c>
      <c r="C359" s="3433">
        <v>1850</v>
      </c>
      <c r="D359" s="3433">
        <v>1820</v>
      </c>
      <c r="E359" s="3433">
        <v>1780</v>
      </c>
      <c r="F359" s="3433">
        <v>520</v>
      </c>
      <c r="G359" s="3445">
        <v>1100</v>
      </c>
      <c r="H359" s="3446"/>
    </row>
    <row r="360" spans="1:8">
      <c r="A360" s="3453" t="s">
        <v>2762</v>
      </c>
      <c r="B360" s="3433" t="s">
        <v>3007</v>
      </c>
      <c r="C360" s="3433">
        <v>2020</v>
      </c>
      <c r="D360" s="3433">
        <v>1990</v>
      </c>
      <c r="E360" s="3433">
        <v>1950</v>
      </c>
      <c r="F360" s="3433">
        <v>500</v>
      </c>
      <c r="G360" s="3445">
        <v>1200</v>
      </c>
      <c r="H360" s="3446"/>
    </row>
    <row r="361" spans="1:8">
      <c r="A361" s="3453" t="s">
        <v>2762</v>
      </c>
      <c r="B361" s="3433" t="s">
        <v>999</v>
      </c>
      <c r="C361" s="3433">
        <v>2260</v>
      </c>
      <c r="D361" s="3433">
        <v>2220</v>
      </c>
      <c r="E361" s="3433">
        <v>2180</v>
      </c>
      <c r="F361" s="3433">
        <v>580</v>
      </c>
      <c r="G361" s="3445">
        <v>1340</v>
      </c>
      <c r="H361" s="3446"/>
    </row>
    <row r="362" spans="1:8">
      <c r="A362" s="3453" t="s">
        <v>2762</v>
      </c>
      <c r="B362" s="3433" t="s">
        <v>3008</v>
      </c>
      <c r="C362" s="3433">
        <v>2650</v>
      </c>
      <c r="D362" s="3433">
        <v>2610</v>
      </c>
      <c r="E362" s="3433">
        <v>2570</v>
      </c>
      <c r="F362" s="3433">
        <v>630</v>
      </c>
      <c r="G362" s="3445">
        <v>1570</v>
      </c>
      <c r="H362" s="3446"/>
    </row>
    <row r="363" spans="1:8">
      <c r="A363" s="3453" t="s">
        <v>2762</v>
      </c>
      <c r="B363" s="3433" t="s">
        <v>3009</v>
      </c>
      <c r="C363" s="3433">
        <v>2390</v>
      </c>
      <c r="D363" s="3433">
        <v>2360</v>
      </c>
      <c r="E363" s="3433">
        <v>2320</v>
      </c>
      <c r="F363" s="3433">
        <v>600</v>
      </c>
      <c r="G363" s="3445">
        <v>1420</v>
      </c>
      <c r="H363" s="3446"/>
    </row>
    <row r="364" spans="1:8">
      <c r="A364" s="3453" t="s">
        <v>2762</v>
      </c>
      <c r="B364" s="3433" t="s">
        <v>3010</v>
      </c>
      <c r="C364" s="3433">
        <v>2050</v>
      </c>
      <c r="D364" s="3433">
        <v>2030</v>
      </c>
      <c r="E364" s="3433">
        <v>1990</v>
      </c>
      <c r="F364" s="3433">
        <v>550</v>
      </c>
      <c r="G364" s="3445">
        <v>1220</v>
      </c>
      <c r="H364" s="3446"/>
    </row>
    <row r="365" spans="1:8">
      <c r="A365" s="3453" t="s">
        <v>2762</v>
      </c>
      <c r="B365" s="3433" t="s">
        <v>1047</v>
      </c>
      <c r="C365" s="3433">
        <v>2140</v>
      </c>
      <c r="D365" s="3433">
        <v>2100</v>
      </c>
      <c r="E365" s="3433">
        <v>2060</v>
      </c>
      <c r="F365" s="3433">
        <v>540</v>
      </c>
      <c r="G365" s="3445">
        <v>1270</v>
      </c>
      <c r="H365" s="3446"/>
    </row>
    <row r="366" spans="1:8">
      <c r="A366" s="3453" t="s">
        <v>2762</v>
      </c>
      <c r="B366" s="3433" t="s">
        <v>3011</v>
      </c>
      <c r="C366" s="3433">
        <v>2410</v>
      </c>
      <c r="D366" s="3433">
        <v>2370</v>
      </c>
      <c r="E366" s="3433">
        <v>2330</v>
      </c>
      <c r="F366" s="3433">
        <v>570</v>
      </c>
      <c r="G366" s="3445">
        <v>1440</v>
      </c>
      <c r="H366" s="3446"/>
    </row>
    <row r="367" spans="1:8">
      <c r="A367" s="3453" t="s">
        <v>2762</v>
      </c>
      <c r="B367" s="3433" t="s">
        <v>3012</v>
      </c>
      <c r="C367" s="3433">
        <v>2300</v>
      </c>
      <c r="D367" s="3433">
        <v>2260</v>
      </c>
      <c r="E367" s="3433">
        <v>2220</v>
      </c>
      <c r="F367" s="3433">
        <v>560</v>
      </c>
      <c r="G367" s="3445">
        <v>1370</v>
      </c>
      <c r="H367" s="3446"/>
    </row>
    <row r="368" spans="1:8">
      <c r="A368" s="3453" t="s">
        <v>2762</v>
      </c>
      <c r="B368" s="3433" t="s">
        <v>3013</v>
      </c>
      <c r="C368" s="3433">
        <v>2430</v>
      </c>
      <c r="D368" s="3433">
        <v>2390</v>
      </c>
      <c r="E368" s="3433">
        <v>2350</v>
      </c>
      <c r="F368" s="3433">
        <v>570</v>
      </c>
      <c r="G368" s="3445">
        <v>1450</v>
      </c>
      <c r="H368" s="3446"/>
    </row>
    <row r="369" spans="1:8">
      <c r="A369" s="3453" t="s">
        <v>2762</v>
      </c>
      <c r="B369" s="3433" t="s">
        <v>1061</v>
      </c>
      <c r="C369" s="3433">
        <v>2320</v>
      </c>
      <c r="D369" s="3433">
        <v>2290</v>
      </c>
      <c r="E369" s="3433">
        <v>2250</v>
      </c>
      <c r="F369" s="3433">
        <v>550</v>
      </c>
      <c r="G369" s="3445">
        <v>1380</v>
      </c>
      <c r="H369" s="3446"/>
    </row>
    <row r="370" spans="1:8">
      <c r="A370" s="3453" t="s">
        <v>2762</v>
      </c>
      <c r="B370" s="3433" t="s">
        <v>1069</v>
      </c>
      <c r="C370" s="3433">
        <v>2190</v>
      </c>
      <c r="D370" s="3433">
        <v>2170</v>
      </c>
      <c r="E370" s="3433">
        <v>2130</v>
      </c>
      <c r="F370" s="3433">
        <v>530</v>
      </c>
      <c r="G370" s="3445">
        <v>1310</v>
      </c>
      <c r="H370" s="3446"/>
    </row>
    <row r="371" spans="1:8">
      <c r="A371" s="3453" t="s">
        <v>2762</v>
      </c>
      <c r="B371" s="3433" t="s">
        <v>1077</v>
      </c>
      <c r="C371" s="3433">
        <v>2460</v>
      </c>
      <c r="D371" s="3433">
        <v>2420</v>
      </c>
      <c r="E371" s="3433">
        <v>2370</v>
      </c>
      <c r="F371" s="3433">
        <v>560</v>
      </c>
      <c r="G371" s="3445">
        <v>1470</v>
      </c>
      <c r="H371" s="3446"/>
    </row>
    <row r="372" spans="1:8">
      <c r="A372" s="3453" t="s">
        <v>2762</v>
      </c>
      <c r="B372" s="3433" t="s">
        <v>3014</v>
      </c>
      <c r="C372" s="3433">
        <v>2250</v>
      </c>
      <c r="D372" s="3433">
        <v>2210</v>
      </c>
      <c r="E372" s="3433">
        <v>2180</v>
      </c>
      <c r="F372" s="3433">
        <v>550</v>
      </c>
      <c r="G372" s="3445">
        <v>1340</v>
      </c>
      <c r="H372" s="3446"/>
    </row>
    <row r="373" spans="1:8">
      <c r="A373" s="3453" t="s">
        <v>2762</v>
      </c>
      <c r="B373" s="3433" t="s">
        <v>1106</v>
      </c>
      <c r="C373" s="3433">
        <v>2210</v>
      </c>
      <c r="D373" s="3433">
        <v>2190</v>
      </c>
      <c r="E373" s="3433">
        <v>2150</v>
      </c>
      <c r="F373" s="3433">
        <v>530</v>
      </c>
      <c r="G373" s="3445">
        <v>1320</v>
      </c>
      <c r="H373" s="3446"/>
    </row>
    <row r="374" spans="1:8">
      <c r="A374" s="3453" t="s">
        <v>2762</v>
      </c>
      <c r="B374" s="3433" t="s">
        <v>1114</v>
      </c>
      <c r="C374" s="3433">
        <v>2320</v>
      </c>
      <c r="D374" s="3433">
        <v>2280</v>
      </c>
      <c r="E374" s="3433">
        <v>2230</v>
      </c>
      <c r="F374" s="3433">
        <v>580</v>
      </c>
      <c r="G374" s="3445">
        <v>1380</v>
      </c>
      <c r="H374" s="3446"/>
    </row>
    <row r="375" spans="1:8">
      <c r="A375" s="3453" t="s">
        <v>2762</v>
      </c>
      <c r="B375" s="3433" t="s">
        <v>3015</v>
      </c>
      <c r="C375" s="3433">
        <v>2090</v>
      </c>
      <c r="D375" s="3433">
        <v>2050</v>
      </c>
      <c r="E375" s="3433">
        <v>2020</v>
      </c>
      <c r="F375" s="3433">
        <v>520</v>
      </c>
      <c r="G375" s="3445">
        <v>1240</v>
      </c>
      <c r="H375" s="3446"/>
    </row>
    <row r="376" spans="1:8">
      <c r="A376" s="3453" t="s">
        <v>2762</v>
      </c>
      <c r="B376" s="3433" t="s">
        <v>1126</v>
      </c>
      <c r="C376" s="3433">
        <v>2010</v>
      </c>
      <c r="D376" s="3433">
        <v>1980</v>
      </c>
      <c r="E376" s="3433">
        <v>1940</v>
      </c>
      <c r="F376" s="3433">
        <v>540</v>
      </c>
      <c r="G376" s="3445">
        <v>1190</v>
      </c>
      <c r="H376" s="3446"/>
    </row>
    <row r="377" spans="1:8" ht="14.25" thickBot="1">
      <c r="A377" s="3455" t="s">
        <v>2762</v>
      </c>
      <c r="B377" s="3449" t="s">
        <v>3016</v>
      </c>
      <c r="C377" s="3449">
        <v>1930</v>
      </c>
      <c r="D377" s="3449">
        <v>1890</v>
      </c>
      <c r="E377" s="3449">
        <v>1860</v>
      </c>
      <c r="F377" s="3449">
        <v>530</v>
      </c>
      <c r="G377" s="3456">
        <v>1150</v>
      </c>
      <c r="H377" s="3446"/>
    </row>
    <row r="378" spans="1:8">
      <c r="A378" s="3450" t="s">
        <v>2763</v>
      </c>
      <c r="B378" s="3451" t="s">
        <v>3017</v>
      </c>
      <c r="C378" s="3451">
        <v>1520</v>
      </c>
      <c r="D378" s="3451">
        <v>1490</v>
      </c>
      <c r="E378" s="3451">
        <v>1460</v>
      </c>
      <c r="F378" s="3451">
        <v>460</v>
      </c>
      <c r="G378" s="3452">
        <v>940</v>
      </c>
      <c r="H378" s="3446"/>
    </row>
    <row r="379" spans="1:8">
      <c r="A379" s="3453" t="s">
        <v>2763</v>
      </c>
      <c r="B379" s="3433" t="s">
        <v>3018</v>
      </c>
      <c r="C379" s="3433">
        <v>1500</v>
      </c>
      <c r="D379" s="3433">
        <v>1470</v>
      </c>
      <c r="E379" s="3433">
        <v>1430</v>
      </c>
      <c r="F379" s="3433">
        <v>460</v>
      </c>
      <c r="G379" s="3445">
        <v>920</v>
      </c>
      <c r="H379" s="3446"/>
    </row>
    <row r="380" spans="1:8">
      <c r="A380" s="3453" t="s">
        <v>2763</v>
      </c>
      <c r="B380" s="3433" t="s">
        <v>3019</v>
      </c>
      <c r="C380" s="3433">
        <v>1620</v>
      </c>
      <c r="D380" s="3433">
        <v>1590</v>
      </c>
      <c r="E380" s="3433">
        <v>1560</v>
      </c>
      <c r="F380" s="3433">
        <v>480</v>
      </c>
      <c r="G380" s="3445">
        <v>1000</v>
      </c>
      <c r="H380" s="3446"/>
    </row>
    <row r="381" spans="1:8">
      <c r="A381" s="3453" t="s">
        <v>2763</v>
      </c>
      <c r="B381" s="3433" t="s">
        <v>3020</v>
      </c>
      <c r="C381" s="3433">
        <v>1460</v>
      </c>
      <c r="D381" s="3433">
        <v>1430</v>
      </c>
      <c r="E381" s="3433">
        <v>1390</v>
      </c>
      <c r="F381" s="3433">
        <v>450</v>
      </c>
      <c r="G381" s="3445">
        <v>900</v>
      </c>
      <c r="H381" s="3446"/>
    </row>
    <row r="382" spans="1:8">
      <c r="A382" s="3453" t="s">
        <v>2763</v>
      </c>
      <c r="B382" s="3433" t="s">
        <v>3021</v>
      </c>
      <c r="C382" s="3433">
        <v>1310</v>
      </c>
      <c r="D382" s="3433">
        <v>1280</v>
      </c>
      <c r="E382" s="3433">
        <v>1250</v>
      </c>
      <c r="F382" s="3433">
        <v>440</v>
      </c>
      <c r="G382" s="3445">
        <v>800</v>
      </c>
      <c r="H382" s="3446"/>
    </row>
    <row r="383" spans="1:8">
      <c r="A383" s="3453" t="s">
        <v>2763</v>
      </c>
      <c r="B383" s="3433" t="s">
        <v>3022</v>
      </c>
      <c r="C383" s="3433">
        <v>1260</v>
      </c>
      <c r="D383" s="3433">
        <v>1230</v>
      </c>
      <c r="E383" s="3433">
        <v>1200</v>
      </c>
      <c r="F383" s="3433">
        <v>420</v>
      </c>
      <c r="G383" s="3445">
        <v>770</v>
      </c>
      <c r="H383" s="3446"/>
    </row>
    <row r="384" spans="1:8" ht="14.25" thickBot="1">
      <c r="A384" s="3454" t="s">
        <v>2763</v>
      </c>
      <c r="B384" s="3448" t="s">
        <v>3023</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0" t="s">
        <v>3186</v>
      </c>
      <c r="B1" s="3940"/>
      <c r="C1" s="3940"/>
      <c r="D1" s="3940"/>
      <c r="E1" s="3940"/>
      <c r="F1" s="3941"/>
    </row>
    <row r="2" spans="1:6">
      <c r="A2" s="3500" t="s">
        <v>3187</v>
      </c>
      <c r="B2" s="3501"/>
      <c r="C2" s="3501"/>
      <c r="D2" s="3501"/>
      <c r="E2" s="3501"/>
      <c r="F2" s="3501"/>
    </row>
    <row r="3" spans="1:6">
      <c r="A3" s="3500" t="s">
        <v>3188</v>
      </c>
      <c r="B3" s="3501"/>
      <c r="C3" s="3501"/>
      <c r="D3" s="3501"/>
      <c r="E3" s="3501"/>
      <c r="F3" s="3502" t="s">
        <v>3189</v>
      </c>
    </row>
    <row r="4" spans="1:6">
      <c r="A4" s="3503" t="s">
        <v>3184</v>
      </c>
      <c r="B4" s="3503" t="s">
        <v>2738</v>
      </c>
      <c r="C4" s="3503" t="s">
        <v>1212</v>
      </c>
      <c r="D4" s="3503" t="s">
        <v>3185</v>
      </c>
      <c r="E4" s="3503" t="s">
        <v>905</v>
      </c>
      <c r="F4" s="3503" t="s">
        <v>3190</v>
      </c>
    </row>
    <row r="5" spans="1:6">
      <c r="A5" s="3504" t="s">
        <v>2761</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2762</v>
      </c>
      <c r="B16" s="3506">
        <v>2230</v>
      </c>
      <c r="C16" s="3506">
        <v>2200</v>
      </c>
      <c r="D16" s="3506">
        <v>2180</v>
      </c>
      <c r="E16" s="3506">
        <v>570</v>
      </c>
      <c r="F16" s="3506">
        <v>1330</v>
      </c>
    </row>
    <row r="17" spans="1:6">
      <c r="A17" s="3504" t="s">
        <v>2763</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2" t="s">
        <v>3024</v>
      </c>
      <c r="B1" s="3942"/>
    </row>
    <row r="2" spans="1:7" ht="14.25" thickBot="1">
      <c r="A2" s="3465"/>
      <c r="B2" s="3465"/>
    </row>
    <row r="3" spans="1:7" ht="14.25" thickBot="1">
      <c r="A3" s="3465"/>
      <c r="B3" s="3465"/>
      <c r="C3" s="3466" t="s">
        <v>3025</v>
      </c>
      <c r="D3" s="3466" t="s">
        <v>3026</v>
      </c>
      <c r="E3" s="3466" t="s">
        <v>3027</v>
      </c>
      <c r="F3" s="3466" t="s">
        <v>3028</v>
      </c>
      <c r="G3" s="3466" t="s">
        <v>3029</v>
      </c>
    </row>
    <row r="4" spans="1:7" ht="14.25" thickBot="1">
      <c r="A4" s="3467" t="s">
        <v>3030</v>
      </c>
      <c r="B4" s="3468" t="s">
        <v>3031</v>
      </c>
      <c r="C4" s="3466"/>
      <c r="D4" s="3466"/>
      <c r="E4" s="3466"/>
      <c r="F4" s="3466"/>
      <c r="G4" s="3466"/>
    </row>
    <row r="5" spans="1:7">
      <c r="A5" s="3469" t="s">
        <v>3032</v>
      </c>
      <c r="B5" s="3470" t="s">
        <v>3033</v>
      </c>
      <c r="C5" s="3471">
        <v>9.8000000000000004E-2</v>
      </c>
      <c r="D5" s="3471">
        <v>8.6999999999999994E-2</v>
      </c>
      <c r="E5" s="3471">
        <v>8.6999999999999994E-2</v>
      </c>
      <c r="F5" s="3471">
        <v>9.8000000000000004E-2</v>
      </c>
      <c r="G5" s="3472">
        <v>9.5000000000000001E-2</v>
      </c>
    </row>
    <row r="6" spans="1:7">
      <c r="A6" s="3473" t="s">
        <v>990</v>
      </c>
      <c r="B6" s="3474" t="s">
        <v>3034</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3035</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3036</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2822</v>
      </c>
      <c r="C29" s="3483"/>
      <c r="D29" s="3479">
        <v>5.1999999999999998E-2</v>
      </c>
      <c r="E29" s="3479">
        <v>7.0000000000000007E-2</v>
      </c>
      <c r="F29" s="3483"/>
      <c r="G29" s="3481">
        <v>7.0999999999999994E-2</v>
      </c>
    </row>
    <row r="30" spans="1:7">
      <c r="A30" s="3484" t="s">
        <v>1145</v>
      </c>
      <c r="B30" s="3470" t="s">
        <v>3037</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3038</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2824</v>
      </c>
      <c r="C50" s="3475">
        <v>9.8000000000000004E-2</v>
      </c>
      <c r="D50" s="3475">
        <v>7.2999999999999995E-2</v>
      </c>
      <c r="E50" s="3475">
        <v>7.0999999999999994E-2</v>
      </c>
      <c r="F50" s="3486"/>
      <c r="G50" s="3476">
        <v>7.2999999999999995E-2</v>
      </c>
    </row>
    <row r="51" spans="1:7">
      <c r="A51" s="3485" t="s">
        <v>1145</v>
      </c>
      <c r="B51" s="3474" t="s">
        <v>2825</v>
      </c>
      <c r="C51" s="3475">
        <v>9.9000000000000005E-2</v>
      </c>
      <c r="D51" s="3475">
        <v>8.5000000000000006E-2</v>
      </c>
      <c r="E51" s="3475">
        <v>6.3E-2</v>
      </c>
      <c r="F51" s="3486"/>
      <c r="G51" s="3476">
        <v>9.6000000000000002E-2</v>
      </c>
    </row>
    <row r="52" spans="1:7">
      <c r="A52" s="3485" t="s">
        <v>1145</v>
      </c>
      <c r="B52" s="3474" t="s">
        <v>2826</v>
      </c>
      <c r="C52" s="3475">
        <v>7.3999999999999996E-2</v>
      </c>
      <c r="D52" s="3475">
        <v>9.6000000000000002E-2</v>
      </c>
      <c r="E52" s="3475">
        <v>0.05</v>
      </c>
      <c r="F52" s="3486"/>
      <c r="G52" s="3476">
        <v>9.8000000000000004E-2</v>
      </c>
    </row>
    <row r="53" spans="1:7">
      <c r="A53" s="3485" t="s">
        <v>1145</v>
      </c>
      <c r="B53" s="3474" t="s">
        <v>2827</v>
      </c>
      <c r="C53" s="3475">
        <v>8.5999999999999993E-2</v>
      </c>
      <c r="D53" s="3486"/>
      <c r="E53" s="3475">
        <v>9.1999999999999998E-2</v>
      </c>
      <c r="F53" s="3486"/>
      <c r="G53" s="3487"/>
    </row>
    <row r="54" spans="1:7" ht="14.25" thickBot="1">
      <c r="A54" s="3488" t="s">
        <v>1145</v>
      </c>
      <c r="B54" s="3478" t="s">
        <v>2828</v>
      </c>
      <c r="C54" s="3479">
        <v>9.6000000000000002E-2</v>
      </c>
      <c r="D54" s="3480"/>
      <c r="E54" s="3489"/>
      <c r="F54" s="3480"/>
      <c r="G54" s="3490"/>
    </row>
    <row r="55" spans="1:7">
      <c r="A55" s="3484" t="s">
        <v>853</v>
      </c>
      <c r="B55" s="3470" t="s">
        <v>3039</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2830</v>
      </c>
      <c r="C78" s="3475">
        <v>0.1</v>
      </c>
      <c r="D78" s="3475">
        <v>8.5000000000000006E-2</v>
      </c>
      <c r="E78" s="3475">
        <v>9.6000000000000002E-2</v>
      </c>
      <c r="F78" s="3486"/>
      <c r="G78" s="3476">
        <v>9.6000000000000002E-2</v>
      </c>
    </row>
    <row r="79" spans="1:7">
      <c r="A79" s="3485" t="s">
        <v>853</v>
      </c>
      <c r="B79" s="3474" t="s">
        <v>2831</v>
      </c>
      <c r="C79" s="3475">
        <v>0.05</v>
      </c>
      <c r="D79" s="3475">
        <v>9.6000000000000002E-2</v>
      </c>
      <c r="E79" s="3475">
        <v>9.5000000000000001E-2</v>
      </c>
      <c r="F79" s="3486"/>
      <c r="G79" s="3476">
        <v>9.8000000000000004E-2</v>
      </c>
    </row>
    <row r="80" spans="1:7">
      <c r="A80" s="3485" t="s">
        <v>853</v>
      </c>
      <c r="B80" s="3474" t="s">
        <v>2832</v>
      </c>
      <c r="C80" s="3475">
        <v>8.5999999999999993E-2</v>
      </c>
      <c r="D80" s="3491"/>
      <c r="E80" s="3475">
        <v>0.1</v>
      </c>
      <c r="F80" s="3486"/>
      <c r="G80" s="3487"/>
    </row>
    <row r="81" spans="1:7">
      <c r="A81" s="3485" t="s">
        <v>853</v>
      </c>
      <c r="B81" s="3474" t="s">
        <v>2833</v>
      </c>
      <c r="C81" s="3475">
        <v>9.6000000000000002E-2</v>
      </c>
      <c r="D81" s="3486"/>
      <c r="E81" s="3475">
        <v>9.8000000000000004E-2</v>
      </c>
      <c r="F81" s="3486"/>
      <c r="G81" s="3487"/>
    </row>
    <row r="82" spans="1:7">
      <c r="A82" s="3485" t="s">
        <v>853</v>
      </c>
      <c r="B82" s="3474" t="s">
        <v>2834</v>
      </c>
      <c r="C82" s="3491"/>
      <c r="D82" s="3486"/>
      <c r="E82" s="3475">
        <v>7.6999999999999999E-2</v>
      </c>
      <c r="F82" s="3486"/>
      <c r="G82" s="3487"/>
    </row>
    <row r="83" spans="1:7">
      <c r="A83" s="3485" t="s">
        <v>853</v>
      </c>
      <c r="B83" s="3474" t="s">
        <v>3040</v>
      </c>
      <c r="C83" s="3486"/>
      <c r="D83" s="3486"/>
      <c r="E83" s="3486"/>
      <c r="F83" s="3475">
        <v>0.1</v>
      </c>
      <c r="G83" s="3492"/>
    </row>
    <row r="84" spans="1:7">
      <c r="A84" s="3485" t="s">
        <v>853</v>
      </c>
      <c r="B84" s="3474" t="s">
        <v>3041</v>
      </c>
      <c r="C84" s="3486"/>
      <c r="D84" s="3486"/>
      <c r="E84" s="3486"/>
      <c r="F84" s="3475">
        <v>0.1</v>
      </c>
      <c r="G84" s="3492"/>
    </row>
    <row r="85" spans="1:7">
      <c r="A85" s="3485" t="s">
        <v>853</v>
      </c>
      <c r="B85" s="3474" t="s">
        <v>3042</v>
      </c>
      <c r="C85" s="3486"/>
      <c r="D85" s="3486"/>
      <c r="E85" s="3486"/>
      <c r="F85" s="3475">
        <v>0.1</v>
      </c>
      <c r="G85" s="3492"/>
    </row>
    <row r="86" spans="1:7" ht="14.25" thickBot="1">
      <c r="A86" s="3488" t="s">
        <v>853</v>
      </c>
      <c r="B86" s="3478" t="s">
        <v>3043</v>
      </c>
      <c r="C86" s="3479">
        <v>9.8000000000000004E-2</v>
      </c>
      <c r="D86" s="3479">
        <v>9.8000000000000004E-2</v>
      </c>
      <c r="E86" s="3479">
        <v>9.6000000000000002E-2</v>
      </c>
      <c r="F86" s="3489"/>
      <c r="G86" s="3481">
        <v>0.1</v>
      </c>
    </row>
    <row r="87" spans="1:7">
      <c r="A87" s="3484" t="s">
        <v>1152</v>
      </c>
      <c r="B87" s="3470" t="s">
        <v>3044</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2840</v>
      </c>
      <c r="C113" s="3475">
        <v>0.1</v>
      </c>
      <c r="D113" s="3475">
        <v>0.1</v>
      </c>
      <c r="E113" s="3486"/>
      <c r="F113" s="3486"/>
      <c r="G113" s="3476">
        <v>0.1</v>
      </c>
    </row>
    <row r="114" spans="1:7">
      <c r="A114" s="3485" t="s">
        <v>1152</v>
      </c>
      <c r="B114" s="3474" t="s">
        <v>2841</v>
      </c>
      <c r="C114" s="3475">
        <v>9.7000000000000003E-2</v>
      </c>
      <c r="D114" s="3475">
        <v>9.7000000000000003E-2</v>
      </c>
      <c r="E114" s="3486"/>
      <c r="F114" s="3486"/>
      <c r="G114" s="3476">
        <v>9.9000000000000005E-2</v>
      </c>
    </row>
    <row r="115" spans="1:7">
      <c r="A115" s="3485" t="s">
        <v>1152</v>
      </c>
      <c r="B115" s="3474" t="s">
        <v>2842</v>
      </c>
      <c r="C115" s="3475">
        <v>0.1</v>
      </c>
      <c r="D115" s="3475">
        <v>0.1</v>
      </c>
      <c r="E115" s="3486"/>
      <c r="F115" s="3486"/>
      <c r="G115" s="3476">
        <v>0.1</v>
      </c>
    </row>
    <row r="116" spans="1:7">
      <c r="A116" s="3485" t="s">
        <v>1152</v>
      </c>
      <c r="B116" s="3474" t="s">
        <v>2843</v>
      </c>
      <c r="C116" s="3475">
        <v>0.1</v>
      </c>
      <c r="D116" s="3475">
        <v>0.1</v>
      </c>
      <c r="E116" s="3486"/>
      <c r="F116" s="3486"/>
      <c r="G116" s="3476">
        <v>0.1</v>
      </c>
    </row>
    <row r="117" spans="1:7">
      <c r="A117" s="3485" t="s">
        <v>1152</v>
      </c>
      <c r="B117" s="3474" t="s">
        <v>2844</v>
      </c>
      <c r="C117" s="3475">
        <v>9.7000000000000003E-2</v>
      </c>
      <c r="D117" s="3475">
        <v>9.7000000000000003E-2</v>
      </c>
      <c r="E117" s="3486"/>
      <c r="F117" s="3486"/>
      <c r="G117" s="3476">
        <v>9.7000000000000003E-2</v>
      </c>
    </row>
    <row r="118" spans="1:7">
      <c r="A118" s="3485" t="s">
        <v>1152</v>
      </c>
      <c r="B118" s="3474" t="s">
        <v>2845</v>
      </c>
      <c r="C118" s="3475">
        <v>0.1</v>
      </c>
      <c r="D118" s="3475">
        <v>0.1</v>
      </c>
      <c r="E118" s="3486"/>
      <c r="F118" s="3486"/>
      <c r="G118" s="3476">
        <v>0.1</v>
      </c>
    </row>
    <row r="119" spans="1:7">
      <c r="A119" s="3485" t="s">
        <v>1152</v>
      </c>
      <c r="B119" s="3474" t="s">
        <v>2846</v>
      </c>
      <c r="C119" s="3475">
        <v>5.0999999999999997E-2</v>
      </c>
      <c r="D119" s="3475">
        <v>5.1999999999999998E-2</v>
      </c>
      <c r="E119" s="3486"/>
      <c r="F119" s="3491"/>
      <c r="G119" s="3476">
        <v>0.06</v>
      </c>
    </row>
    <row r="120" spans="1:7">
      <c r="A120" s="3485" t="s">
        <v>1152</v>
      </c>
      <c r="B120" s="3474" t="s">
        <v>3045</v>
      </c>
      <c r="C120" s="3486"/>
      <c r="D120" s="3486"/>
      <c r="E120" s="3486"/>
      <c r="F120" s="3475">
        <v>0.1</v>
      </c>
      <c r="G120" s="3492"/>
    </row>
    <row r="121" spans="1:7">
      <c r="A121" s="3485" t="s">
        <v>1152</v>
      </c>
      <c r="B121" s="3474" t="s">
        <v>3046</v>
      </c>
      <c r="C121" s="3486"/>
      <c r="D121" s="3486"/>
      <c r="E121" s="3486"/>
      <c r="F121" s="3475">
        <v>0.1</v>
      </c>
      <c r="G121" s="3492"/>
    </row>
    <row r="122" spans="1:7">
      <c r="A122" s="3485" t="s">
        <v>1152</v>
      </c>
      <c r="B122" s="3474" t="s">
        <v>3047</v>
      </c>
      <c r="C122" s="3475">
        <v>0.1</v>
      </c>
      <c r="D122" s="3475">
        <v>0.1</v>
      </c>
      <c r="E122" s="3475">
        <v>9.8000000000000004E-2</v>
      </c>
      <c r="F122" s="3475">
        <v>0.1</v>
      </c>
      <c r="G122" s="3476">
        <v>0.1</v>
      </c>
    </row>
    <row r="123" spans="1:7">
      <c r="A123" s="3485" t="s">
        <v>1152</v>
      </c>
      <c r="B123" s="3474" t="s">
        <v>2850</v>
      </c>
      <c r="C123" s="3475">
        <v>0.1</v>
      </c>
      <c r="D123" s="3475">
        <v>0.1</v>
      </c>
      <c r="E123" s="3475">
        <v>9.8000000000000004E-2</v>
      </c>
      <c r="F123" s="3475">
        <v>0.1</v>
      </c>
      <c r="G123" s="3476">
        <v>0.1</v>
      </c>
    </row>
    <row r="124" spans="1:7">
      <c r="A124" s="3485" t="s">
        <v>1152</v>
      </c>
      <c r="B124" s="3474" t="s">
        <v>2851</v>
      </c>
      <c r="C124" s="3475">
        <v>0.1</v>
      </c>
      <c r="D124" s="3475">
        <v>0.1</v>
      </c>
      <c r="E124" s="3475">
        <v>9.8000000000000004E-2</v>
      </c>
      <c r="F124" s="3491"/>
      <c r="G124" s="3476">
        <v>0.1</v>
      </c>
    </row>
    <row r="125" spans="1:7">
      <c r="A125" s="3485" t="s">
        <v>1152</v>
      </c>
      <c r="B125" s="3474" t="s">
        <v>2852</v>
      </c>
      <c r="C125" s="3475">
        <v>9.8000000000000004E-2</v>
      </c>
      <c r="D125" s="3475">
        <v>9.8000000000000004E-2</v>
      </c>
      <c r="E125" s="3475">
        <v>9.6000000000000002E-2</v>
      </c>
      <c r="F125" s="3491"/>
      <c r="G125" s="3476">
        <v>0.1</v>
      </c>
    </row>
    <row r="126" spans="1:7" ht="14.25" thickBot="1">
      <c r="A126" s="3488" t="s">
        <v>1152</v>
      </c>
      <c r="B126" s="3478" t="s">
        <v>3048</v>
      </c>
      <c r="C126" s="3479">
        <v>0.1</v>
      </c>
      <c r="D126" s="3479">
        <v>0.1</v>
      </c>
      <c r="E126" s="3479">
        <v>9.8000000000000004E-2</v>
      </c>
      <c r="F126" s="3479">
        <v>0.1</v>
      </c>
      <c r="G126" s="3481">
        <v>0.1</v>
      </c>
    </row>
    <row r="127" spans="1:7">
      <c r="A127" s="3484" t="s">
        <v>1153</v>
      </c>
      <c r="B127" s="3470" t="s">
        <v>3049</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3050</v>
      </c>
      <c r="C148" s="3475">
        <v>0.13</v>
      </c>
      <c r="D148" s="3475">
        <v>0.13</v>
      </c>
      <c r="E148" s="3475">
        <v>0.13</v>
      </c>
      <c r="F148" s="3486"/>
      <c r="G148" s="3476">
        <v>0.13</v>
      </c>
    </row>
    <row r="149" spans="1:7">
      <c r="A149" s="3485" t="s">
        <v>1153</v>
      </c>
      <c r="B149" s="3474" t="s">
        <v>3051</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2857</v>
      </c>
      <c r="C153" s="3475">
        <v>0.13</v>
      </c>
      <c r="D153" s="3475">
        <v>0.13</v>
      </c>
      <c r="E153" s="3475">
        <v>0.13</v>
      </c>
      <c r="F153" s="3475">
        <v>0.13</v>
      </c>
      <c r="G153" s="3476">
        <v>0.13</v>
      </c>
    </row>
    <row r="154" spans="1:7">
      <c r="A154" s="3485" t="s">
        <v>1153</v>
      </c>
      <c r="B154" s="3474" t="s">
        <v>3052</v>
      </c>
      <c r="C154" s="3475">
        <v>0.121</v>
      </c>
      <c r="D154" s="3475">
        <v>0.121</v>
      </c>
      <c r="E154" s="3475">
        <v>0.105</v>
      </c>
      <c r="F154" s="3475">
        <v>0.121</v>
      </c>
      <c r="G154" s="3476">
        <v>0.123</v>
      </c>
    </row>
    <row r="155" spans="1:7">
      <c r="A155" s="3485" t="s">
        <v>1153</v>
      </c>
      <c r="B155" s="3474" t="s">
        <v>2859</v>
      </c>
      <c r="C155" s="3475">
        <v>0.1</v>
      </c>
      <c r="D155" s="3475">
        <v>0.1</v>
      </c>
      <c r="E155" s="3475">
        <v>0.1</v>
      </c>
      <c r="F155" s="3475">
        <v>0.1</v>
      </c>
      <c r="G155" s="3476">
        <v>0.1</v>
      </c>
    </row>
    <row r="156" spans="1:7">
      <c r="A156" s="3485" t="s">
        <v>1153</v>
      </c>
      <c r="B156" s="3474" t="s">
        <v>3053</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3054</v>
      </c>
      <c r="C160" s="3475">
        <v>0.13</v>
      </c>
      <c r="D160" s="3475">
        <v>0.13</v>
      </c>
      <c r="E160" s="3475">
        <v>0.124</v>
      </c>
      <c r="F160" s="3475">
        <v>0.126</v>
      </c>
      <c r="G160" s="3476">
        <v>0.13</v>
      </c>
    </row>
    <row r="161" spans="1:7">
      <c r="A161" s="3485" t="s">
        <v>1153</v>
      </c>
      <c r="B161" s="3474" t="s">
        <v>2862</v>
      </c>
      <c r="C161" s="3475">
        <v>0.13</v>
      </c>
      <c r="D161" s="3475">
        <v>0.13</v>
      </c>
      <c r="E161" s="3475">
        <v>0.124</v>
      </c>
      <c r="F161" s="3475">
        <v>0.127</v>
      </c>
      <c r="G161" s="3476">
        <v>0.13</v>
      </c>
    </row>
    <row r="162" spans="1:7">
      <c r="A162" s="3485" t="s">
        <v>1153</v>
      </c>
      <c r="B162" s="3474" t="s">
        <v>2863</v>
      </c>
      <c r="C162" s="3475">
        <v>0.1</v>
      </c>
      <c r="D162" s="3475">
        <v>0.1</v>
      </c>
      <c r="E162" s="3475">
        <v>0.1</v>
      </c>
      <c r="F162" s="3475">
        <v>0.121</v>
      </c>
      <c r="G162" s="3476">
        <v>0.105</v>
      </c>
    </row>
    <row r="163" spans="1:7">
      <c r="A163" s="3485" t="s">
        <v>1153</v>
      </c>
      <c r="B163" s="3474" t="s">
        <v>2864</v>
      </c>
      <c r="C163" s="3475">
        <v>0.1</v>
      </c>
      <c r="D163" s="3475">
        <v>0.1</v>
      </c>
      <c r="E163" s="3475">
        <v>0.1</v>
      </c>
      <c r="F163" s="3475">
        <v>0.1</v>
      </c>
      <c r="G163" s="3476">
        <v>0.1</v>
      </c>
    </row>
    <row r="164" spans="1:7">
      <c r="A164" s="3485" t="s">
        <v>1153</v>
      </c>
      <c r="B164" s="3474" t="s">
        <v>2865</v>
      </c>
      <c r="C164" s="3491"/>
      <c r="D164" s="3491"/>
      <c r="E164" s="3491"/>
      <c r="F164" s="3475">
        <v>0.1</v>
      </c>
      <c r="G164" s="3487"/>
    </row>
    <row r="165" spans="1:7">
      <c r="A165" s="3485" t="s">
        <v>1153</v>
      </c>
      <c r="B165" s="3474" t="s">
        <v>3055</v>
      </c>
      <c r="C165" s="3475">
        <v>0.126</v>
      </c>
      <c r="D165" s="3475">
        <v>0.126</v>
      </c>
      <c r="E165" s="3475">
        <v>0.11899999999999999</v>
      </c>
      <c r="F165" s="3475">
        <v>0.13</v>
      </c>
      <c r="G165" s="3476">
        <v>0.128</v>
      </c>
    </row>
    <row r="166" spans="1:7">
      <c r="A166" s="3485" t="s">
        <v>1153</v>
      </c>
      <c r="B166" s="3474" t="s">
        <v>2867</v>
      </c>
      <c r="C166" s="3475">
        <v>0.129</v>
      </c>
      <c r="D166" s="3475">
        <v>0.129</v>
      </c>
      <c r="E166" s="3475">
        <v>0.123</v>
      </c>
      <c r="F166" s="3475">
        <v>0.128</v>
      </c>
      <c r="G166" s="3476">
        <v>0.13</v>
      </c>
    </row>
    <row r="167" spans="1:7">
      <c r="A167" s="3485" t="s">
        <v>1153</v>
      </c>
      <c r="B167" s="3474" t="s">
        <v>2868</v>
      </c>
      <c r="C167" s="3475">
        <v>0.125</v>
      </c>
      <c r="D167" s="3475">
        <v>0.125</v>
      </c>
      <c r="E167" s="3475">
        <v>0.11700000000000001</v>
      </c>
      <c r="F167" s="3475">
        <v>0.13</v>
      </c>
      <c r="G167" s="3476">
        <v>0.126</v>
      </c>
    </row>
    <row r="168" spans="1:7">
      <c r="A168" s="3485" t="s">
        <v>1153</v>
      </c>
      <c r="B168" s="3474" t="s">
        <v>2869</v>
      </c>
      <c r="C168" s="3475">
        <v>0.128</v>
      </c>
      <c r="D168" s="3475">
        <v>0.128</v>
      </c>
      <c r="E168" s="3475">
        <v>0.123</v>
      </c>
      <c r="F168" s="3486"/>
      <c r="G168" s="3476">
        <v>0.13</v>
      </c>
    </row>
    <row r="169" spans="1:7">
      <c r="A169" s="3485" t="s">
        <v>1153</v>
      </c>
      <c r="B169" s="3474" t="s">
        <v>3056</v>
      </c>
      <c r="C169" s="3491"/>
      <c r="D169" s="3491"/>
      <c r="E169" s="3491"/>
      <c r="F169" s="3475">
        <v>0.05</v>
      </c>
      <c r="G169" s="3487"/>
    </row>
    <row r="170" spans="1:7">
      <c r="A170" s="3485" t="s">
        <v>1153</v>
      </c>
      <c r="B170" s="3474" t="s">
        <v>3057</v>
      </c>
      <c r="C170" s="3491"/>
      <c r="D170" s="3491"/>
      <c r="E170" s="3491"/>
      <c r="F170" s="3475">
        <v>0.05</v>
      </c>
      <c r="G170" s="3487"/>
    </row>
    <row r="171" spans="1:7">
      <c r="A171" s="3485" t="s">
        <v>1153</v>
      </c>
      <c r="B171" s="3474" t="s">
        <v>3058</v>
      </c>
      <c r="C171" s="3491"/>
      <c r="D171" s="3491"/>
      <c r="E171" s="3491"/>
      <c r="F171" s="3475">
        <v>0.05</v>
      </c>
      <c r="G171" s="3492"/>
    </row>
    <row r="172" spans="1:7">
      <c r="A172" s="3485" t="s">
        <v>1153</v>
      </c>
      <c r="B172" s="3474" t="s">
        <v>3059</v>
      </c>
      <c r="C172" s="3491"/>
      <c r="D172" s="3491"/>
      <c r="E172" s="3491"/>
      <c r="F172" s="3475">
        <v>0.05</v>
      </c>
      <c r="G172" s="3492"/>
    </row>
    <row r="173" spans="1:7">
      <c r="A173" s="3485" t="s">
        <v>1153</v>
      </c>
      <c r="B173" s="3474" t="s">
        <v>3060</v>
      </c>
      <c r="C173" s="3491"/>
      <c r="D173" s="3491"/>
      <c r="E173" s="3491"/>
      <c r="F173" s="3475">
        <v>0.05</v>
      </c>
      <c r="G173" s="3487"/>
    </row>
    <row r="174" spans="1:7">
      <c r="A174" s="3485" t="s">
        <v>1153</v>
      </c>
      <c r="B174" s="3474" t="s">
        <v>3061</v>
      </c>
      <c r="C174" s="3491"/>
      <c r="D174" s="3491"/>
      <c r="E174" s="3491"/>
      <c r="F174" s="3475">
        <v>0.05</v>
      </c>
      <c r="G174" s="3487"/>
    </row>
    <row r="175" spans="1:7">
      <c r="A175" s="3485" t="s">
        <v>1153</v>
      </c>
      <c r="B175" s="3474" t="s">
        <v>3062</v>
      </c>
      <c r="C175" s="3491"/>
      <c r="D175" s="3491"/>
      <c r="E175" s="3491"/>
      <c r="F175" s="3475">
        <v>0.05</v>
      </c>
      <c r="G175" s="3487"/>
    </row>
    <row r="176" spans="1:7">
      <c r="A176" s="3485" t="s">
        <v>1153</v>
      </c>
      <c r="B176" s="3474" t="s">
        <v>3063</v>
      </c>
      <c r="C176" s="3491"/>
      <c r="D176" s="3491"/>
      <c r="E176" s="3491"/>
      <c r="F176" s="3475">
        <v>0.05</v>
      </c>
      <c r="G176" s="3487"/>
    </row>
    <row r="177" spans="1:7">
      <c r="A177" s="3485" t="s">
        <v>1153</v>
      </c>
      <c r="B177" s="3474" t="s">
        <v>3064</v>
      </c>
      <c r="C177" s="3486"/>
      <c r="D177" s="3486"/>
      <c r="E177" s="3486"/>
      <c r="F177" s="3475">
        <v>0.05</v>
      </c>
      <c r="G177" s="3492"/>
    </row>
    <row r="178" spans="1:7">
      <c r="A178" s="3485" t="s">
        <v>1153</v>
      </c>
      <c r="B178" s="3474" t="s">
        <v>3065</v>
      </c>
      <c r="C178" s="3486"/>
      <c r="D178" s="3486"/>
      <c r="E178" s="3486"/>
      <c r="F178" s="3475">
        <v>0.05</v>
      </c>
      <c r="G178" s="3492"/>
    </row>
    <row r="179" spans="1:7">
      <c r="A179" s="3485" t="s">
        <v>1153</v>
      </c>
      <c r="B179" s="3474" t="s">
        <v>3066</v>
      </c>
      <c r="C179" s="3486"/>
      <c r="D179" s="3486"/>
      <c r="E179" s="3486"/>
      <c r="F179" s="3475">
        <v>0.05</v>
      </c>
      <c r="G179" s="3492"/>
    </row>
    <row r="180" spans="1:7">
      <c r="A180" s="3485" t="s">
        <v>1153</v>
      </c>
      <c r="B180" s="3474" t="s">
        <v>3067</v>
      </c>
      <c r="C180" s="3486"/>
      <c r="D180" s="3486"/>
      <c r="E180" s="3486"/>
      <c r="F180" s="3475">
        <v>0.05</v>
      </c>
      <c r="G180" s="3492"/>
    </row>
    <row r="181" spans="1:7">
      <c r="A181" s="3485" t="s">
        <v>1153</v>
      </c>
      <c r="B181" s="3474" t="s">
        <v>3068</v>
      </c>
      <c r="C181" s="3486"/>
      <c r="D181" s="3486"/>
      <c r="E181" s="3486"/>
      <c r="F181" s="3475">
        <v>0.05</v>
      </c>
      <c r="G181" s="3492"/>
    </row>
    <row r="182" spans="1:7">
      <c r="A182" s="3485" t="s">
        <v>1153</v>
      </c>
      <c r="B182" s="3474" t="s">
        <v>3069</v>
      </c>
      <c r="C182" s="3486"/>
      <c r="D182" s="3486"/>
      <c r="E182" s="3486"/>
      <c r="F182" s="3475">
        <v>0.05</v>
      </c>
      <c r="G182" s="3492"/>
    </row>
    <row r="183" spans="1:7">
      <c r="A183" s="3485" t="s">
        <v>1153</v>
      </c>
      <c r="B183" s="3474" t="s">
        <v>3070</v>
      </c>
      <c r="C183" s="3486"/>
      <c r="D183" s="3486"/>
      <c r="E183" s="3486"/>
      <c r="F183" s="3475">
        <v>0.05</v>
      </c>
      <c r="G183" s="3492"/>
    </row>
    <row r="184" spans="1:7">
      <c r="A184" s="3485" t="s">
        <v>1153</v>
      </c>
      <c r="B184" s="3474" t="s">
        <v>3071</v>
      </c>
      <c r="C184" s="3486"/>
      <c r="D184" s="3486"/>
      <c r="E184" s="3486"/>
      <c r="F184" s="3475">
        <v>0.05</v>
      </c>
      <c r="G184" s="3492"/>
    </row>
    <row r="185" spans="1:7">
      <c r="A185" s="3485" t="s">
        <v>1153</v>
      </c>
      <c r="B185" s="3474" t="s">
        <v>3072</v>
      </c>
      <c r="C185" s="3486"/>
      <c r="D185" s="3486"/>
      <c r="E185" s="3486"/>
      <c r="F185" s="3475">
        <v>0.05</v>
      </c>
      <c r="G185" s="3492"/>
    </row>
    <row r="186" spans="1:7">
      <c r="A186" s="3485" t="s">
        <v>1153</v>
      </c>
      <c r="B186" s="3474" t="s">
        <v>3073</v>
      </c>
      <c r="C186" s="3486"/>
      <c r="D186" s="3486"/>
      <c r="E186" s="3486"/>
      <c r="F186" s="3475">
        <v>0.05</v>
      </c>
      <c r="G186" s="3492"/>
    </row>
    <row r="187" spans="1:7">
      <c r="A187" s="3485" t="s">
        <v>1153</v>
      </c>
      <c r="B187" s="3474" t="s">
        <v>3074</v>
      </c>
      <c r="C187" s="3486"/>
      <c r="D187" s="3486"/>
      <c r="E187" s="3486"/>
      <c r="F187" s="3475">
        <v>0.05</v>
      </c>
      <c r="G187" s="3492"/>
    </row>
    <row r="188" spans="1:7">
      <c r="A188" s="3485" t="s">
        <v>1153</v>
      </c>
      <c r="B188" s="3474" t="s">
        <v>3075</v>
      </c>
      <c r="C188" s="3486"/>
      <c r="D188" s="3486"/>
      <c r="E188" s="3486"/>
      <c r="F188" s="3475">
        <v>0.05</v>
      </c>
      <c r="G188" s="3492"/>
    </row>
    <row r="189" spans="1:7" ht="14.25" thickBot="1">
      <c r="A189" s="3488" t="s">
        <v>1153</v>
      </c>
      <c r="B189" s="3478" t="s">
        <v>3076</v>
      </c>
      <c r="C189" s="3480"/>
      <c r="D189" s="3480"/>
      <c r="E189" s="3480"/>
      <c r="F189" s="3479">
        <v>0.05</v>
      </c>
      <c r="G189" s="3493"/>
    </row>
    <row r="190" spans="1:7">
      <c r="A190" s="3484" t="s">
        <v>1154</v>
      </c>
      <c r="B190" s="3470" t="s">
        <v>3077</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3078</v>
      </c>
      <c r="C199" s="3475">
        <v>0.13</v>
      </c>
      <c r="D199" s="3475">
        <v>0.13</v>
      </c>
      <c r="E199" s="3475">
        <v>0.13</v>
      </c>
      <c r="F199" s="3475">
        <v>0.13</v>
      </c>
      <c r="G199" s="3476">
        <v>0.13</v>
      </c>
    </row>
    <row r="200" spans="1:7">
      <c r="A200" s="3485" t="s">
        <v>1154</v>
      </c>
      <c r="B200" s="3474" t="s">
        <v>2893</v>
      </c>
      <c r="C200" s="3491"/>
      <c r="D200" s="3491"/>
      <c r="E200" s="3491"/>
      <c r="F200" s="3475">
        <v>0.13</v>
      </c>
      <c r="G200" s="3487"/>
    </row>
    <row r="201" spans="1:7">
      <c r="A201" s="3485" t="s">
        <v>1154</v>
      </c>
      <c r="B201" s="3474" t="s">
        <v>3079</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3080</v>
      </c>
      <c r="C203" s="3475">
        <v>0.129</v>
      </c>
      <c r="D203" s="3475">
        <v>0.129</v>
      </c>
      <c r="E203" s="3475">
        <v>0.13</v>
      </c>
      <c r="F203" s="3475">
        <v>0.13</v>
      </c>
      <c r="G203" s="3476">
        <v>0.13</v>
      </c>
    </row>
    <row r="204" spans="1:7">
      <c r="A204" s="3485" t="s">
        <v>1154</v>
      </c>
      <c r="B204" s="3474" t="s">
        <v>2896</v>
      </c>
      <c r="C204" s="3475">
        <v>0.129</v>
      </c>
      <c r="D204" s="3475">
        <v>0.129</v>
      </c>
      <c r="E204" s="3475">
        <v>0.123</v>
      </c>
      <c r="F204" s="3475">
        <v>0.13</v>
      </c>
      <c r="G204" s="3476">
        <v>0.13</v>
      </c>
    </row>
    <row r="205" spans="1:7">
      <c r="A205" s="3485" t="s">
        <v>1154</v>
      </c>
      <c r="B205" s="3474" t="s">
        <v>2897</v>
      </c>
      <c r="C205" s="3475">
        <v>0.13</v>
      </c>
      <c r="D205" s="3475">
        <v>0.13</v>
      </c>
      <c r="E205" s="3475">
        <v>0.13</v>
      </c>
      <c r="F205" s="3475">
        <v>0.13</v>
      </c>
      <c r="G205" s="3476">
        <v>0.13</v>
      </c>
    </row>
    <row r="206" spans="1:7">
      <c r="A206" s="3485" t="s">
        <v>1154</v>
      </c>
      <c r="B206" s="3474" t="s">
        <v>2898</v>
      </c>
      <c r="C206" s="3475">
        <v>0.13</v>
      </c>
      <c r="D206" s="3475">
        <v>0.13</v>
      </c>
      <c r="E206" s="3475">
        <v>0.13</v>
      </c>
      <c r="F206" s="3475">
        <v>0.128</v>
      </c>
      <c r="G206" s="3476">
        <v>0.13</v>
      </c>
    </row>
    <row r="207" spans="1:7">
      <c r="A207" s="3485" t="s">
        <v>1154</v>
      </c>
      <c r="B207" s="3474" t="s">
        <v>2899</v>
      </c>
      <c r="C207" s="3475">
        <v>0.13</v>
      </c>
      <c r="D207" s="3475">
        <v>0.13</v>
      </c>
      <c r="E207" s="3475">
        <v>0.13</v>
      </c>
      <c r="F207" s="3475">
        <v>0.13</v>
      </c>
      <c r="G207" s="3476">
        <v>0.13</v>
      </c>
    </row>
    <row r="208" spans="1:7">
      <c r="A208" s="3485" t="s">
        <v>1154</v>
      </c>
      <c r="B208" s="3474" t="s">
        <v>3081</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2901</v>
      </c>
      <c r="C210" s="3475">
        <v>0.121</v>
      </c>
      <c r="D210" s="3475">
        <v>0.121</v>
      </c>
      <c r="E210" s="3475">
        <v>0.125</v>
      </c>
      <c r="F210" s="3475">
        <v>0.13</v>
      </c>
      <c r="G210" s="3476">
        <v>0.123</v>
      </c>
    </row>
    <row r="211" spans="1:7">
      <c r="A211" s="3485" t="s">
        <v>1154</v>
      </c>
      <c r="B211" s="3474" t="s">
        <v>3082</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3083</v>
      </c>
      <c r="C214" s="3475">
        <v>0.128</v>
      </c>
      <c r="D214" s="3475">
        <v>0.128</v>
      </c>
      <c r="E214" s="3475">
        <v>0.13</v>
      </c>
      <c r="F214" s="3475">
        <v>0.13</v>
      </c>
      <c r="G214" s="3476">
        <v>0.13</v>
      </c>
    </row>
    <row r="215" spans="1:7">
      <c r="A215" s="3485" t="s">
        <v>1154</v>
      </c>
      <c r="B215" s="3474" t="s">
        <v>3084</v>
      </c>
      <c r="C215" s="3475">
        <v>0.13</v>
      </c>
      <c r="D215" s="3475">
        <v>0.13</v>
      </c>
      <c r="E215" s="3475">
        <v>0.13</v>
      </c>
      <c r="F215" s="3475">
        <v>0.129</v>
      </c>
      <c r="G215" s="3476">
        <v>0.13</v>
      </c>
    </row>
    <row r="216" spans="1:7">
      <c r="A216" s="3485" t="s">
        <v>1154</v>
      </c>
      <c r="B216" s="3474" t="s">
        <v>3085</v>
      </c>
      <c r="C216" s="3475">
        <v>0.13</v>
      </c>
      <c r="D216" s="3475">
        <v>0.13</v>
      </c>
      <c r="E216" s="3475">
        <v>0.13</v>
      </c>
      <c r="F216" s="3475">
        <v>0.13</v>
      </c>
      <c r="G216" s="3476">
        <v>0.13</v>
      </c>
    </row>
    <row r="217" spans="1:7">
      <c r="A217" s="3485" t="s">
        <v>1154</v>
      </c>
      <c r="B217" s="3474" t="s">
        <v>2905</v>
      </c>
      <c r="C217" s="3475">
        <v>0.129</v>
      </c>
      <c r="D217" s="3475">
        <v>0.129</v>
      </c>
      <c r="E217" s="3475">
        <v>0.13</v>
      </c>
      <c r="F217" s="3475">
        <v>0.13</v>
      </c>
      <c r="G217" s="3476">
        <v>0.13</v>
      </c>
    </row>
    <row r="218" spans="1:7">
      <c r="A218" s="3485" t="s">
        <v>1154</v>
      </c>
      <c r="B218" s="3474" t="s">
        <v>3086</v>
      </c>
      <c r="C218" s="3486"/>
      <c r="D218" s="3486"/>
      <c r="E218" s="3486"/>
      <c r="F218" s="3475">
        <v>0.05</v>
      </c>
      <c r="G218" s="3492"/>
    </row>
    <row r="219" spans="1:7">
      <c r="A219" s="3485" t="s">
        <v>1154</v>
      </c>
      <c r="B219" s="3474" t="s">
        <v>3087</v>
      </c>
      <c r="C219" s="3486"/>
      <c r="D219" s="3486"/>
      <c r="E219" s="3486"/>
      <c r="F219" s="3475">
        <v>0.05</v>
      </c>
      <c r="G219" s="3492"/>
    </row>
    <row r="220" spans="1:7">
      <c r="A220" s="3485" t="s">
        <v>1154</v>
      </c>
      <c r="B220" s="3474" t="s">
        <v>3088</v>
      </c>
      <c r="C220" s="3486"/>
      <c r="D220" s="3486"/>
      <c r="E220" s="3486"/>
      <c r="F220" s="3475">
        <v>0.05</v>
      </c>
      <c r="G220" s="3492"/>
    </row>
    <row r="221" spans="1:7">
      <c r="A221" s="3485" t="s">
        <v>1154</v>
      </c>
      <c r="B221" s="3474" t="s">
        <v>3089</v>
      </c>
      <c r="C221" s="3486"/>
      <c r="D221" s="3486"/>
      <c r="E221" s="3486"/>
      <c r="F221" s="3475">
        <v>0.05</v>
      </c>
      <c r="G221" s="3492"/>
    </row>
    <row r="222" spans="1:7">
      <c r="A222" s="3485" t="s">
        <v>1154</v>
      </c>
      <c r="B222" s="3474" t="s">
        <v>3090</v>
      </c>
      <c r="C222" s="3486"/>
      <c r="D222" s="3486"/>
      <c r="E222" s="3486"/>
      <c r="F222" s="3475">
        <v>0.05</v>
      </c>
      <c r="G222" s="3492"/>
    </row>
    <row r="223" spans="1:7">
      <c r="A223" s="3485" t="s">
        <v>1154</v>
      </c>
      <c r="B223" s="3474" t="s">
        <v>3091</v>
      </c>
      <c r="C223" s="3486"/>
      <c r="D223" s="3486"/>
      <c r="E223" s="3486"/>
      <c r="F223" s="3475">
        <v>0.05</v>
      </c>
      <c r="G223" s="3492"/>
    </row>
    <row r="224" spans="1:7">
      <c r="A224" s="3485" t="s">
        <v>1154</v>
      </c>
      <c r="B224" s="3474" t="s">
        <v>3092</v>
      </c>
      <c r="C224" s="3486"/>
      <c r="D224" s="3486"/>
      <c r="E224" s="3486"/>
      <c r="F224" s="3475">
        <v>0.05</v>
      </c>
      <c r="G224" s="3492"/>
    </row>
    <row r="225" spans="1:7">
      <c r="A225" s="3485" t="s">
        <v>1154</v>
      </c>
      <c r="B225" s="3474" t="s">
        <v>3093</v>
      </c>
      <c r="C225" s="3486"/>
      <c r="D225" s="3486"/>
      <c r="E225" s="3486"/>
      <c r="F225" s="3475">
        <v>0.05</v>
      </c>
      <c r="G225" s="3492"/>
    </row>
    <row r="226" spans="1:7">
      <c r="A226" s="3485" t="s">
        <v>1154</v>
      </c>
      <c r="B226" s="3474" t="s">
        <v>3094</v>
      </c>
      <c r="C226" s="3486"/>
      <c r="D226" s="3486"/>
      <c r="E226" s="3486"/>
      <c r="F226" s="3475">
        <v>0.05</v>
      </c>
      <c r="G226" s="3492"/>
    </row>
    <row r="227" spans="1:7">
      <c r="A227" s="3485" t="s">
        <v>1154</v>
      </c>
      <c r="B227" s="3474" t="s">
        <v>3095</v>
      </c>
      <c r="C227" s="3486"/>
      <c r="D227" s="3486"/>
      <c r="E227" s="3486"/>
      <c r="F227" s="3475">
        <v>0.05</v>
      </c>
      <c r="G227" s="3492"/>
    </row>
    <row r="228" spans="1:7">
      <c r="A228" s="3485" t="s">
        <v>1154</v>
      </c>
      <c r="B228" s="3474" t="s">
        <v>3096</v>
      </c>
      <c r="C228" s="3486"/>
      <c r="D228" s="3486"/>
      <c r="E228" s="3486"/>
      <c r="F228" s="3475">
        <v>0.05</v>
      </c>
      <c r="G228" s="3492"/>
    </row>
    <row r="229" spans="1:7">
      <c r="A229" s="3485" t="s">
        <v>1154</v>
      </c>
      <c r="B229" s="3474" t="s">
        <v>3097</v>
      </c>
      <c r="C229" s="3486"/>
      <c r="D229" s="3486"/>
      <c r="E229" s="3486"/>
      <c r="F229" s="3475">
        <v>0.05</v>
      </c>
      <c r="G229" s="3492"/>
    </row>
    <row r="230" spans="1:7">
      <c r="A230" s="3485" t="s">
        <v>1154</v>
      </c>
      <c r="B230" s="3474" t="s">
        <v>3098</v>
      </c>
      <c r="C230" s="3486"/>
      <c r="D230" s="3486"/>
      <c r="E230" s="3486"/>
      <c r="F230" s="3475">
        <v>0.05</v>
      </c>
      <c r="G230" s="3492"/>
    </row>
    <row r="231" spans="1:7">
      <c r="A231" s="3485" t="s">
        <v>1154</v>
      </c>
      <c r="B231" s="3474" t="s">
        <v>3099</v>
      </c>
      <c r="C231" s="3486"/>
      <c r="D231" s="3486"/>
      <c r="E231" s="3486"/>
      <c r="F231" s="3475">
        <v>0.05</v>
      </c>
      <c r="G231" s="3492"/>
    </row>
    <row r="232" spans="1:7">
      <c r="A232" s="3485" t="s">
        <v>1154</v>
      </c>
      <c r="B232" s="3474" t="s">
        <v>3100</v>
      </c>
      <c r="C232" s="3486"/>
      <c r="D232" s="3486"/>
      <c r="E232" s="3486"/>
      <c r="F232" s="3475">
        <v>0.05</v>
      </c>
      <c r="G232" s="3492"/>
    </row>
    <row r="233" spans="1:7" ht="14.25" thickBot="1">
      <c r="A233" s="3488" t="s">
        <v>1154</v>
      </c>
      <c r="B233" s="3478" t="s">
        <v>3101</v>
      </c>
      <c r="C233" s="3480"/>
      <c r="D233" s="3480"/>
      <c r="E233" s="3480"/>
      <c r="F233" s="3479">
        <v>0.05</v>
      </c>
      <c r="G233" s="3493"/>
    </row>
    <row r="234" spans="1:7">
      <c r="A234" s="3484" t="s">
        <v>1155</v>
      </c>
      <c r="B234" s="3470" t="s">
        <v>3102</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2923</v>
      </c>
      <c r="C238" s="3475">
        <v>0.14899999999999999</v>
      </c>
      <c r="D238" s="3475">
        <v>0.14899999999999999</v>
      </c>
      <c r="E238" s="3475">
        <v>0.15</v>
      </c>
      <c r="F238" s="3475">
        <v>0.15</v>
      </c>
      <c r="G238" s="3476">
        <v>0.15</v>
      </c>
    </row>
    <row r="239" spans="1:7">
      <c r="A239" s="3485" t="s">
        <v>1155</v>
      </c>
      <c r="B239" s="3474" t="s">
        <v>3103</v>
      </c>
      <c r="C239" s="3475">
        <v>0.15</v>
      </c>
      <c r="D239" s="3475">
        <v>0.15</v>
      </c>
      <c r="E239" s="3475">
        <v>0.15</v>
      </c>
      <c r="F239" s="3475">
        <v>0.15</v>
      </c>
      <c r="G239" s="3476">
        <v>0.15</v>
      </c>
    </row>
    <row r="240" spans="1:7">
      <c r="A240" s="3485" t="s">
        <v>1155</v>
      </c>
      <c r="B240" s="3474" t="s">
        <v>3104</v>
      </c>
      <c r="C240" s="3475">
        <v>0.15</v>
      </c>
      <c r="D240" s="3475">
        <v>0.15</v>
      </c>
      <c r="E240" s="3475">
        <v>0.15</v>
      </c>
      <c r="F240" s="3475">
        <v>0.15</v>
      </c>
      <c r="G240" s="3476">
        <v>0.15</v>
      </c>
    </row>
    <row r="241" spans="1:7">
      <c r="A241" s="3485" t="s">
        <v>1155</v>
      </c>
      <c r="B241" s="3474" t="s">
        <v>3105</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3106</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3107</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3108</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3109</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3110</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2932</v>
      </c>
      <c r="C258" s="3475">
        <v>0.14299999999999999</v>
      </c>
      <c r="D258" s="3475">
        <v>0.14299999999999999</v>
      </c>
      <c r="E258" s="3475">
        <v>0.15</v>
      </c>
      <c r="F258" s="3475">
        <v>0.14799999999999999</v>
      </c>
      <c r="G258" s="3476">
        <v>0.14599999999999999</v>
      </c>
    </row>
    <row r="259" spans="1:7">
      <c r="A259" s="3485" t="s">
        <v>1155</v>
      </c>
      <c r="B259" s="3474" t="s">
        <v>3111</v>
      </c>
      <c r="C259" s="3475">
        <v>0.14399999999999999</v>
      </c>
      <c r="D259" s="3475">
        <v>0.14399999999999999</v>
      </c>
      <c r="E259" s="3475">
        <v>0.14899999999999999</v>
      </c>
      <c r="F259" s="3475">
        <v>0.14699999999999999</v>
      </c>
      <c r="G259" s="3476">
        <v>0.14599999999999999</v>
      </c>
    </row>
    <row r="260" spans="1:7">
      <c r="A260" s="3485" t="s">
        <v>1155</v>
      </c>
      <c r="B260" s="3474" t="s">
        <v>3112</v>
      </c>
      <c r="C260" s="3475">
        <v>0.109</v>
      </c>
      <c r="D260" s="3475">
        <v>0.111</v>
      </c>
      <c r="E260" s="3475">
        <v>0.13100000000000001</v>
      </c>
      <c r="F260" s="3475">
        <v>0.126</v>
      </c>
      <c r="G260" s="3476">
        <v>0.11899999999999999</v>
      </c>
    </row>
    <row r="261" spans="1:7">
      <c r="A261" s="3485" t="s">
        <v>1155</v>
      </c>
      <c r="B261" s="3474" t="s">
        <v>3113</v>
      </c>
      <c r="C261" s="3475">
        <v>0.1</v>
      </c>
      <c r="D261" s="3475">
        <v>0.1</v>
      </c>
      <c r="E261" s="3475">
        <v>0.11799999999999999</v>
      </c>
      <c r="F261" s="3475">
        <v>0.108</v>
      </c>
      <c r="G261" s="3476">
        <v>0.107</v>
      </c>
    </row>
    <row r="262" spans="1:7">
      <c r="A262" s="3485" t="s">
        <v>1155</v>
      </c>
      <c r="B262" s="3474" t="s">
        <v>3114</v>
      </c>
      <c r="C262" s="3475">
        <v>0.1</v>
      </c>
      <c r="D262" s="3475">
        <v>0.1</v>
      </c>
      <c r="E262" s="3475">
        <v>0.1</v>
      </c>
      <c r="F262" s="3475">
        <v>0.14099999999999999</v>
      </c>
      <c r="G262" s="3476">
        <v>0.1</v>
      </c>
    </row>
    <row r="263" spans="1:7">
      <c r="A263" s="3485" t="s">
        <v>1155</v>
      </c>
      <c r="B263" s="3474" t="s">
        <v>3115</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3116</v>
      </c>
      <c r="C265" s="3486"/>
      <c r="D265" s="3486"/>
      <c r="E265" s="3486"/>
      <c r="F265" s="3475">
        <v>0.05</v>
      </c>
      <c r="G265" s="3492"/>
    </row>
    <row r="266" spans="1:7">
      <c r="A266" s="3485" t="s">
        <v>1155</v>
      </c>
      <c r="B266" s="3474" t="s">
        <v>3117</v>
      </c>
      <c r="C266" s="3486"/>
      <c r="D266" s="3486"/>
      <c r="E266" s="3486"/>
      <c r="F266" s="3475">
        <v>0.05</v>
      </c>
      <c r="G266" s="3492"/>
    </row>
    <row r="267" spans="1:7">
      <c r="A267" s="3485" t="s">
        <v>1155</v>
      </c>
      <c r="B267" s="3474" t="s">
        <v>3118</v>
      </c>
      <c r="C267" s="3486"/>
      <c r="D267" s="3486"/>
      <c r="E267" s="3486"/>
      <c r="F267" s="3475">
        <v>0.05</v>
      </c>
      <c r="G267" s="3492"/>
    </row>
    <row r="268" spans="1:7">
      <c r="A268" s="3485" t="s">
        <v>1155</v>
      </c>
      <c r="B268" s="3474" t="s">
        <v>3119</v>
      </c>
      <c r="C268" s="3486"/>
      <c r="D268" s="3486"/>
      <c r="E268" s="3486"/>
      <c r="F268" s="3475">
        <v>0.05</v>
      </c>
      <c r="G268" s="3492"/>
    </row>
    <row r="269" spans="1:7">
      <c r="A269" s="3485" t="s">
        <v>1155</v>
      </c>
      <c r="B269" s="3474" t="s">
        <v>3120</v>
      </c>
      <c r="C269" s="3486"/>
      <c r="D269" s="3486"/>
      <c r="E269" s="3486"/>
      <c r="F269" s="3475">
        <v>0.05</v>
      </c>
      <c r="G269" s="3492"/>
    </row>
    <row r="270" spans="1:7">
      <c r="A270" s="3485" t="s">
        <v>1155</v>
      </c>
      <c r="B270" s="3474" t="s">
        <v>3121</v>
      </c>
      <c r="C270" s="3486"/>
      <c r="D270" s="3486"/>
      <c r="E270" s="3486"/>
      <c r="F270" s="3475">
        <v>0.05</v>
      </c>
      <c r="G270" s="3492"/>
    </row>
    <row r="271" spans="1:7">
      <c r="A271" s="3485" t="s">
        <v>1155</v>
      </c>
      <c r="B271" s="3474" t="s">
        <v>3122</v>
      </c>
      <c r="C271" s="3486"/>
      <c r="D271" s="3486"/>
      <c r="E271" s="3486"/>
      <c r="F271" s="3475">
        <v>0.05</v>
      </c>
      <c r="G271" s="3492"/>
    </row>
    <row r="272" spans="1:7">
      <c r="A272" s="3485" t="s">
        <v>1155</v>
      </c>
      <c r="B272" s="3474" t="s">
        <v>3123</v>
      </c>
      <c r="C272" s="3486"/>
      <c r="D272" s="3486"/>
      <c r="E272" s="3486"/>
      <c r="F272" s="3475">
        <v>0.05</v>
      </c>
      <c r="G272" s="3492"/>
    </row>
    <row r="273" spans="1:7">
      <c r="A273" s="3485" t="s">
        <v>1155</v>
      </c>
      <c r="B273" s="3474" t="s">
        <v>3124</v>
      </c>
      <c r="C273" s="3486"/>
      <c r="D273" s="3486"/>
      <c r="E273" s="3486"/>
      <c r="F273" s="3475">
        <v>0.05</v>
      </c>
      <c r="G273" s="3492"/>
    </row>
    <row r="274" spans="1:7">
      <c r="A274" s="3485" t="s">
        <v>1155</v>
      </c>
      <c r="B274" s="3474" t="s">
        <v>3125</v>
      </c>
      <c r="C274" s="3486"/>
      <c r="D274" s="3486"/>
      <c r="E274" s="3486"/>
      <c r="F274" s="3475">
        <v>0.05</v>
      </c>
      <c r="G274" s="3492"/>
    </row>
    <row r="275" spans="1:7">
      <c r="A275" s="3485" t="s">
        <v>1155</v>
      </c>
      <c r="B275" s="3474" t="s">
        <v>3126</v>
      </c>
      <c r="C275" s="3486"/>
      <c r="D275" s="3486"/>
      <c r="E275" s="3486"/>
      <c r="F275" s="3475">
        <v>0.05</v>
      </c>
      <c r="G275" s="3492"/>
    </row>
    <row r="276" spans="1:7" ht="14.25" thickBot="1">
      <c r="A276" s="3488" t="s">
        <v>1155</v>
      </c>
      <c r="B276" s="3478" t="s">
        <v>3127</v>
      </c>
      <c r="C276" s="3480"/>
      <c r="D276" s="3480"/>
      <c r="E276" s="3480"/>
      <c r="F276" s="3479">
        <v>0.05</v>
      </c>
      <c r="G276" s="3493"/>
    </row>
    <row r="277" spans="1:7">
      <c r="A277" s="3484" t="s">
        <v>1156</v>
      </c>
      <c r="B277" s="3470" t="s">
        <v>3128</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3129</v>
      </c>
      <c r="C279" s="3475">
        <v>0.15</v>
      </c>
      <c r="D279" s="3475">
        <v>0.15</v>
      </c>
      <c r="E279" s="3475">
        <v>0.15</v>
      </c>
      <c r="F279" s="3475">
        <v>0.15</v>
      </c>
      <c r="G279" s="3476">
        <v>0.15</v>
      </c>
    </row>
    <row r="280" spans="1:7">
      <c r="A280" s="3485" t="s">
        <v>1156</v>
      </c>
      <c r="B280" s="3474" t="s">
        <v>3130</v>
      </c>
      <c r="C280" s="3475">
        <v>0.15</v>
      </c>
      <c r="D280" s="3475">
        <v>0.15</v>
      </c>
      <c r="E280" s="3475">
        <v>0.15</v>
      </c>
      <c r="F280" s="3475">
        <v>0.15</v>
      </c>
      <c r="G280" s="3476">
        <v>0.15</v>
      </c>
    </row>
    <row r="281" spans="1:7">
      <c r="A281" s="3485" t="s">
        <v>1156</v>
      </c>
      <c r="B281" s="3474" t="s">
        <v>3131</v>
      </c>
      <c r="C281" s="3475">
        <v>0.15</v>
      </c>
      <c r="D281" s="3475">
        <v>0.15</v>
      </c>
      <c r="E281" s="3475">
        <v>0.15</v>
      </c>
      <c r="F281" s="3475">
        <v>0.15</v>
      </c>
      <c r="G281" s="3476">
        <v>0.15</v>
      </c>
    </row>
    <row r="282" spans="1:7">
      <c r="A282" s="3485" t="s">
        <v>1156</v>
      </c>
      <c r="B282" s="3474" t="s">
        <v>3132</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3133</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3134</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2957</v>
      </c>
      <c r="C293" s="3475">
        <v>0.15</v>
      </c>
      <c r="D293" s="3475">
        <v>0.15</v>
      </c>
      <c r="E293" s="3475">
        <v>0.15</v>
      </c>
      <c r="F293" s="3475">
        <v>0.14499999999999999</v>
      </c>
      <c r="G293" s="3476">
        <v>0.15</v>
      </c>
    </row>
    <row r="294" spans="1:7">
      <c r="A294" s="3485" t="s">
        <v>1156</v>
      </c>
      <c r="B294" s="3474" t="s">
        <v>3135</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2959</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3136</v>
      </c>
      <c r="C302" s="3475">
        <v>0.15</v>
      </c>
      <c r="D302" s="3475">
        <v>0.15</v>
      </c>
      <c r="E302" s="3475">
        <v>0.15</v>
      </c>
      <c r="F302" s="3475">
        <v>0.14699999999999999</v>
      </c>
      <c r="G302" s="3476">
        <v>0.15</v>
      </c>
    </row>
    <row r="303" spans="1:7">
      <c r="A303" s="3485" t="s">
        <v>1156</v>
      </c>
      <c r="B303" s="3474" t="s">
        <v>2961</v>
      </c>
      <c r="C303" s="3475">
        <v>0.15</v>
      </c>
      <c r="D303" s="3475">
        <v>0.15</v>
      </c>
      <c r="E303" s="3475">
        <v>0.15</v>
      </c>
      <c r="F303" s="3475">
        <v>0.14199999999999999</v>
      </c>
      <c r="G303" s="3476">
        <v>0.15</v>
      </c>
    </row>
    <row r="304" spans="1:7">
      <c r="A304" s="3485" t="s">
        <v>1156</v>
      </c>
      <c r="B304" s="3474" t="s">
        <v>2962</v>
      </c>
      <c r="C304" s="3475">
        <v>0.15</v>
      </c>
      <c r="D304" s="3475">
        <v>0.15</v>
      </c>
      <c r="E304" s="3475">
        <v>0.15</v>
      </c>
      <c r="F304" s="3475">
        <v>0.14499999999999999</v>
      </c>
      <c r="G304" s="3476">
        <v>0.15</v>
      </c>
    </row>
    <row r="305" spans="1:7">
      <c r="A305" s="3485" t="s">
        <v>1156</v>
      </c>
      <c r="B305" s="3474" t="s">
        <v>2963</v>
      </c>
      <c r="C305" s="3475">
        <v>0.15</v>
      </c>
      <c r="D305" s="3475">
        <v>0.15</v>
      </c>
      <c r="E305" s="3475">
        <v>0.15</v>
      </c>
      <c r="F305" s="3475">
        <v>0.111</v>
      </c>
      <c r="G305" s="3476">
        <v>0.15</v>
      </c>
    </row>
    <row r="306" spans="1:7">
      <c r="A306" s="3485" t="s">
        <v>1156</v>
      </c>
      <c r="B306" s="3474" t="s">
        <v>3137</v>
      </c>
      <c r="C306" s="3475">
        <v>0.15</v>
      </c>
      <c r="D306" s="3475">
        <v>0.15</v>
      </c>
      <c r="E306" s="3475">
        <v>0.15</v>
      </c>
      <c r="F306" s="3475">
        <v>0.126</v>
      </c>
      <c r="G306" s="3476">
        <v>0.15</v>
      </c>
    </row>
    <row r="307" spans="1:7">
      <c r="A307" s="3485" t="s">
        <v>1156</v>
      </c>
      <c r="B307" s="3474" t="s">
        <v>2965</v>
      </c>
      <c r="C307" s="3475">
        <v>0.15</v>
      </c>
      <c r="D307" s="3475">
        <v>0.15</v>
      </c>
      <c r="E307" s="3475">
        <v>0.15</v>
      </c>
      <c r="F307" s="3475">
        <v>0.12</v>
      </c>
      <c r="G307" s="3476">
        <v>0.15</v>
      </c>
    </row>
    <row r="308" spans="1:7">
      <c r="A308" s="3485" t="s">
        <v>1156</v>
      </c>
      <c r="B308" s="3474" t="s">
        <v>3138</v>
      </c>
      <c r="C308" s="3475">
        <v>0.15</v>
      </c>
      <c r="D308" s="3475">
        <v>0.15</v>
      </c>
      <c r="E308" s="3475">
        <v>0.15</v>
      </c>
      <c r="F308" s="3475">
        <v>0.13</v>
      </c>
      <c r="G308" s="3476">
        <v>0.15</v>
      </c>
    </row>
    <row r="309" spans="1:7">
      <c r="A309" s="3485" t="s">
        <v>1156</v>
      </c>
      <c r="B309" s="3474" t="s">
        <v>3139</v>
      </c>
      <c r="C309" s="3475">
        <v>0.15</v>
      </c>
      <c r="D309" s="3475">
        <v>0.15</v>
      </c>
      <c r="E309" s="3475">
        <v>0.15</v>
      </c>
      <c r="F309" s="3475">
        <v>0.14099999999999999</v>
      </c>
      <c r="G309" s="3476">
        <v>0.15</v>
      </c>
    </row>
    <row r="310" spans="1:7">
      <c r="A310" s="3485" t="s">
        <v>1156</v>
      </c>
      <c r="B310" s="3474" t="s">
        <v>2968</v>
      </c>
      <c r="C310" s="3475">
        <v>0.15</v>
      </c>
      <c r="D310" s="3475">
        <v>0.15</v>
      </c>
      <c r="E310" s="3475">
        <v>0.15</v>
      </c>
      <c r="F310" s="3475">
        <v>0.15</v>
      </c>
      <c r="G310" s="3476">
        <v>0.15</v>
      </c>
    </row>
    <row r="311" spans="1:7">
      <c r="A311" s="3485" t="s">
        <v>1156</v>
      </c>
      <c r="B311" s="3474" t="s">
        <v>3140</v>
      </c>
      <c r="C311" s="3475">
        <v>0.13200000000000001</v>
      </c>
      <c r="D311" s="3475">
        <v>0.13300000000000001</v>
      </c>
      <c r="E311" s="3475">
        <v>0.14499999999999999</v>
      </c>
      <c r="F311" s="3475">
        <v>0.14199999999999999</v>
      </c>
      <c r="G311" s="3476">
        <v>0.14000000000000001</v>
      </c>
    </row>
    <row r="312" spans="1:7">
      <c r="A312" s="3485" t="s">
        <v>1156</v>
      </c>
      <c r="B312" s="3474" t="s">
        <v>2970</v>
      </c>
      <c r="C312" s="3475">
        <v>0.13800000000000001</v>
      </c>
      <c r="D312" s="3475">
        <v>0.14000000000000001</v>
      </c>
      <c r="E312" s="3475">
        <v>0.14599999999999999</v>
      </c>
      <c r="F312" s="3475">
        <v>0.14899999999999999</v>
      </c>
      <c r="G312" s="3476">
        <v>0.14199999999999999</v>
      </c>
    </row>
    <row r="313" spans="1:7">
      <c r="A313" s="3485" t="s">
        <v>1156</v>
      </c>
      <c r="B313" s="3474" t="s">
        <v>2971</v>
      </c>
      <c r="C313" s="3475">
        <v>0.125</v>
      </c>
      <c r="D313" s="3475">
        <v>0.127</v>
      </c>
      <c r="E313" s="3475">
        <v>0.14399999999999999</v>
      </c>
      <c r="F313" s="3475">
        <v>0.115</v>
      </c>
      <c r="G313" s="3476">
        <v>0.13600000000000001</v>
      </c>
    </row>
    <row r="314" spans="1:7">
      <c r="A314" s="3485" t="s">
        <v>1156</v>
      </c>
      <c r="B314" s="3474" t="s">
        <v>3141</v>
      </c>
      <c r="C314" s="3491"/>
      <c r="D314" s="3491"/>
      <c r="E314" s="3491"/>
      <c r="F314" s="3475">
        <v>0.05</v>
      </c>
      <c r="G314" s="3492"/>
    </row>
    <row r="315" spans="1:7">
      <c r="A315" s="3485" t="s">
        <v>1156</v>
      </c>
      <c r="B315" s="3474" t="s">
        <v>3142</v>
      </c>
      <c r="C315" s="3491"/>
      <c r="D315" s="3491"/>
      <c r="E315" s="3491"/>
      <c r="F315" s="3475">
        <v>0.05</v>
      </c>
      <c r="G315" s="3492"/>
    </row>
    <row r="316" spans="1:7">
      <c r="A316" s="3485" t="s">
        <v>1156</v>
      </c>
      <c r="B316" s="3474" t="s">
        <v>3143</v>
      </c>
      <c r="C316" s="3486"/>
      <c r="D316" s="3486"/>
      <c r="E316" s="3486"/>
      <c r="F316" s="3475">
        <v>0.05</v>
      </c>
      <c r="G316" s="3492"/>
    </row>
    <row r="317" spans="1:7">
      <c r="A317" s="3485" t="s">
        <v>1156</v>
      </c>
      <c r="B317" s="3474" t="s">
        <v>3144</v>
      </c>
      <c r="C317" s="3486"/>
      <c r="D317" s="3486"/>
      <c r="E317" s="3486"/>
      <c r="F317" s="3475">
        <v>0.05</v>
      </c>
      <c r="G317" s="3492"/>
    </row>
    <row r="318" spans="1:7">
      <c r="A318" s="3485" t="s">
        <v>1156</v>
      </c>
      <c r="B318" s="3474" t="s">
        <v>3145</v>
      </c>
      <c r="C318" s="3486"/>
      <c r="D318" s="3486"/>
      <c r="E318" s="3486"/>
      <c r="F318" s="3475">
        <v>0.05</v>
      </c>
      <c r="G318" s="3492"/>
    </row>
    <row r="319" spans="1:7">
      <c r="A319" s="3485" t="s">
        <v>1156</v>
      </c>
      <c r="B319" s="3474" t="s">
        <v>3146</v>
      </c>
      <c r="C319" s="3486"/>
      <c r="D319" s="3486"/>
      <c r="E319" s="3486"/>
      <c r="F319" s="3475">
        <v>0.05</v>
      </c>
      <c r="G319" s="3492"/>
    </row>
    <row r="320" spans="1:7">
      <c r="A320" s="3485" t="s">
        <v>1156</v>
      </c>
      <c r="B320" s="3474" t="s">
        <v>3147</v>
      </c>
      <c r="C320" s="3486"/>
      <c r="D320" s="3486"/>
      <c r="E320" s="3486"/>
      <c r="F320" s="3475">
        <v>0.05</v>
      </c>
      <c r="G320" s="3492"/>
    </row>
    <row r="321" spans="1:7">
      <c r="A321" s="3485" t="s">
        <v>1156</v>
      </c>
      <c r="B321" s="3474" t="s">
        <v>3148</v>
      </c>
      <c r="C321" s="3486"/>
      <c r="D321" s="3486"/>
      <c r="E321" s="3486"/>
      <c r="F321" s="3475">
        <v>0.05</v>
      </c>
      <c r="G321" s="3492"/>
    </row>
    <row r="322" spans="1:7">
      <c r="A322" s="3485" t="s">
        <v>1156</v>
      </c>
      <c r="B322" s="3474" t="s">
        <v>3149</v>
      </c>
      <c r="C322" s="3486"/>
      <c r="D322" s="3486"/>
      <c r="E322" s="3486"/>
      <c r="F322" s="3475">
        <v>0.05</v>
      </c>
      <c r="G322" s="3492"/>
    </row>
    <row r="323" spans="1:7">
      <c r="A323" s="3485" t="s">
        <v>1156</v>
      </c>
      <c r="B323" s="3474" t="s">
        <v>3150</v>
      </c>
      <c r="C323" s="3486"/>
      <c r="D323" s="3486"/>
      <c r="E323" s="3486"/>
      <c r="F323" s="3475">
        <v>0.05</v>
      </c>
      <c r="G323" s="3492"/>
    </row>
    <row r="324" spans="1:7">
      <c r="A324" s="3485" t="s">
        <v>1156</v>
      </c>
      <c r="B324" s="3474" t="s">
        <v>3151</v>
      </c>
      <c r="C324" s="3486"/>
      <c r="D324" s="3486"/>
      <c r="E324" s="3486"/>
      <c r="F324" s="3475">
        <v>0.05</v>
      </c>
      <c r="G324" s="3492"/>
    </row>
    <row r="325" spans="1:7">
      <c r="A325" s="3485" t="s">
        <v>1156</v>
      </c>
      <c r="B325" s="3474" t="s">
        <v>3152</v>
      </c>
      <c r="C325" s="3486"/>
      <c r="D325" s="3486"/>
      <c r="E325" s="3486"/>
      <c r="F325" s="3475">
        <v>0.05</v>
      </c>
      <c r="G325" s="3492"/>
    </row>
    <row r="326" spans="1:7" ht="14.25" thickBot="1">
      <c r="A326" s="3488" t="s">
        <v>1156</v>
      </c>
      <c r="B326" s="3478" t="s">
        <v>3153</v>
      </c>
      <c r="C326" s="3480"/>
      <c r="D326" s="3480"/>
      <c r="E326" s="3480"/>
      <c r="F326" s="3479">
        <v>0.05</v>
      </c>
      <c r="G326" s="3493"/>
    </row>
    <row r="327" spans="1:7">
      <c r="A327" s="3484" t="s">
        <v>1157</v>
      </c>
      <c r="B327" s="3470" t="s">
        <v>3154</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3155</v>
      </c>
      <c r="C329" s="3475">
        <v>0.15</v>
      </c>
      <c r="D329" s="3475">
        <v>0.15</v>
      </c>
      <c r="E329" s="3475">
        <v>0.15</v>
      </c>
      <c r="F329" s="3475">
        <v>0.15</v>
      </c>
      <c r="G329" s="3476">
        <v>0.15</v>
      </c>
    </row>
    <row r="330" spans="1:7">
      <c r="A330" s="3485" t="s">
        <v>1157</v>
      </c>
      <c r="B330" s="3474" t="s">
        <v>3156</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2988</v>
      </c>
      <c r="C332" s="3475">
        <v>0.15</v>
      </c>
      <c r="D332" s="3475">
        <v>0.15</v>
      </c>
      <c r="E332" s="3475">
        <v>0.15</v>
      </c>
      <c r="F332" s="3475">
        <v>0.15</v>
      </c>
      <c r="G332" s="3476">
        <v>0.15</v>
      </c>
    </row>
    <row r="333" spans="1:7">
      <c r="A333" s="3485" t="s">
        <v>1157</v>
      </c>
      <c r="B333" s="3474" t="s">
        <v>3157</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2990</v>
      </c>
      <c r="C336" s="3475">
        <v>0.15</v>
      </c>
      <c r="D336" s="3475">
        <v>0.15</v>
      </c>
      <c r="E336" s="3475">
        <v>0.15</v>
      </c>
      <c r="F336" s="3475">
        <v>0.14199999999999999</v>
      </c>
      <c r="G336" s="3476">
        <v>0.15</v>
      </c>
    </row>
    <row r="337" spans="1:7">
      <c r="A337" s="3485" t="s">
        <v>1157</v>
      </c>
      <c r="B337" s="3474" t="s">
        <v>3158</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3159</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3160</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2994</v>
      </c>
      <c r="C345" s="3475">
        <v>0.15</v>
      </c>
      <c r="D345" s="3475">
        <v>0.15</v>
      </c>
      <c r="E345" s="3475">
        <v>0.15</v>
      </c>
      <c r="F345" s="3475">
        <v>0.13800000000000001</v>
      </c>
      <c r="G345" s="3476">
        <v>0.15</v>
      </c>
    </row>
    <row r="346" spans="1:7">
      <c r="A346" s="3485" t="s">
        <v>1157</v>
      </c>
      <c r="B346" s="3474" t="s">
        <v>3161</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2996</v>
      </c>
      <c r="C348" s="3475">
        <v>0.15</v>
      </c>
      <c r="D348" s="3475">
        <v>0.15</v>
      </c>
      <c r="E348" s="3475">
        <v>0.15</v>
      </c>
      <c r="F348" s="3475">
        <v>0.14399999999999999</v>
      </c>
      <c r="G348" s="3476">
        <v>0.15</v>
      </c>
    </row>
    <row r="349" spans="1:7">
      <c r="A349" s="3485" t="s">
        <v>1157</v>
      </c>
      <c r="B349" s="3474" t="s">
        <v>2997</v>
      </c>
      <c r="C349" s="3475">
        <v>0.15</v>
      </c>
      <c r="D349" s="3475">
        <v>0.15</v>
      </c>
      <c r="E349" s="3475">
        <v>0.15</v>
      </c>
      <c r="F349" s="3475">
        <v>0.15</v>
      </c>
      <c r="G349" s="3476">
        <v>0.15</v>
      </c>
    </row>
    <row r="350" spans="1:7">
      <c r="A350" s="3485" t="s">
        <v>1157</v>
      </c>
      <c r="B350" s="3474" t="s">
        <v>3162</v>
      </c>
      <c r="C350" s="3475">
        <v>0.15</v>
      </c>
      <c r="D350" s="3475">
        <v>0.15</v>
      </c>
      <c r="E350" s="3475">
        <v>0.15</v>
      </c>
      <c r="F350" s="3475">
        <v>0.14699999999999999</v>
      </c>
      <c r="G350" s="3476">
        <v>0.15</v>
      </c>
    </row>
    <row r="351" spans="1:7">
      <c r="A351" s="3485" t="s">
        <v>1157</v>
      </c>
      <c r="B351" s="3474" t="s">
        <v>2999</v>
      </c>
      <c r="C351" s="3475">
        <v>0.15</v>
      </c>
      <c r="D351" s="3475">
        <v>0.15</v>
      </c>
      <c r="E351" s="3475">
        <v>0.15</v>
      </c>
      <c r="F351" s="3475">
        <v>0.13</v>
      </c>
      <c r="G351" s="3476">
        <v>0.15</v>
      </c>
    </row>
    <row r="352" spans="1:7">
      <c r="A352" s="3485" t="s">
        <v>1157</v>
      </c>
      <c r="B352" s="3474" t="s">
        <v>3000</v>
      </c>
      <c r="C352" s="3475">
        <v>0.15</v>
      </c>
      <c r="D352" s="3475">
        <v>0.15</v>
      </c>
      <c r="E352" s="3475">
        <v>0.15</v>
      </c>
      <c r="F352" s="3475">
        <v>0.14599999999999999</v>
      </c>
      <c r="G352" s="3476">
        <v>0.15</v>
      </c>
    </row>
    <row r="353" spans="1:7">
      <c r="A353" s="3485" t="s">
        <v>1157</v>
      </c>
      <c r="B353" s="3474" t="s">
        <v>3163</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3002</v>
      </c>
      <c r="C355" s="3475">
        <v>0.15</v>
      </c>
      <c r="D355" s="3475">
        <v>0.15</v>
      </c>
      <c r="E355" s="3475">
        <v>0.15</v>
      </c>
      <c r="F355" s="3475">
        <v>0.15</v>
      </c>
      <c r="G355" s="3476">
        <v>0.15</v>
      </c>
    </row>
    <row r="356" spans="1:7">
      <c r="A356" s="3485" t="s">
        <v>1157</v>
      </c>
      <c r="B356" s="3474" t="s">
        <v>3003</v>
      </c>
      <c r="C356" s="3475">
        <v>0.15</v>
      </c>
      <c r="D356" s="3475">
        <v>0.15</v>
      </c>
      <c r="E356" s="3475">
        <v>0.15</v>
      </c>
      <c r="F356" s="3475">
        <v>0.15</v>
      </c>
      <c r="G356" s="3476">
        <v>0.15</v>
      </c>
    </row>
    <row r="357" spans="1:7" ht="14.25" thickBot="1">
      <c r="A357" s="3488" t="s">
        <v>1157</v>
      </c>
      <c r="B357" s="3478" t="s">
        <v>3164</v>
      </c>
      <c r="C357" s="3479">
        <v>0.126</v>
      </c>
      <c r="D357" s="3479">
        <v>0.127</v>
      </c>
      <c r="E357" s="3479">
        <v>0.14299999999999999</v>
      </c>
      <c r="F357" s="3479">
        <v>0.125</v>
      </c>
      <c r="G357" s="3481">
        <v>0.129</v>
      </c>
    </row>
    <row r="358" spans="1:7">
      <c r="A358" s="3484" t="s">
        <v>3165</v>
      </c>
      <c r="B358" s="3470" t="s">
        <v>3166</v>
      </c>
      <c r="C358" s="3471">
        <v>0.15</v>
      </c>
      <c r="D358" s="3471">
        <v>0.15</v>
      </c>
      <c r="E358" s="3471">
        <v>0.15</v>
      </c>
      <c r="F358" s="3471">
        <v>0.15</v>
      </c>
      <c r="G358" s="3472">
        <v>0.15</v>
      </c>
    </row>
    <row r="359" spans="1:7">
      <c r="A359" s="3485" t="s">
        <v>3165</v>
      </c>
      <c r="B359" s="3474" t="s">
        <v>3167</v>
      </c>
      <c r="C359" s="3475">
        <v>0.1</v>
      </c>
      <c r="D359" s="3475">
        <v>0.1</v>
      </c>
      <c r="E359" s="3475">
        <v>0.1</v>
      </c>
      <c r="F359" s="3475">
        <v>0.1</v>
      </c>
      <c r="G359" s="3476">
        <v>0.1</v>
      </c>
    </row>
    <row r="360" spans="1:7">
      <c r="A360" s="3485" t="s">
        <v>3165</v>
      </c>
      <c r="B360" s="3474" t="s">
        <v>3168</v>
      </c>
      <c r="C360" s="3475">
        <v>0.15</v>
      </c>
      <c r="D360" s="3475">
        <v>0.15</v>
      </c>
      <c r="E360" s="3475">
        <v>0.15</v>
      </c>
      <c r="F360" s="3475">
        <v>0.14899999999999999</v>
      </c>
      <c r="G360" s="3476">
        <v>0.15</v>
      </c>
    </row>
    <row r="361" spans="1:7">
      <c r="A361" s="3485" t="s">
        <v>3165</v>
      </c>
      <c r="B361" s="3474" t="s">
        <v>999</v>
      </c>
      <c r="C361" s="3475">
        <v>0.15</v>
      </c>
      <c r="D361" s="3475">
        <v>0.15</v>
      </c>
      <c r="E361" s="3475">
        <v>0.15</v>
      </c>
      <c r="F361" s="3475">
        <v>0.115</v>
      </c>
      <c r="G361" s="3476">
        <v>0.15</v>
      </c>
    </row>
    <row r="362" spans="1:7">
      <c r="A362" s="3485" t="s">
        <v>3165</v>
      </c>
      <c r="B362" s="3474" t="s">
        <v>3169</v>
      </c>
      <c r="C362" s="3475">
        <v>0.15</v>
      </c>
      <c r="D362" s="3475">
        <v>0.15</v>
      </c>
      <c r="E362" s="3475">
        <v>0.15</v>
      </c>
      <c r="F362" s="3475">
        <v>0.106</v>
      </c>
      <c r="G362" s="3476">
        <v>0.15</v>
      </c>
    </row>
    <row r="363" spans="1:7">
      <c r="A363" s="3485" t="s">
        <v>3165</v>
      </c>
      <c r="B363" s="3474" t="s">
        <v>3009</v>
      </c>
      <c r="C363" s="3475">
        <v>0.15</v>
      </c>
      <c r="D363" s="3475">
        <v>0.15</v>
      </c>
      <c r="E363" s="3475">
        <v>0.15</v>
      </c>
      <c r="F363" s="3475">
        <v>0.14699999999999999</v>
      </c>
      <c r="G363" s="3476">
        <v>0.15</v>
      </c>
    </row>
    <row r="364" spans="1:7">
      <c r="A364" s="3485" t="s">
        <v>3165</v>
      </c>
      <c r="B364" s="3474" t="s">
        <v>3170</v>
      </c>
      <c r="C364" s="3475">
        <v>0.15</v>
      </c>
      <c r="D364" s="3475">
        <v>0.15</v>
      </c>
      <c r="E364" s="3475">
        <v>0.15</v>
      </c>
      <c r="F364" s="3475">
        <v>0.14799999999999999</v>
      </c>
      <c r="G364" s="3476">
        <v>0.15</v>
      </c>
    </row>
    <row r="365" spans="1:7">
      <c r="A365" s="3485" t="s">
        <v>3165</v>
      </c>
      <c r="B365" s="3474" t="s">
        <v>1047</v>
      </c>
      <c r="C365" s="3475">
        <v>0.15</v>
      </c>
      <c r="D365" s="3475">
        <v>0.15</v>
      </c>
      <c r="E365" s="3475">
        <v>0.15</v>
      </c>
      <c r="F365" s="3475">
        <v>0.15</v>
      </c>
      <c r="G365" s="3476">
        <v>0.15</v>
      </c>
    </row>
    <row r="366" spans="1:7">
      <c r="A366" s="3485" t="s">
        <v>3165</v>
      </c>
      <c r="B366" s="3474" t="s">
        <v>3011</v>
      </c>
      <c r="C366" s="3475">
        <v>0.15</v>
      </c>
      <c r="D366" s="3475">
        <v>0.15</v>
      </c>
      <c r="E366" s="3475">
        <v>0.15</v>
      </c>
      <c r="F366" s="3475">
        <v>0.15</v>
      </c>
      <c r="G366" s="3476">
        <v>0.15</v>
      </c>
    </row>
    <row r="367" spans="1:7">
      <c r="A367" s="3485" t="s">
        <v>3165</v>
      </c>
      <c r="B367" s="3474" t="s">
        <v>3171</v>
      </c>
      <c r="C367" s="3475">
        <v>0.15</v>
      </c>
      <c r="D367" s="3475">
        <v>0.15</v>
      </c>
      <c r="E367" s="3475">
        <v>0.15</v>
      </c>
      <c r="F367" s="3475">
        <v>0.14699999999999999</v>
      </c>
      <c r="G367" s="3476">
        <v>0.15</v>
      </c>
    </row>
    <row r="368" spans="1:7">
      <c r="A368" s="3485" t="s">
        <v>3165</v>
      </c>
      <c r="B368" s="3474" t="s">
        <v>3172</v>
      </c>
      <c r="C368" s="3475">
        <v>0.15</v>
      </c>
      <c r="D368" s="3475">
        <v>0.15</v>
      </c>
      <c r="E368" s="3475">
        <v>0.15</v>
      </c>
      <c r="F368" s="3475">
        <v>0.13600000000000001</v>
      </c>
      <c r="G368" s="3476">
        <v>0.15</v>
      </c>
    </row>
    <row r="369" spans="1:7">
      <c r="A369" s="3485" t="s">
        <v>3165</v>
      </c>
      <c r="B369" s="3474" t="s">
        <v>1061</v>
      </c>
      <c r="C369" s="3475">
        <v>0.15</v>
      </c>
      <c r="D369" s="3475">
        <v>0.15</v>
      </c>
      <c r="E369" s="3475">
        <v>0.15</v>
      </c>
      <c r="F369" s="3475">
        <v>0.14399999999999999</v>
      </c>
      <c r="G369" s="3476">
        <v>0.15</v>
      </c>
    </row>
    <row r="370" spans="1:7">
      <c r="A370" s="3485" t="s">
        <v>3165</v>
      </c>
      <c r="B370" s="3474" t="s">
        <v>1069</v>
      </c>
      <c r="C370" s="3475">
        <v>0.15</v>
      </c>
      <c r="D370" s="3475">
        <v>0.15</v>
      </c>
      <c r="E370" s="3475">
        <v>0.15</v>
      </c>
      <c r="F370" s="3475">
        <v>0.14599999999999999</v>
      </c>
      <c r="G370" s="3476">
        <v>0.15</v>
      </c>
    </row>
    <row r="371" spans="1:7">
      <c r="A371" s="3485" t="s">
        <v>3165</v>
      </c>
      <c r="B371" s="3474" t="s">
        <v>1077</v>
      </c>
      <c r="C371" s="3475">
        <v>0.15</v>
      </c>
      <c r="D371" s="3475">
        <v>0.15</v>
      </c>
      <c r="E371" s="3475">
        <v>0.15</v>
      </c>
      <c r="F371" s="3475">
        <v>0.12</v>
      </c>
      <c r="G371" s="3476">
        <v>0.15</v>
      </c>
    </row>
    <row r="372" spans="1:7">
      <c r="A372" s="3485" t="s">
        <v>3165</v>
      </c>
      <c r="B372" s="3474" t="s">
        <v>3173</v>
      </c>
      <c r="C372" s="3475">
        <v>0.15</v>
      </c>
      <c r="D372" s="3475">
        <v>0.15</v>
      </c>
      <c r="E372" s="3475">
        <v>0.15</v>
      </c>
      <c r="F372" s="3475">
        <v>0.14299999999999999</v>
      </c>
      <c r="G372" s="3476">
        <v>0.15</v>
      </c>
    </row>
    <row r="373" spans="1:7">
      <c r="A373" s="3485" t="s">
        <v>3165</v>
      </c>
      <c r="B373" s="3474" t="s">
        <v>1106</v>
      </c>
      <c r="C373" s="3475">
        <v>0.15</v>
      </c>
      <c r="D373" s="3475">
        <v>0.15</v>
      </c>
      <c r="E373" s="3475">
        <v>0.15</v>
      </c>
      <c r="F373" s="3475">
        <v>0.14599999999999999</v>
      </c>
      <c r="G373" s="3476">
        <v>0.15</v>
      </c>
    </row>
    <row r="374" spans="1:7">
      <c r="A374" s="3485" t="s">
        <v>3165</v>
      </c>
      <c r="B374" s="3474" t="s">
        <v>1114</v>
      </c>
      <c r="C374" s="3475">
        <v>0.15</v>
      </c>
      <c r="D374" s="3475">
        <v>0.15</v>
      </c>
      <c r="E374" s="3475">
        <v>0.15</v>
      </c>
      <c r="F374" s="3475">
        <v>0.14399999999999999</v>
      </c>
      <c r="G374" s="3476">
        <v>0.15</v>
      </c>
    </row>
    <row r="375" spans="1:7">
      <c r="A375" s="3485" t="s">
        <v>3165</v>
      </c>
      <c r="B375" s="3474" t="s">
        <v>3174</v>
      </c>
      <c r="C375" s="3475">
        <v>0.15</v>
      </c>
      <c r="D375" s="3475">
        <v>0.15</v>
      </c>
      <c r="E375" s="3475">
        <v>0.15</v>
      </c>
      <c r="F375" s="3475">
        <v>0.13</v>
      </c>
      <c r="G375" s="3476">
        <v>0.15</v>
      </c>
    </row>
    <row r="376" spans="1:7">
      <c r="A376" s="3485" t="s">
        <v>3165</v>
      </c>
      <c r="B376" s="3474" t="s">
        <v>1126</v>
      </c>
      <c r="C376" s="3475">
        <v>0.15</v>
      </c>
      <c r="D376" s="3475">
        <v>0.15</v>
      </c>
      <c r="E376" s="3475">
        <v>0.15</v>
      </c>
      <c r="F376" s="3475">
        <v>0.14199999999999999</v>
      </c>
      <c r="G376" s="3476">
        <v>0.15</v>
      </c>
    </row>
    <row r="377" spans="1:7" ht="14.25" thickBot="1">
      <c r="A377" s="3488" t="s">
        <v>3165</v>
      </c>
      <c r="B377" s="3478" t="s">
        <v>3016</v>
      </c>
      <c r="C377" s="3479">
        <v>0.15</v>
      </c>
      <c r="D377" s="3479">
        <v>0.15</v>
      </c>
      <c r="E377" s="3479">
        <v>0.15</v>
      </c>
      <c r="F377" s="3479">
        <v>0.14000000000000001</v>
      </c>
      <c r="G377" s="3481">
        <v>0.15</v>
      </c>
    </row>
    <row r="378" spans="1:7">
      <c r="A378" s="3484" t="s">
        <v>3175</v>
      </c>
      <c r="B378" s="3470" t="s">
        <v>3176</v>
      </c>
      <c r="C378" s="3471">
        <v>0.15</v>
      </c>
      <c r="D378" s="3471">
        <v>0.15</v>
      </c>
      <c r="E378" s="3471">
        <v>0.15</v>
      </c>
      <c r="F378" s="3471">
        <v>0.107</v>
      </c>
      <c r="G378" s="3472">
        <v>0.15</v>
      </c>
    </row>
    <row r="379" spans="1:7">
      <c r="A379" s="3485" t="s">
        <v>3175</v>
      </c>
      <c r="B379" s="3474" t="s">
        <v>3177</v>
      </c>
      <c r="C379" s="3475">
        <v>0.15</v>
      </c>
      <c r="D379" s="3475">
        <v>0.15</v>
      </c>
      <c r="E379" s="3475">
        <v>0.15</v>
      </c>
      <c r="F379" s="3475">
        <v>0.115</v>
      </c>
      <c r="G379" s="3476">
        <v>0.14899999999999999</v>
      </c>
    </row>
    <row r="380" spans="1:7">
      <c r="A380" s="3485" t="s">
        <v>3178</v>
      </c>
      <c r="B380" s="3474" t="s">
        <v>3179</v>
      </c>
      <c r="C380" s="3475">
        <v>0.15</v>
      </c>
      <c r="D380" s="3475">
        <v>0.15</v>
      </c>
      <c r="E380" s="3475">
        <v>0.15</v>
      </c>
      <c r="F380" s="3475">
        <v>0.1</v>
      </c>
      <c r="G380" s="3476">
        <v>0.14799999999999999</v>
      </c>
    </row>
    <row r="381" spans="1:7">
      <c r="A381" s="3485" t="s">
        <v>3178</v>
      </c>
      <c r="B381" s="3474" t="s">
        <v>3180</v>
      </c>
      <c r="C381" s="3475">
        <v>0.15</v>
      </c>
      <c r="D381" s="3475">
        <v>0.15</v>
      </c>
      <c r="E381" s="3475">
        <v>0.15</v>
      </c>
      <c r="F381" s="3475">
        <v>0.126</v>
      </c>
      <c r="G381" s="3476">
        <v>0.15</v>
      </c>
    </row>
    <row r="382" spans="1:7">
      <c r="A382" s="3485" t="s">
        <v>3178</v>
      </c>
      <c r="B382" s="3474" t="s">
        <v>3181</v>
      </c>
      <c r="C382" s="3475">
        <v>0.15</v>
      </c>
      <c r="D382" s="3475">
        <v>0.15</v>
      </c>
      <c r="E382" s="3475">
        <v>0.15</v>
      </c>
      <c r="F382" s="3475">
        <v>0.15</v>
      </c>
      <c r="G382" s="3476">
        <v>0.15</v>
      </c>
    </row>
    <row r="383" spans="1:7">
      <c r="A383" s="3485" t="s">
        <v>3178</v>
      </c>
      <c r="B383" s="3474" t="s">
        <v>3182</v>
      </c>
      <c r="C383" s="3475">
        <v>0.15</v>
      </c>
      <c r="D383" s="3475">
        <v>0.15</v>
      </c>
      <c r="E383" s="3475">
        <v>0.15</v>
      </c>
      <c r="F383" s="3475">
        <v>0.14699999999999999</v>
      </c>
      <c r="G383" s="3476">
        <v>0.15</v>
      </c>
    </row>
    <row r="384" spans="1:7" ht="14.25" thickBot="1">
      <c r="A384" s="3495" t="s">
        <v>3178</v>
      </c>
      <c r="B384" s="3496" t="s">
        <v>3183</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5" t="s">
        <v>1858</v>
      </c>
      <c r="C1" s="3945"/>
      <c r="D1" s="3945"/>
      <c r="E1" s="3945"/>
      <c r="F1" s="3945"/>
      <c r="G1" s="3944" t="s">
        <v>1859</v>
      </c>
      <c r="H1" s="3944"/>
      <c r="I1" s="3944"/>
      <c r="J1" s="3944"/>
      <c r="K1" s="3944"/>
      <c r="L1" s="3944"/>
      <c r="N1" s="3944" t="s">
        <v>1860</v>
      </c>
      <c r="O1" s="3944"/>
      <c r="P1" s="3944"/>
      <c r="Q1" s="3944"/>
      <c r="S1" s="3944" t="s">
        <v>1861</v>
      </c>
      <c r="T1" s="3944"/>
      <c r="U1" s="3944"/>
      <c r="V1" s="3944"/>
      <c r="X1" s="3943" t="s">
        <v>1921</v>
      </c>
      <c r="Y1" s="3944"/>
      <c r="Z1" s="3944"/>
      <c r="AA1" s="3944"/>
      <c r="AB1" s="3944"/>
      <c r="AD1" s="3943" t="s">
        <v>1925</v>
      </c>
      <c r="AE1" s="3944"/>
      <c r="AF1" s="3944"/>
      <c r="AG1" s="3944"/>
      <c r="AH1" s="3944"/>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6">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6">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6">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6">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6">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6">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6">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6">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6">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6">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6">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6">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6">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400">
        <f>基准地价!G23</f>
        <v>0</v>
      </c>
      <c r="B1" s="3348" t="s">
        <v>3264</v>
      </c>
      <c r="C1" s="3349"/>
      <c r="D1" s="3349"/>
      <c r="E1" s="3349"/>
      <c r="F1" s="3349"/>
      <c r="G1" s="3349"/>
      <c r="H1" s="3349"/>
      <c r="I1" s="3349"/>
      <c r="J1" s="3350"/>
      <c r="K1" s="3349" t="s">
        <v>2789</v>
      </c>
      <c r="L1" s="3349"/>
      <c r="M1" s="3349"/>
      <c r="N1" s="3349"/>
      <c r="O1" s="3349"/>
      <c r="P1" s="3349"/>
      <c r="Q1" s="3350"/>
      <c r="R1" s="3954" t="s">
        <v>2797</v>
      </c>
      <c r="S1" s="3955"/>
      <c r="T1" s="3955"/>
      <c r="U1" s="3955"/>
      <c r="V1" s="3955"/>
      <c r="W1" s="3955"/>
      <c r="X1" s="3350"/>
      <c r="Y1" s="3954" t="s">
        <v>2808</v>
      </c>
      <c r="Z1" s="3955"/>
      <c r="AA1" s="3955"/>
      <c r="AB1" s="3955"/>
      <c r="AC1" s="3955"/>
      <c r="AD1" s="3955"/>
    </row>
    <row r="2" spans="1:44" ht="14.2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2798</v>
      </c>
      <c r="S2" s="3354" t="s">
        <v>2799</v>
      </c>
      <c r="T2" s="3354" t="s">
        <v>2800</v>
      </c>
      <c r="U2" s="3354" t="s">
        <v>2801</v>
      </c>
      <c r="V2" s="3354" t="s">
        <v>2802</v>
      </c>
      <c r="W2" s="3354" t="s">
        <v>2803</v>
      </c>
      <c r="X2" s="3355"/>
      <c r="Y2" s="3353" t="s">
        <v>2791</v>
      </c>
      <c r="Z2" s="3354" t="s">
        <v>1470</v>
      </c>
      <c r="AA2" s="3354" t="s">
        <v>2809</v>
      </c>
      <c r="AB2" s="3354" t="s">
        <v>1469</v>
      </c>
      <c r="AC2" s="3354" t="s">
        <v>2795</v>
      </c>
      <c r="AD2" s="3354" t="s">
        <v>2454</v>
      </c>
      <c r="AF2" t="s">
        <v>3312</v>
      </c>
      <c r="AG2" t="s">
        <v>2738</v>
      </c>
      <c r="AH2" t="s">
        <v>1212</v>
      </c>
      <c r="AI2" t="s">
        <v>851</v>
      </c>
      <c r="AJ2" t="s">
        <v>905</v>
      </c>
      <c r="AK2" t="s">
        <v>2736</v>
      </c>
      <c r="AM2" t="s">
        <v>3312</v>
      </c>
      <c r="AN2" t="s">
        <v>2738</v>
      </c>
      <c r="AO2" t="s">
        <v>1212</v>
      </c>
      <c r="AP2" t="s">
        <v>851</v>
      </c>
      <c r="AQ2" t="s">
        <v>905</v>
      </c>
      <c r="AR2" t="s">
        <v>2736</v>
      </c>
    </row>
    <row r="3" spans="1:44">
      <c r="A3" s="3342" t="s">
        <v>2780</v>
      </c>
      <c r="B3" s="3356"/>
      <c r="C3" s="3357"/>
      <c r="D3" s="3357">
        <f>ROUND(AVERAGEIF(D4:D24,"&lt;&gt;0"),2)</f>
        <v>0.39</v>
      </c>
      <c r="E3" s="3357">
        <f>ROUND(AVERAGEIF(E4:E24,"&lt;&gt;0"),2)</f>
        <v>0.21</v>
      </c>
      <c r="F3" s="3357">
        <f>ROUND(AVERAGEIF(F4:F24,"&lt;&gt;0"),2)</f>
        <v>-0.06</v>
      </c>
      <c r="G3" s="3357">
        <f>ROUND(AVERAGEIF(G4:G24,"&lt;&gt;0"),2)</f>
        <v>0.46</v>
      </c>
      <c r="H3" s="3357">
        <f>ROUND(AVERAGEIF(H4:H24,"&lt;&gt;0"),2)</f>
        <v>0.51</v>
      </c>
      <c r="I3" s="3357">
        <f>F3</f>
        <v>-0.06</v>
      </c>
      <c r="J3" s="3358"/>
      <c r="K3" s="3359">
        <f>ROUND(AVERAGEIF(K4:K24,"&lt;&gt;0"),4)</f>
        <v>3.8999999999999998E-3</v>
      </c>
      <c r="L3" s="3360">
        <f>ROUND(AVERAGEIF(L4:L24,"&lt;&gt;0"),4)</f>
        <v>2.0999999999999999E-3</v>
      </c>
      <c r="M3" s="3360">
        <f>ROUND(AVERAGEIF(M4:M24,"&lt;&gt;0"),4)</f>
        <v>-5.9999999999999995E-4</v>
      </c>
      <c r="N3" s="3360">
        <f>ROUND(AVERAGEIF(N4:N24,"&lt;&gt;0"),4)</f>
        <v>4.5999999999999999E-3</v>
      </c>
      <c r="O3" s="3360">
        <f>ROUND(AVERAGEIF(O4:O24,"&lt;&gt;0"),4)</f>
        <v>5.1000000000000004E-3</v>
      </c>
      <c r="P3" s="3360">
        <f>M3</f>
        <v>-5.9999999999999995E-4</v>
      </c>
      <c r="Q3" s="3358"/>
      <c r="R3" s="3375">
        <f>ROUND(SUMPRODUCT(PRODUCT(1+K4:K24)),4)</f>
        <v>1.0674999999999999</v>
      </c>
      <c r="S3" s="3376">
        <f>ROUND(SUMPRODUCT(PRODUCT(1+L4:L24)),4)</f>
        <v>1.0355000000000001</v>
      </c>
      <c r="T3" s="3376">
        <f>ROUND(SUMPRODUCT(PRODUCT(1+M4:M24)),4)</f>
        <v>0.98880000000000001</v>
      </c>
      <c r="U3" s="3376">
        <f>ROUND(SUMPRODUCT(PRODUCT(1+N4:N24)),4)</f>
        <v>1.0798000000000001</v>
      </c>
      <c r="V3" s="3376">
        <f>ROUND(SUMPRODUCT(PRODUCT(1+O4:O24)),4)</f>
        <v>1.0911</v>
      </c>
      <c r="W3" s="3375">
        <f>T3</f>
        <v>0.98880000000000001</v>
      </c>
      <c r="X3" s="3358"/>
      <c r="Y3" s="3383">
        <f>ROUND(AVERAGEIF(Y11:Y24,"&lt;&gt;0"),4)</f>
        <v>8.0999999999999996E-3</v>
      </c>
      <c r="Z3" s="3384">
        <f>ROUND(AVERAGEIF(Z11:Z24,"&lt;&gt;0"),4)</f>
        <v>3.7000000000000002E-3</v>
      </c>
      <c r="AA3" s="3385">
        <f>ROUND(AVERAGEIF(AA11:AA24,"&lt;&gt;0"),4)</f>
        <v>1.2999999999999999E-3</v>
      </c>
      <c r="AB3" s="3383">
        <f>ROUND(AVERAGEIF(AB11:AB24,"&lt;&gt;0"),4)</f>
        <v>8.8000000000000005E-3</v>
      </c>
      <c r="AC3" s="3386">
        <f>ROUND(AVERAGEIF(AC11:AC24,"&lt;&gt;0"),4)</f>
        <v>6.1999999999999998E-3</v>
      </c>
      <c r="AD3" s="3383">
        <f>AA3</f>
        <v>1.2999999999999999E-3</v>
      </c>
    </row>
    <row r="4" spans="1:44">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44">
      <c r="A5" s="3663" t="s">
        <v>3314</v>
      </c>
      <c r="B5" s="3403">
        <v>2025</v>
      </c>
      <c r="C5" s="3404">
        <v>4</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 t="shared" ref="P5:P11" si="6">M5</f>
        <v>0</v>
      </c>
      <c r="Q5" s="3365"/>
      <c r="R5" s="3381">
        <f>ROUND(IF(项目基本情况!$B$8="出让",SUMPRODUCT(PRODUCT(1+K5:$K$24)),SUMPRODUCT(PRODUCT(1+K5:$K$23))),4)</f>
        <v>1.0571999999999999</v>
      </c>
      <c r="S5" s="3381">
        <f>ROUND(IF(项目基本情况!$B$8="出让",SUMPRODUCT(PRODUCT(1+L5:$L$24)),SUMPRODUCT(PRODUCT(1+L5:$L$23))),4)</f>
        <v>1.0339</v>
      </c>
      <c r="T5" s="3381">
        <f>ROUND(IF(项目基本情况!$B$8="出让",SUMPRODUCT(PRODUCT(1+M5:$M$24)),SUMPRODUCT(PRODUCT(1+M5:$M$23))),4)</f>
        <v>0.99129999999999996</v>
      </c>
      <c r="U5" s="3381">
        <f>ROUND(IF(项目基本情况!$B$8="出让",SUMPRODUCT(PRODUCT(1+N5:$N$24)),SUMPRODUCT(PRODUCT(1+N5:$N$23))),4)</f>
        <v>1.0679000000000001</v>
      </c>
      <c r="V5" s="3381">
        <f>ROUND(IF(项目基本情况!$B$8="出让",SUMPRODUCT(PRODUCT(1+O5:$O$24)),SUMPRODUCT(PRODUCT(1+O5:$O$23))),4)</f>
        <v>1.0871999999999999</v>
      </c>
      <c r="W5" s="3381">
        <f t="shared" ref="W5:W11" si="7">T5</f>
        <v>0.99129999999999996</v>
      </c>
      <c r="X5" s="3365"/>
      <c r="Y5" s="3390">
        <f t="shared" ref="Y5" si="8">IF(D5=0,0,ROUND(AVERAGE(D5:D18)/100,4))</f>
        <v>0</v>
      </c>
      <c r="Z5" s="3390">
        <f t="shared" ref="Z5" si="9">IF(E5=0,0,ROUND(AVERAGE(E5:E18)/100,4))</f>
        <v>0</v>
      </c>
      <c r="AA5" s="3390">
        <f t="shared" ref="AA5" si="10">IF(F5=0,0,ROUND(AVERAGE(F5:F18)/100,4))</f>
        <v>0</v>
      </c>
      <c r="AB5" s="3390">
        <f t="shared" ref="AB5" si="11">IF(G5=0,0,ROUND(AVERAGE(G5:G18)/100,4))</f>
        <v>0</v>
      </c>
      <c r="AC5" s="3390">
        <f t="shared" ref="AC5" si="12">IF(H5=0,0,ROUND(AVERAGE(H5:H18)/100,4))</f>
        <v>0</v>
      </c>
      <c r="AD5" s="3390">
        <f t="shared" ref="AD5" si="13">AA5</f>
        <v>0</v>
      </c>
      <c r="AF5" s="3680">
        <f t="shared" ref="AF5" si="14">$AF$24*R5</f>
        <v>105.72</v>
      </c>
      <c r="AG5" s="3680">
        <f t="shared" ref="AG5" si="15">$AG$24*S5</f>
        <v>103.39</v>
      </c>
      <c r="AH5" s="3680">
        <f t="shared" ref="AH5" si="16">$AH$24*T5</f>
        <v>99.13</v>
      </c>
      <c r="AI5" s="3680">
        <f t="shared" ref="AI5" si="17">$AI$24*U5</f>
        <v>106.79</v>
      </c>
      <c r="AJ5" s="3680">
        <f t="shared" ref="AJ5" si="18">$AJ$24*V5</f>
        <v>108.72</v>
      </c>
      <c r="AK5" s="3680">
        <f t="shared" ref="AK5" si="19">$AK$24*W5</f>
        <v>99.13</v>
      </c>
      <c r="AM5" s="3679">
        <v>100</v>
      </c>
      <c r="AN5" s="3679">
        <v>100</v>
      </c>
      <c r="AO5" s="3679">
        <v>100</v>
      </c>
      <c r="AP5" s="3679">
        <v>100</v>
      </c>
      <c r="AQ5" s="3679">
        <v>100</v>
      </c>
      <c r="AR5" s="3679">
        <v>100</v>
      </c>
    </row>
    <row r="6" spans="1:44">
      <c r="A6" s="3663" t="s">
        <v>3313</v>
      </c>
      <c r="B6" s="3403">
        <v>2025</v>
      </c>
      <c r="C6" s="3404">
        <v>3</v>
      </c>
      <c r="D6" s="3404">
        <v>0</v>
      </c>
      <c r="E6" s="3404">
        <v>0</v>
      </c>
      <c r="F6" s="3404">
        <v>0</v>
      </c>
      <c r="G6" s="3404">
        <v>0</v>
      </c>
      <c r="H6" s="3404">
        <v>0</v>
      </c>
      <c r="I6" s="3405">
        <f t="shared" ref="I6" si="20">F6</f>
        <v>0</v>
      </c>
      <c r="J6" s="3365"/>
      <c r="K6" s="3366">
        <f t="shared" ref="K6" si="21">D6/100</f>
        <v>0</v>
      </c>
      <c r="L6" s="3367">
        <f t="shared" ref="L6" si="22">E6/100</f>
        <v>0</v>
      </c>
      <c r="M6" s="3367">
        <f t="shared" ref="M6" si="23">F6/100</f>
        <v>0</v>
      </c>
      <c r="N6" s="3367">
        <f t="shared" ref="N6" si="24">G6/100</f>
        <v>0</v>
      </c>
      <c r="O6" s="3367">
        <f t="shared" ref="O6" si="25">H6/100</f>
        <v>0</v>
      </c>
      <c r="P6" s="3367">
        <f t="shared" si="6"/>
        <v>0</v>
      </c>
      <c r="Q6" s="3365"/>
      <c r="R6" s="3381">
        <f>ROUND(IF(项目基本情况!$B$8="出让",SUMPRODUCT(PRODUCT(1+K6:$K$24)),SUMPRODUCT(PRODUCT(1+K6:$K$23))),4)</f>
        <v>1.0571999999999999</v>
      </c>
      <c r="S6" s="3381">
        <f>ROUND(IF(项目基本情况!$B$8="出让",SUMPRODUCT(PRODUCT(1+L6:$L$24)),SUMPRODUCT(PRODUCT(1+L6:$L$23))),4)</f>
        <v>1.0339</v>
      </c>
      <c r="T6" s="3381">
        <f>ROUND(IF(项目基本情况!$B$8="出让",SUMPRODUCT(PRODUCT(1+M6:$M$24)),SUMPRODUCT(PRODUCT(1+M6:$M$23))),4)</f>
        <v>0.99129999999999996</v>
      </c>
      <c r="U6" s="3381">
        <f>ROUND(IF(项目基本情况!$B$8="出让",SUMPRODUCT(PRODUCT(1+N6:$N$24)),SUMPRODUCT(PRODUCT(1+N6:$N$23))),4)</f>
        <v>1.0679000000000001</v>
      </c>
      <c r="V6" s="3381">
        <f>ROUND(IF(项目基本情况!$B$8="出让",SUMPRODUCT(PRODUCT(1+O6:$O$24)),SUMPRODUCT(PRODUCT(1+O6:$O$23))),4)</f>
        <v>1.0871999999999999</v>
      </c>
      <c r="W6" s="3381">
        <f t="shared" si="7"/>
        <v>0.99129999999999996</v>
      </c>
      <c r="X6" s="3365"/>
      <c r="Y6" s="3390">
        <f t="shared" ref="Y6" si="26">IF(D6=0,0,ROUND(AVERAGE(D6:D19)/100,4))</f>
        <v>0</v>
      </c>
      <c r="Z6" s="3390">
        <f t="shared" ref="Z6" si="27">IF(E6=0,0,ROUND(AVERAGE(E6:E19)/100,4))</f>
        <v>0</v>
      </c>
      <c r="AA6" s="3390">
        <f t="shared" ref="AA6" si="28">IF(F6=0,0,ROUND(AVERAGE(F6:F19)/100,4))</f>
        <v>0</v>
      </c>
      <c r="AB6" s="3390">
        <f t="shared" ref="AB6" si="29">IF(G6=0,0,ROUND(AVERAGE(G6:G19)/100,4))</f>
        <v>0</v>
      </c>
      <c r="AC6" s="3390">
        <f t="shared" ref="AC6" si="30">IF(H6=0,0,ROUND(AVERAGE(H6:H19)/100,4))</f>
        <v>0</v>
      </c>
      <c r="AD6" s="3390">
        <f t="shared" ref="AD6" si="31">AA6</f>
        <v>0</v>
      </c>
      <c r="AF6" s="3680">
        <f t="shared" ref="AF6" si="32">$AF$24*R6</f>
        <v>105.72</v>
      </c>
      <c r="AG6" s="3680">
        <f t="shared" ref="AG6" si="33">$AG$24*S6</f>
        <v>103.39</v>
      </c>
      <c r="AH6" s="3680">
        <f t="shared" ref="AH6" si="34">$AH$24*T6</f>
        <v>99.13</v>
      </c>
      <c r="AI6" s="3680">
        <f t="shared" ref="AI6" si="35">$AI$24*U6</f>
        <v>106.79</v>
      </c>
      <c r="AJ6" s="3680">
        <f t="shared" ref="AJ6" si="36">$AJ$24*V6</f>
        <v>108.72</v>
      </c>
      <c r="AK6" s="3680">
        <f t="shared" ref="AK6" si="37">$AK$24*W6</f>
        <v>99.13</v>
      </c>
      <c r="AM6" s="3680">
        <f>AM5/(1+D5/100)</f>
        <v>100</v>
      </c>
      <c r="AN6" s="3680">
        <f t="shared" ref="AN6:AR6" si="38">AN5/(1+E5/100)</f>
        <v>100</v>
      </c>
      <c r="AO6" s="3680">
        <f t="shared" si="38"/>
        <v>100</v>
      </c>
      <c r="AP6" s="3680">
        <f t="shared" si="38"/>
        <v>100</v>
      </c>
      <c r="AQ6" s="3680">
        <f t="shared" si="38"/>
        <v>100</v>
      </c>
      <c r="AR6" s="3680">
        <f t="shared" si="38"/>
        <v>100</v>
      </c>
    </row>
    <row r="7" spans="1:44">
      <c r="A7" s="3345" t="s">
        <v>3315</v>
      </c>
      <c r="B7" s="3406">
        <v>2025</v>
      </c>
      <c r="C7" s="3407">
        <v>2</v>
      </c>
      <c r="D7" s="3407">
        <v>0</v>
      </c>
      <c r="E7" s="3407">
        <v>0</v>
      </c>
      <c r="F7" s="3407">
        <v>0</v>
      </c>
      <c r="G7" s="3407">
        <v>0</v>
      </c>
      <c r="H7" s="3408">
        <v>0</v>
      </c>
      <c r="I7" s="3409">
        <f t="shared" ref="I7" si="39">F7</f>
        <v>0</v>
      </c>
      <c r="J7" s="3368"/>
      <c r="K7" s="3369">
        <f t="shared" ref="K7" si="40">D7/100</f>
        <v>0</v>
      </c>
      <c r="L7" s="3370">
        <f t="shared" ref="L7" si="41">E7/100</f>
        <v>0</v>
      </c>
      <c r="M7" s="3370">
        <f t="shared" ref="M7" si="42">F7/100</f>
        <v>0</v>
      </c>
      <c r="N7" s="3370">
        <f t="shared" ref="N7" si="43">G7/100</f>
        <v>0</v>
      </c>
      <c r="O7" s="3370">
        <f t="shared" ref="O7" si="44">H7/100</f>
        <v>0</v>
      </c>
      <c r="P7" s="3370">
        <f t="shared" si="6"/>
        <v>0</v>
      </c>
      <c r="Q7" s="3368"/>
      <c r="R7" s="3368">
        <f>ROUND(IF(项目基本情况!$B$8="出让",SUMPRODUCT(PRODUCT(1+K7:$K$24)),SUMPRODUCT(PRODUCT(1+K7:$K$23))),4)</f>
        <v>1.0571999999999999</v>
      </c>
      <c r="S7" s="3368">
        <f>ROUND(IF(项目基本情况!$B$8="出让",SUMPRODUCT(PRODUCT(1+L7:$L$24)),SUMPRODUCT(PRODUCT(1+L7:$L$23))),4)</f>
        <v>1.0339</v>
      </c>
      <c r="T7" s="3368">
        <f>ROUND(IF(项目基本情况!$B$8="出让",SUMPRODUCT(PRODUCT(1+M7:$M$24)),SUMPRODUCT(PRODUCT(1+M7:$M$23))),4)</f>
        <v>0.99129999999999996</v>
      </c>
      <c r="U7" s="3368">
        <f>ROUND(IF(项目基本情况!$B$8="出让",SUMPRODUCT(PRODUCT(1+N7:$N$24)),SUMPRODUCT(PRODUCT(1+N7:$N$23))),4)</f>
        <v>1.0679000000000001</v>
      </c>
      <c r="V7" s="3368">
        <f>ROUND(IF(项目基本情况!$B$8="出让",SUMPRODUCT(PRODUCT(1+O7:$O$24)),SUMPRODUCT(PRODUCT(1+O7:$O$23))),4)</f>
        <v>1.0871999999999999</v>
      </c>
      <c r="W7" s="3368">
        <f t="shared" si="7"/>
        <v>0.99129999999999996</v>
      </c>
      <c r="X7" s="3365"/>
      <c r="Y7" s="3390">
        <f t="shared" ref="Y7" si="45">IF(D7=0,0,ROUND(AVERAGE(D7:D20)/100,4))</f>
        <v>0</v>
      </c>
      <c r="Z7" s="3390">
        <f t="shared" ref="Z7" si="46">IF(E7=0,0,ROUND(AVERAGE(E7:E20)/100,4))</f>
        <v>0</v>
      </c>
      <c r="AA7" s="3390">
        <f t="shared" ref="AA7" si="47">IF(F7=0,0,ROUND(AVERAGE(F7:F20)/100,4))</f>
        <v>0</v>
      </c>
      <c r="AB7" s="3390">
        <f t="shared" ref="AB7" si="48">IF(G7=0,0,ROUND(AVERAGE(G7:G20)/100,4))</f>
        <v>0</v>
      </c>
      <c r="AC7" s="3390">
        <f t="shared" ref="AC7" si="49">IF(H7=0,0,ROUND(AVERAGE(H7:H20)/100,4))</f>
        <v>0</v>
      </c>
      <c r="AD7" s="3390">
        <f t="shared" ref="AD7" si="50">AA7</f>
        <v>0</v>
      </c>
      <c r="AF7" s="3680">
        <f t="shared" ref="AF7" si="51">$AF$24*R7</f>
        <v>105.72</v>
      </c>
      <c r="AG7" s="3680">
        <f t="shared" ref="AG7" si="52">$AG$24*S7</f>
        <v>103.39</v>
      </c>
      <c r="AH7" s="3680">
        <f t="shared" ref="AH7" si="53">$AH$24*T7</f>
        <v>99.13</v>
      </c>
      <c r="AI7" s="3680">
        <f t="shared" ref="AI7" si="54">$AI$24*U7</f>
        <v>106.79</v>
      </c>
      <c r="AJ7" s="3680">
        <f t="shared" ref="AJ7" si="55">$AJ$24*V7</f>
        <v>108.72</v>
      </c>
      <c r="AK7" s="3680">
        <f t="shared" ref="AK7" si="56">$AK$24*W7</f>
        <v>99.13</v>
      </c>
      <c r="AM7" s="3680">
        <f t="shared" ref="AM7:AM24" si="57">AM6/(1+D6/100)</f>
        <v>100</v>
      </c>
      <c r="AN7" s="3680">
        <f t="shared" ref="AN7:AN24" si="58">AN6/(1+E6/100)</f>
        <v>100</v>
      </c>
      <c r="AO7" s="3680">
        <f t="shared" ref="AO7:AO24" si="59">AO6/(1+F6/100)</f>
        <v>100</v>
      </c>
      <c r="AP7" s="3680">
        <f t="shared" ref="AP7:AP24" si="60">AP6/(1+G6/100)</f>
        <v>100</v>
      </c>
      <c r="AQ7" s="3680">
        <f t="shared" ref="AQ7:AQ24" si="61">AQ6/(1+H6/100)</f>
        <v>100</v>
      </c>
      <c r="AR7" s="3680">
        <f t="shared" ref="AR7:AR24" si="62">AR6/(1+I6/100)</f>
        <v>100</v>
      </c>
    </row>
    <row r="8" spans="1:44">
      <c r="A8" s="3663" t="s">
        <v>3261</v>
      </c>
      <c r="B8" s="3403">
        <v>2025</v>
      </c>
      <c r="C8" s="3404">
        <v>1</v>
      </c>
      <c r="D8" s="3404">
        <v>0.56999999999999995</v>
      </c>
      <c r="E8" s="3404">
        <v>-0.56999999999999995</v>
      </c>
      <c r="F8" s="3404">
        <v>-0.9</v>
      </c>
      <c r="G8" s="3404">
        <v>1.1200000000000001</v>
      </c>
      <c r="H8" s="3404">
        <v>0.42</v>
      </c>
      <c r="I8" s="3405">
        <f t="shared" ref="I8" si="63">F8</f>
        <v>-0.9</v>
      </c>
      <c r="J8" s="3365"/>
      <c r="K8" s="3366">
        <f t="shared" ref="K8" si="64">D8/100</f>
        <v>5.6999999999999993E-3</v>
      </c>
      <c r="L8" s="3367">
        <f t="shared" ref="L8" si="65">E8/100</f>
        <v>-5.6999999999999993E-3</v>
      </c>
      <c r="M8" s="3367">
        <f t="shared" ref="M8" si="66">F8/100</f>
        <v>-9.0000000000000011E-3</v>
      </c>
      <c r="N8" s="3367">
        <f t="shared" ref="N8" si="67">G8/100</f>
        <v>1.1200000000000002E-2</v>
      </c>
      <c r="O8" s="3367">
        <f t="shared" ref="O8" si="68">H8/100</f>
        <v>4.1999999999999997E-3</v>
      </c>
      <c r="P8" s="3367">
        <f t="shared" si="6"/>
        <v>-9.0000000000000011E-3</v>
      </c>
      <c r="Q8" s="3365"/>
      <c r="R8" s="3381">
        <f>ROUND(IF(项目基本情况!$B$8="出让",SUMPRODUCT(PRODUCT(1+K8:$K$24)),SUMPRODUCT(PRODUCT(1+K8:$K$23))),4)</f>
        <v>1.0571999999999999</v>
      </c>
      <c r="S8" s="3381">
        <f>ROUND(IF(项目基本情况!$B$8="出让",SUMPRODUCT(PRODUCT(1+L8:$L$24)),SUMPRODUCT(PRODUCT(1+L8:$L$23))),4)</f>
        <v>1.0339</v>
      </c>
      <c r="T8" s="3381">
        <f>ROUND(IF(项目基本情况!$B$8="出让",SUMPRODUCT(PRODUCT(1+M8:$M$24)),SUMPRODUCT(PRODUCT(1+M8:$M$23))),4)</f>
        <v>0.99129999999999996</v>
      </c>
      <c r="U8" s="3381">
        <f>ROUND(IF(项目基本情况!$B$8="出让",SUMPRODUCT(PRODUCT(1+N8:$N$24)),SUMPRODUCT(PRODUCT(1+N8:$N$23))),4)</f>
        <v>1.0679000000000001</v>
      </c>
      <c r="V8" s="3381">
        <f>ROUND(IF(项目基本情况!$B$8="出让",SUMPRODUCT(PRODUCT(1+O8:$O$24)),SUMPRODUCT(PRODUCT(1+O8:$O$23))),4)</f>
        <v>1.0871999999999999</v>
      </c>
      <c r="W8" s="3381">
        <f t="shared" si="7"/>
        <v>0.99129999999999996</v>
      </c>
      <c r="X8" s="3365"/>
      <c r="Y8" s="3390">
        <f t="shared" ref="Y8" si="69">IF(D8=0,0,ROUND(AVERAGE(D8:D21)/100,4))</f>
        <v>3.0000000000000001E-3</v>
      </c>
      <c r="Z8" s="3390">
        <f t="shared" ref="Z8" si="70">IF(E8=0,0,ROUND(AVERAGE(E8:E21)/100,4))</f>
        <v>1.6000000000000001E-3</v>
      </c>
      <c r="AA8" s="3390">
        <f t="shared" ref="AA8" si="71">IF(F8=0,0,ROUND(AVERAGE(F8:F21)/100,4))</f>
        <v>-1.1000000000000001E-3</v>
      </c>
      <c r="AB8" s="3390">
        <f t="shared" ref="AB8" si="72">IF(G8=0,0,ROUND(AVERAGE(G8:G21)/100,4))</f>
        <v>3.7000000000000002E-3</v>
      </c>
      <c r="AC8" s="3390">
        <f t="shared" ref="AC8" si="73">IF(H8=0,0,ROUND(AVERAGE(H8:H21)/100,4))</f>
        <v>4.8999999999999998E-3</v>
      </c>
      <c r="AD8" s="3390">
        <f t="shared" ref="AD8" si="74">AA8</f>
        <v>-1.1000000000000001E-3</v>
      </c>
      <c r="AF8" s="3680">
        <f t="shared" ref="AF8:AF22" si="75">$AF$24*R8</f>
        <v>105.72</v>
      </c>
      <c r="AG8" s="3680">
        <f t="shared" ref="AG8:AG22" si="76">$AG$24*S8</f>
        <v>103.39</v>
      </c>
      <c r="AH8" s="3680">
        <f t="shared" ref="AH8:AH22" si="77">$AH$24*T8</f>
        <v>99.13</v>
      </c>
      <c r="AI8" s="3680">
        <f t="shared" ref="AI8:AI22" si="78">$AI$24*U8</f>
        <v>106.79</v>
      </c>
      <c r="AJ8" s="3680">
        <f t="shared" ref="AJ8:AJ22" si="79">$AJ$24*V8</f>
        <v>108.72</v>
      </c>
      <c r="AK8" s="3680">
        <f t="shared" ref="AK8:AK22" si="80">$AK$24*W8</f>
        <v>99.13</v>
      </c>
      <c r="AM8" s="3680">
        <f t="shared" si="57"/>
        <v>100</v>
      </c>
      <c r="AN8" s="3680">
        <f t="shared" si="58"/>
        <v>100</v>
      </c>
      <c r="AO8" s="3680">
        <f t="shared" si="59"/>
        <v>100</v>
      </c>
      <c r="AP8" s="3680">
        <f t="shared" si="60"/>
        <v>100</v>
      </c>
      <c r="AQ8" s="3680">
        <f t="shared" si="61"/>
        <v>100</v>
      </c>
      <c r="AR8" s="3680">
        <f t="shared" si="62"/>
        <v>100</v>
      </c>
    </row>
    <row r="9" spans="1:44">
      <c r="A9" s="3663" t="s">
        <v>3316</v>
      </c>
      <c r="B9" s="3403">
        <v>2024</v>
      </c>
      <c r="C9" s="3404">
        <v>4</v>
      </c>
      <c r="D9" s="3404">
        <v>-1.02</v>
      </c>
      <c r="E9" s="3404">
        <v>-0.48</v>
      </c>
      <c r="F9" s="3404">
        <v>-0.75</v>
      </c>
      <c r="G9" s="3404">
        <v>-1.05</v>
      </c>
      <c r="H9" s="3404">
        <v>0.08</v>
      </c>
      <c r="I9" s="3405">
        <f t="shared" ref="I9" si="81">F9</f>
        <v>-0.75</v>
      </c>
      <c r="J9" s="3365"/>
      <c r="K9" s="3366">
        <f t="shared" ref="K9" si="82">D9/100</f>
        <v>-1.0200000000000001E-2</v>
      </c>
      <c r="L9" s="3367">
        <f t="shared" ref="L9" si="83">E9/100</f>
        <v>-4.7999999999999996E-3</v>
      </c>
      <c r="M9" s="3367">
        <f t="shared" ref="M9" si="84">F9/100</f>
        <v>-7.4999999999999997E-3</v>
      </c>
      <c r="N9" s="3367">
        <f t="shared" ref="N9" si="85">G9/100</f>
        <v>-1.0500000000000001E-2</v>
      </c>
      <c r="O9" s="3367">
        <f t="shared" ref="O9" si="86">H9/100</f>
        <v>8.0000000000000004E-4</v>
      </c>
      <c r="P9" s="3367">
        <f t="shared" si="6"/>
        <v>-7.4999999999999997E-3</v>
      </c>
      <c r="Q9" s="3365"/>
      <c r="R9" s="3381">
        <f>ROUND(IF(项目基本情况!$B$8="出让",SUMPRODUCT(PRODUCT(1+K9:$K$24)),SUMPRODUCT(PRODUCT(1+K9:$K$23))),4)</f>
        <v>1.0511999999999999</v>
      </c>
      <c r="S9" s="3381">
        <f>ROUND(IF(项目基本情况!$B$8="出让",SUMPRODUCT(PRODUCT(1+L9:$L$24)),SUMPRODUCT(PRODUCT(1+L9:$L$23))),4)</f>
        <v>1.0398000000000001</v>
      </c>
      <c r="T9" s="3381">
        <f>ROUND(IF(项目基本情况!$B$8="出让",SUMPRODUCT(PRODUCT(1+M9:$M$24)),SUMPRODUCT(PRODUCT(1+M9:$M$23))),4)</f>
        <v>1.0003</v>
      </c>
      <c r="U9" s="3381">
        <f>ROUND(IF(项目基本情况!$B$8="出让",SUMPRODUCT(PRODUCT(1+N9:$N$24)),SUMPRODUCT(PRODUCT(1+N9:$N$23))),4)</f>
        <v>1.0561</v>
      </c>
      <c r="V9" s="3381">
        <f>ROUND(IF(项目基本情况!$B$8="出让",SUMPRODUCT(PRODUCT(1+O9:$O$24)),SUMPRODUCT(PRODUCT(1+O9:$O$23))),4)</f>
        <v>1.0827</v>
      </c>
      <c r="W9" s="3381">
        <f t="shared" si="7"/>
        <v>1.0003</v>
      </c>
      <c r="X9" s="3368"/>
      <c r="Y9" s="3370">
        <f t="shared" ref="Y9" si="87">IF(D9=0,0,ROUND(AVERAGE(D9:D22)/100,4))</f>
        <v>2.8999999999999998E-3</v>
      </c>
      <c r="Z9" s="3370">
        <f t="shared" ref="Z9" si="88">IF(E9=0,0,ROUND(AVERAGE(E9:E22)/100,4))</f>
        <v>2.3E-3</v>
      </c>
      <c r="AA9" s="3370">
        <f t="shared" ref="AA9" si="89">IF(F9=0,0,ROUND(AVERAGE(F9:F22)/100,4))</f>
        <v>-2.9999999999999997E-4</v>
      </c>
      <c r="AB9" s="3370">
        <f t="shared" ref="AB9" si="90">IF(G9=0,0,ROUND(AVERAGE(G9:G22)/100,4))</f>
        <v>3.3E-3</v>
      </c>
      <c r="AC9" s="3370">
        <f t="shared" ref="AC9" si="91">IF(H9=0,0,ROUND(AVERAGE(H9:H22)/100,4))</f>
        <v>5.0000000000000001E-3</v>
      </c>
      <c r="AD9" s="3370">
        <f t="shared" ref="AD9" si="92">AA9</f>
        <v>-2.9999999999999997E-4</v>
      </c>
      <c r="AF9" s="3680">
        <f t="shared" si="75"/>
        <v>105.11999999999999</v>
      </c>
      <c r="AG9" s="3680">
        <f t="shared" si="76"/>
        <v>103.98</v>
      </c>
      <c r="AH9" s="3680">
        <f t="shared" si="77"/>
        <v>100.03</v>
      </c>
      <c r="AI9" s="3680">
        <f t="shared" si="78"/>
        <v>105.61</v>
      </c>
      <c r="AJ9" s="3680">
        <f t="shared" si="79"/>
        <v>108.27</v>
      </c>
      <c r="AK9" s="3680">
        <f t="shared" si="80"/>
        <v>100.03</v>
      </c>
      <c r="AM9" s="3680">
        <f t="shared" si="57"/>
        <v>99.433230585661718</v>
      </c>
      <c r="AN9" s="3680">
        <f t="shared" si="58"/>
        <v>100.57326762546515</v>
      </c>
      <c r="AO9" s="3680">
        <f t="shared" si="59"/>
        <v>100.90817356205852</v>
      </c>
      <c r="AP9" s="3680">
        <f t="shared" si="60"/>
        <v>98.892405063291136</v>
      </c>
      <c r="AQ9" s="3680">
        <f t="shared" si="61"/>
        <v>99.581756622186816</v>
      </c>
      <c r="AR9" s="3680">
        <f t="shared" si="62"/>
        <v>100.90817356205852</v>
      </c>
    </row>
    <row r="10" spans="1:44">
      <c r="A10" s="3663" t="s">
        <v>3256</v>
      </c>
      <c r="B10" s="3403">
        <v>2024</v>
      </c>
      <c r="C10" s="3404">
        <v>3</v>
      </c>
      <c r="D10" s="3404">
        <v>-1.19</v>
      </c>
      <c r="E10" s="3404">
        <v>-0.47</v>
      </c>
      <c r="F10" s="3404">
        <v>-0.28999999999999998</v>
      </c>
      <c r="G10" s="3404">
        <v>-0.74</v>
      </c>
      <c r="H10" s="3404">
        <v>-0.21</v>
      </c>
      <c r="I10" s="3405">
        <f t="shared" ref="I10" si="93">F10</f>
        <v>-0.28999999999999998</v>
      </c>
      <c r="J10" s="3365"/>
      <c r="K10" s="3366">
        <f t="shared" ref="K10" si="94">D10/100</f>
        <v>-1.1899999999999999E-2</v>
      </c>
      <c r="L10" s="3367">
        <f t="shared" ref="L10" si="95">E10/100</f>
        <v>-4.6999999999999993E-3</v>
      </c>
      <c r="M10" s="3367">
        <f t="shared" ref="M10" si="96">F10/100</f>
        <v>-2.8999999999999998E-3</v>
      </c>
      <c r="N10" s="3367">
        <f t="shared" ref="N10" si="97">G10/100</f>
        <v>-7.4000000000000003E-3</v>
      </c>
      <c r="O10" s="3367">
        <f t="shared" ref="O10" si="98">H10/100</f>
        <v>-2.0999999999999999E-3</v>
      </c>
      <c r="P10" s="3367">
        <f t="shared" si="6"/>
        <v>-2.8999999999999998E-3</v>
      </c>
      <c r="Q10" s="3365"/>
      <c r="R10" s="3381">
        <f>ROUND(IF(项目基本情况!$B$8="出让",SUMPRODUCT(PRODUCT(1+K10:$K$24)),SUMPRODUCT(PRODUCT(1+K10:$K$23))),4)</f>
        <v>1.0620000000000001</v>
      </c>
      <c r="S10" s="3381">
        <f>ROUND(IF(项目基本情况!$B$8="出让",SUMPRODUCT(PRODUCT(1+L10:$L$24)),SUMPRODUCT(PRODUCT(1+L10:$L$23))),4)</f>
        <v>1.0448</v>
      </c>
      <c r="T10" s="3381">
        <f>ROUND(IF(项目基本情况!$B$8="出让",SUMPRODUCT(PRODUCT(1+M10:$M$24)),SUMPRODUCT(PRODUCT(1+M10:$M$23))),4)</f>
        <v>1.0079</v>
      </c>
      <c r="U10" s="3381">
        <f>ROUND(IF(项目基本情况!$B$8="出让",SUMPRODUCT(PRODUCT(1+N10:$N$24)),SUMPRODUCT(PRODUCT(1+N10:$N$23))),4)</f>
        <v>1.0672999999999999</v>
      </c>
      <c r="V10" s="3381">
        <f>ROUND(IF(项目基本情况!$B$8="出让",SUMPRODUCT(PRODUCT(1+O10:$O$24)),SUMPRODUCT(PRODUCT(1+O10:$O$23))),4)</f>
        <v>1.0818000000000001</v>
      </c>
      <c r="W10" s="3381">
        <f t="shared" si="7"/>
        <v>1.0079</v>
      </c>
      <c r="X10" s="3365"/>
      <c r="Y10" s="3390">
        <f t="shared" ref="Y10:AC11" si="99">IF(D10=0,0,ROUND(AVERAGE(D10:D23)/100,4))</f>
        <v>4.3E-3</v>
      </c>
      <c r="Z10" s="3390">
        <f t="shared" si="99"/>
        <v>3.0999999999999999E-3</v>
      </c>
      <c r="AA10" s="3390">
        <f t="shared" si="99"/>
        <v>5.9999999999999995E-4</v>
      </c>
      <c r="AB10" s="3390">
        <f t="shared" si="99"/>
        <v>4.7000000000000002E-3</v>
      </c>
      <c r="AC10" s="3390">
        <f t="shared" si="99"/>
        <v>5.5999999999999999E-3</v>
      </c>
      <c r="AD10" s="3390">
        <f t="shared" ref="AD10" si="100">AA10</f>
        <v>5.9999999999999995E-4</v>
      </c>
      <c r="AF10" s="3680">
        <f t="shared" si="75"/>
        <v>106.2</v>
      </c>
      <c r="AG10" s="3680">
        <f t="shared" si="76"/>
        <v>104.47999999999999</v>
      </c>
      <c r="AH10" s="3680">
        <f t="shared" si="77"/>
        <v>100.79</v>
      </c>
      <c r="AI10" s="3680">
        <f t="shared" si="78"/>
        <v>106.72999999999999</v>
      </c>
      <c r="AJ10" s="3680">
        <f t="shared" si="79"/>
        <v>108.18</v>
      </c>
      <c r="AK10" s="3680">
        <f t="shared" si="80"/>
        <v>100.79</v>
      </c>
      <c r="AM10" s="3680">
        <f t="shared" si="57"/>
        <v>100.45790117767399</v>
      </c>
      <c r="AN10" s="3680">
        <f t="shared" si="58"/>
        <v>101.05834769439826</v>
      </c>
      <c r="AO10" s="3680">
        <f t="shared" si="59"/>
        <v>101.670703840865</v>
      </c>
      <c r="AP10" s="3680">
        <f t="shared" si="60"/>
        <v>99.941793899233076</v>
      </c>
      <c r="AQ10" s="3680">
        <f t="shared" si="61"/>
        <v>99.502154898268216</v>
      </c>
      <c r="AR10" s="3680">
        <f t="shared" si="62"/>
        <v>101.670703840865</v>
      </c>
    </row>
    <row r="11" spans="1:44">
      <c r="A11" s="3344" t="s">
        <v>3262</v>
      </c>
      <c r="B11" s="3403">
        <v>2024</v>
      </c>
      <c r="C11" s="3404">
        <v>2</v>
      </c>
      <c r="D11" s="3404">
        <v>-0.59</v>
      </c>
      <c r="E11" s="3404">
        <v>-0.21</v>
      </c>
      <c r="F11" s="3404">
        <v>-1.38</v>
      </c>
      <c r="G11" s="3404">
        <v>-1.24</v>
      </c>
      <c r="H11" s="3410">
        <v>0.34</v>
      </c>
      <c r="I11" s="3405">
        <f t="shared" ref="I11:I24" si="101">F11</f>
        <v>-1.38</v>
      </c>
      <c r="J11" s="3365"/>
      <c r="K11" s="3366">
        <f t="shared" ref="K11:O24" si="102">D11/100</f>
        <v>-5.8999999999999999E-3</v>
      </c>
      <c r="L11" s="3367">
        <f t="shared" si="102"/>
        <v>-2.0999999999999999E-3</v>
      </c>
      <c r="M11" s="3367">
        <f t="shared" si="102"/>
        <v>-1.38E-2</v>
      </c>
      <c r="N11" s="3367">
        <f t="shared" si="102"/>
        <v>-1.24E-2</v>
      </c>
      <c r="O11" s="3367">
        <f t="shared" si="102"/>
        <v>3.4000000000000002E-3</v>
      </c>
      <c r="P11" s="3367">
        <f t="shared" si="6"/>
        <v>-1.38E-2</v>
      </c>
      <c r="Q11" s="3365"/>
      <c r="R11" s="3381">
        <f>ROUND(IF(项目基本情况!$B$8="出让",SUMPRODUCT(PRODUCT(1+K11:$K$24)),SUMPRODUCT(PRODUCT(1+K11:$K$23))),4)</f>
        <v>1.0748</v>
      </c>
      <c r="S11" s="3381">
        <f>ROUND(IF(项目基本情况!$B$8="出让",SUMPRODUCT(PRODUCT(1+L11:$L$24)),SUMPRODUCT(PRODUCT(1+L11:$L$23))),4)</f>
        <v>1.0498000000000001</v>
      </c>
      <c r="T11" s="3381">
        <f>ROUND(IF(项目基本情况!$B$8="出让",SUMPRODUCT(PRODUCT(1+M11:$M$24)),SUMPRODUCT(PRODUCT(1+M11:$M$23))),4)</f>
        <v>1.0107999999999999</v>
      </c>
      <c r="U11" s="3381">
        <f>ROUND(IF(项目基本情况!$B$8="出让",SUMPRODUCT(PRODUCT(1+N11:$N$24)),SUMPRODUCT(PRODUCT(1+N11:$N$23))),4)</f>
        <v>1.0752999999999999</v>
      </c>
      <c r="V11" s="3381">
        <f>ROUND(IF(项目基本情况!$B$8="出让",SUMPRODUCT(PRODUCT(1+O11:$O$24)),SUMPRODUCT(PRODUCT(1+O11:$O$23))),4)</f>
        <v>1.0841000000000001</v>
      </c>
      <c r="W11" s="3381">
        <f t="shared" si="7"/>
        <v>1.0107999999999999</v>
      </c>
      <c r="X11" s="3365"/>
      <c r="Y11" s="3390">
        <f t="shared" si="99"/>
        <v>5.8999999999999999E-3</v>
      </c>
      <c r="Z11" s="3390">
        <f t="shared" si="99"/>
        <v>3.5999999999999999E-3</v>
      </c>
      <c r="AA11" s="3390">
        <f t="shared" si="99"/>
        <v>5.9999999999999995E-4</v>
      </c>
      <c r="AB11" s="3390">
        <f t="shared" si="99"/>
        <v>6.0000000000000001E-3</v>
      </c>
      <c r="AC11" s="3390">
        <f t="shared" si="99"/>
        <v>6.0000000000000001E-3</v>
      </c>
      <c r="AD11" s="3390">
        <f t="shared" ref="AD11:AD23" si="103">AA11</f>
        <v>5.9999999999999995E-4</v>
      </c>
      <c r="AF11" s="3680">
        <f t="shared" si="75"/>
        <v>107.48</v>
      </c>
      <c r="AG11" s="3680">
        <f t="shared" si="76"/>
        <v>104.98</v>
      </c>
      <c r="AH11" s="3680">
        <f t="shared" si="77"/>
        <v>101.08</v>
      </c>
      <c r="AI11" s="3680">
        <f t="shared" si="78"/>
        <v>107.52999999999999</v>
      </c>
      <c r="AJ11" s="3680">
        <f t="shared" si="79"/>
        <v>108.41000000000001</v>
      </c>
      <c r="AK11" s="3680">
        <f t="shared" si="80"/>
        <v>101.08</v>
      </c>
      <c r="AM11" s="3680">
        <f t="shared" si="57"/>
        <v>101.66774737139357</v>
      </c>
      <c r="AN11" s="3680">
        <f t="shared" si="58"/>
        <v>101.53556484918946</v>
      </c>
      <c r="AO11" s="3680">
        <f t="shared" si="59"/>
        <v>101.9664064194815</v>
      </c>
      <c r="AP11" s="3680">
        <f t="shared" si="60"/>
        <v>100.68687678746028</v>
      </c>
      <c r="AQ11" s="3680">
        <f t="shared" si="61"/>
        <v>99.711549151486338</v>
      </c>
      <c r="AR11" s="3680">
        <f t="shared" si="62"/>
        <v>101.9664064194815</v>
      </c>
    </row>
    <row r="12" spans="1:44">
      <c r="A12" s="3344" t="s">
        <v>3259</v>
      </c>
      <c r="B12" s="3403">
        <v>2024</v>
      </c>
      <c r="C12" s="3404">
        <v>1</v>
      </c>
      <c r="D12" s="3404">
        <v>0.08</v>
      </c>
      <c r="E12" s="3404">
        <v>0.46</v>
      </c>
      <c r="F12" s="3404">
        <v>-0.16</v>
      </c>
      <c r="G12" s="3404">
        <v>0.26</v>
      </c>
      <c r="H12" s="3410">
        <v>0.59</v>
      </c>
      <c r="I12" s="3405">
        <f t="shared" si="101"/>
        <v>-0.16</v>
      </c>
      <c r="J12" s="3365"/>
      <c r="K12" s="3366">
        <f t="shared" ref="K12" si="104">D12/100</f>
        <v>8.0000000000000004E-4</v>
      </c>
      <c r="L12" s="3367">
        <f t="shared" ref="L12" si="105">E12/100</f>
        <v>4.5999999999999999E-3</v>
      </c>
      <c r="M12" s="3367">
        <f t="shared" ref="M12" si="106">F12/100</f>
        <v>-1.6000000000000001E-3</v>
      </c>
      <c r="N12" s="3367">
        <f t="shared" ref="N12" si="107">G12/100</f>
        <v>2.5999999999999999E-3</v>
      </c>
      <c r="O12" s="3367">
        <f t="shared" ref="O12" si="108">H12/100</f>
        <v>5.8999999999999999E-3</v>
      </c>
      <c r="P12" s="3367">
        <f t="shared" ref="P12" si="109">M12</f>
        <v>-1.6000000000000001E-3</v>
      </c>
      <c r="Q12" s="3365"/>
      <c r="R12" s="3381">
        <f>ROUND(IF(项目基本情况!$B$8="出让",SUMPRODUCT(PRODUCT(1+K12:$K$24)),SUMPRODUCT(PRODUCT(1+K12:$K$23))),4)</f>
        <v>1.0811999999999999</v>
      </c>
      <c r="S12" s="3381">
        <f>ROUND(IF(项目基本情况!$B$8="出让",SUMPRODUCT(PRODUCT(1+L12:$L$24)),SUMPRODUCT(PRODUCT(1+L12:$L$23))),4)</f>
        <v>1.052</v>
      </c>
      <c r="T12" s="3381">
        <f>ROUND(IF(项目基本情况!$B$8="出让",SUMPRODUCT(PRODUCT(1+M12:$M$24)),SUMPRODUCT(PRODUCT(1+M12:$M$23))),4)</f>
        <v>1.0249999999999999</v>
      </c>
      <c r="U12" s="3381">
        <f>ROUND(IF(项目基本情况!$B$8="出让",SUMPRODUCT(PRODUCT(1+N12:$N$24)),SUMPRODUCT(PRODUCT(1+N12:$N$23))),4)</f>
        <v>1.0888</v>
      </c>
      <c r="V12" s="3381">
        <f>ROUND(IF(项目基本情况!$B$8="出让",SUMPRODUCT(PRODUCT(1+O12:$O$24)),SUMPRODUCT(PRODUCT(1+O12:$O$23))),4)</f>
        <v>1.0804</v>
      </c>
      <c r="W12" s="3381">
        <f t="shared" ref="W12" si="110">T12</f>
        <v>1.0249999999999999</v>
      </c>
      <c r="X12" s="3365"/>
      <c r="Y12" s="3390">
        <f t="shared" ref="Y12" si="111">IF(D12=0,0,ROUND(AVERAGE(D12:D23)/100,4))</f>
        <v>6.4999999999999997E-3</v>
      </c>
      <c r="Z12" s="3390">
        <f t="shared" ref="Z12" si="112">IF(E12=0,0,ROUND(AVERAGE(E12:E23)/100,4))</f>
        <v>4.1999999999999997E-3</v>
      </c>
      <c r="AA12" s="3390">
        <f t="shared" ref="AA12" si="113">IF(F12=0,0,ROUND(AVERAGE(F12:F23)/100,4))</f>
        <v>2.0999999999999999E-3</v>
      </c>
      <c r="AB12" s="3390">
        <f t="shared" ref="AB12" si="114">IF(G12=0,0,ROUND(AVERAGE(G12:G23)/100,4))</f>
        <v>7.1000000000000004E-3</v>
      </c>
      <c r="AC12" s="3390">
        <f t="shared" ref="AC12" si="115">IF(H12=0,0,ROUND(AVERAGE(H12:H23)/100,4))</f>
        <v>6.4999999999999997E-3</v>
      </c>
      <c r="AD12" s="3390">
        <f t="shared" ref="AD12" si="116">AA12</f>
        <v>2.0999999999999999E-3</v>
      </c>
      <c r="AF12" s="3680">
        <f t="shared" si="75"/>
        <v>108.11999999999999</v>
      </c>
      <c r="AG12" s="3680">
        <f t="shared" si="76"/>
        <v>105.2</v>
      </c>
      <c r="AH12" s="3680">
        <f t="shared" si="77"/>
        <v>102.49999999999999</v>
      </c>
      <c r="AI12" s="3680">
        <f t="shared" si="78"/>
        <v>108.88</v>
      </c>
      <c r="AJ12" s="3680">
        <f t="shared" si="79"/>
        <v>108.04</v>
      </c>
      <c r="AK12" s="3680">
        <f t="shared" si="80"/>
        <v>102.49999999999999</v>
      </c>
      <c r="AM12" s="3680">
        <f t="shared" si="57"/>
        <v>102.27114713951673</v>
      </c>
      <c r="AN12" s="3680">
        <f t="shared" si="58"/>
        <v>101.74923824951344</v>
      </c>
      <c r="AO12" s="3680">
        <f t="shared" si="59"/>
        <v>103.3932330353696</v>
      </c>
      <c r="AP12" s="3680">
        <f t="shared" si="60"/>
        <v>101.95107005615662</v>
      </c>
      <c r="AQ12" s="3680">
        <f t="shared" si="61"/>
        <v>99.373678644096401</v>
      </c>
      <c r="AR12" s="3680">
        <f t="shared" si="62"/>
        <v>103.3932330353696</v>
      </c>
    </row>
    <row r="13" spans="1:44">
      <c r="A13" s="3344" t="s">
        <v>3254</v>
      </c>
      <c r="B13" s="3403">
        <v>2023</v>
      </c>
      <c r="C13" s="3404">
        <v>4</v>
      </c>
      <c r="D13" s="3404">
        <v>0.19</v>
      </c>
      <c r="E13" s="3404">
        <v>0.24</v>
      </c>
      <c r="F13" s="3404">
        <v>-0.16</v>
      </c>
      <c r="G13" s="3404">
        <v>0.17</v>
      </c>
      <c r="H13" s="3410">
        <v>0.61</v>
      </c>
      <c r="I13" s="3405">
        <f t="shared" ref="I13" si="117">F13</f>
        <v>-0.16</v>
      </c>
      <c r="J13" s="3365"/>
      <c r="K13" s="3366">
        <f t="shared" si="102"/>
        <v>1.9E-3</v>
      </c>
      <c r="L13" s="3367">
        <f t="shared" si="102"/>
        <v>2.3999999999999998E-3</v>
      </c>
      <c r="M13" s="3367">
        <f t="shared" si="102"/>
        <v>-1.6000000000000001E-3</v>
      </c>
      <c r="N13" s="3367">
        <f t="shared" si="102"/>
        <v>1.7000000000000001E-3</v>
      </c>
      <c r="O13" s="3367">
        <f t="shared" si="102"/>
        <v>6.0999999999999995E-3</v>
      </c>
      <c r="P13" s="3367">
        <f t="shared" ref="P13" si="118">M13</f>
        <v>-1.6000000000000001E-3</v>
      </c>
      <c r="Q13" s="3365"/>
      <c r="R13" s="3381">
        <f>ROUND(IF(项目基本情况!$B$8="出让",SUMPRODUCT(PRODUCT(1+K13:$K$24)),SUMPRODUCT(PRODUCT(1+K13:$K$23))),4)</f>
        <v>1.0804</v>
      </c>
      <c r="S13" s="3381">
        <f>ROUND(IF(项目基本情况!$B$8="出让",SUMPRODUCT(PRODUCT(1+L13:$L$24)),SUMPRODUCT(PRODUCT(1+L13:$L$23))),4)</f>
        <v>1.0471999999999999</v>
      </c>
      <c r="T13" s="3381">
        <f>ROUND(IF(项目基本情况!$B$8="出让",SUMPRODUCT(PRODUCT(1+M13:$M$24)),SUMPRODUCT(PRODUCT(1+M13:$M$23))),4)</f>
        <v>1.0266</v>
      </c>
      <c r="U13" s="3381">
        <f>ROUND(IF(项目基本情况!$B$8="出让",SUMPRODUCT(PRODUCT(1+N13:$N$24)),SUMPRODUCT(PRODUCT(1+N13:$N$23))),4)</f>
        <v>1.0859000000000001</v>
      </c>
      <c r="V13" s="3381">
        <f>ROUND(IF(项目基本情况!$B$8="出让",SUMPRODUCT(PRODUCT(1+O13:$O$24)),SUMPRODUCT(PRODUCT(1+O13:$O$23))),4)</f>
        <v>1.0741000000000001</v>
      </c>
      <c r="W13" s="3381">
        <f t="shared" ref="W13" si="119">T13</f>
        <v>1.0266</v>
      </c>
      <c r="X13" s="3365"/>
      <c r="Y13" s="3390">
        <f t="shared" ref="Y13" si="120">IF(D13=0,0,ROUND(AVERAGE(D13:D24)/100,4))</f>
        <v>7.3000000000000001E-3</v>
      </c>
      <c r="Z13" s="3390">
        <f t="shared" ref="Z13" si="121">IF(E13=0,0,ROUND(AVERAGE(E13:E24)/100,4))</f>
        <v>4.0000000000000001E-3</v>
      </c>
      <c r="AA13" s="3390">
        <f t="shared" ref="AA13" si="122">IF(F13=0,0,ROUND(AVERAGE(F13:F24)/100,4))</f>
        <v>2E-3</v>
      </c>
      <c r="AB13" s="3390">
        <f t="shared" ref="AB13" si="123">IF(G13=0,0,ROUND(AVERAGE(G13:G24)/100,4))</f>
        <v>7.7999999999999996E-3</v>
      </c>
      <c r="AC13" s="3390">
        <f t="shared" ref="AC13" si="124">IF(H13=0,0,ROUND(AVERAGE(H13:H24)/100,4))</f>
        <v>6.3E-3</v>
      </c>
      <c r="AD13" s="3390">
        <f t="shared" si="103"/>
        <v>2E-3</v>
      </c>
      <c r="AF13" s="3680">
        <f t="shared" si="75"/>
        <v>108.04</v>
      </c>
      <c r="AG13" s="3680">
        <f t="shared" si="76"/>
        <v>104.71999999999998</v>
      </c>
      <c r="AH13" s="3680">
        <f t="shared" si="77"/>
        <v>102.66</v>
      </c>
      <c r="AI13" s="3680">
        <f t="shared" si="78"/>
        <v>108.59</v>
      </c>
      <c r="AJ13" s="3680">
        <f t="shared" si="79"/>
        <v>107.41000000000001</v>
      </c>
      <c r="AK13" s="3680">
        <f t="shared" si="80"/>
        <v>102.66</v>
      </c>
      <c r="AM13" s="3680">
        <f t="shared" si="57"/>
        <v>102.18939562301833</v>
      </c>
      <c r="AN13" s="3680">
        <f t="shared" si="58"/>
        <v>101.28333490893236</v>
      </c>
      <c r="AO13" s="3680">
        <f t="shared" si="59"/>
        <v>103.55892731908014</v>
      </c>
      <c r="AP13" s="3680">
        <f t="shared" si="60"/>
        <v>101.68668467599903</v>
      </c>
      <c r="AQ13" s="3680">
        <f t="shared" si="61"/>
        <v>98.79081284829148</v>
      </c>
      <c r="AR13" s="3680">
        <f t="shared" si="62"/>
        <v>103.55892731908014</v>
      </c>
    </row>
    <row r="14" spans="1:44">
      <c r="A14" s="3344" t="s">
        <v>3253</v>
      </c>
      <c r="B14" s="3403">
        <v>2023</v>
      </c>
      <c r="C14" s="3404">
        <v>3</v>
      </c>
      <c r="D14" s="3404">
        <v>0.25</v>
      </c>
      <c r="E14" s="3404">
        <v>0.5</v>
      </c>
      <c r="F14" s="3404">
        <v>0.31</v>
      </c>
      <c r="G14" s="3404">
        <v>0.21</v>
      </c>
      <c r="H14" s="3410">
        <v>0.43</v>
      </c>
      <c r="I14" s="3405">
        <f t="shared" si="101"/>
        <v>0.31</v>
      </c>
      <c r="J14" s="3365"/>
      <c r="K14" s="3366">
        <f t="shared" ref="K14:K16" si="125">D14/100</f>
        <v>2.5000000000000001E-3</v>
      </c>
      <c r="L14" s="3367">
        <f t="shared" ref="L14:L16" si="126">E14/100</f>
        <v>5.0000000000000001E-3</v>
      </c>
      <c r="M14" s="3367">
        <f t="shared" ref="M14:M16" si="127">F14/100</f>
        <v>3.0999999999999999E-3</v>
      </c>
      <c r="N14" s="3367">
        <f t="shared" ref="N14:N16" si="128">G14/100</f>
        <v>2.0999999999999999E-3</v>
      </c>
      <c r="O14" s="3367">
        <f t="shared" ref="O14:O16" si="129">H14/100</f>
        <v>4.3E-3</v>
      </c>
      <c r="P14" s="3367">
        <f t="shared" ref="P14:P16" si="130">M14</f>
        <v>3.0999999999999999E-3</v>
      </c>
      <c r="Q14" s="3365"/>
      <c r="R14" s="3381">
        <f>ROUND(IF(项目基本情况!$B$8="出让",SUMPRODUCT(PRODUCT(1+K14:$K$24)),SUMPRODUCT(PRODUCT(1+K14:$K$23))),4)</f>
        <v>1.0783</v>
      </c>
      <c r="S14" s="3381">
        <f>ROUND(IF(项目基本情况!$B$8="出让",SUMPRODUCT(PRODUCT(1+L14:$L$24)),SUMPRODUCT(PRODUCT(1+L14:$L$23))),4)</f>
        <v>1.0447</v>
      </c>
      <c r="T14" s="3381">
        <f>ROUND(IF(项目基本情况!$B$8="出让",SUMPRODUCT(PRODUCT(1+M14:$M$24)),SUMPRODUCT(PRODUCT(1+M14:$M$23))),4)</f>
        <v>1.0282</v>
      </c>
      <c r="U14" s="3381">
        <f>ROUND(IF(项目基本情况!$B$8="出让",SUMPRODUCT(PRODUCT(1+N14:$N$24)),SUMPRODUCT(PRODUCT(1+N14:$N$23))),4)</f>
        <v>1.0841000000000001</v>
      </c>
      <c r="V14" s="3381">
        <f>ROUND(IF(项目基本情况!$B$8="出让",SUMPRODUCT(PRODUCT(1+O14:$O$24)),SUMPRODUCT(PRODUCT(1+O14:$O$23))),4)</f>
        <v>1.0674999999999999</v>
      </c>
      <c r="W14" s="3381">
        <f t="shared" ref="W14:W16" si="131">T14</f>
        <v>1.0282</v>
      </c>
      <c r="X14" s="3365"/>
      <c r="Y14" s="3390">
        <f t="shared" ref="Y14:AC14" si="132">IF(D14=0,0,ROUND(AVERAGE(D14:D25)/100,4))</f>
        <v>7.7999999999999996E-3</v>
      </c>
      <c r="Z14" s="3390">
        <f t="shared" si="132"/>
        <v>4.1000000000000003E-3</v>
      </c>
      <c r="AA14" s="3390">
        <f t="shared" si="132"/>
        <v>2.3E-3</v>
      </c>
      <c r="AB14" s="3390">
        <f t="shared" si="132"/>
        <v>8.3999999999999995E-3</v>
      </c>
      <c r="AC14" s="3390">
        <f t="shared" si="132"/>
        <v>6.3E-3</v>
      </c>
      <c r="AD14" s="3390">
        <f t="shared" ref="AD14:AD16" si="133">AA14</f>
        <v>2.3E-3</v>
      </c>
      <c r="AF14" s="3680">
        <f t="shared" si="75"/>
        <v>107.83</v>
      </c>
      <c r="AG14" s="3680">
        <f t="shared" si="76"/>
        <v>104.47</v>
      </c>
      <c r="AH14" s="3680">
        <f t="shared" si="77"/>
        <v>102.82</v>
      </c>
      <c r="AI14" s="3680">
        <f t="shared" si="78"/>
        <v>108.41000000000001</v>
      </c>
      <c r="AJ14" s="3680">
        <f t="shared" si="79"/>
        <v>106.74999999999999</v>
      </c>
      <c r="AK14" s="3680">
        <f t="shared" si="80"/>
        <v>102.82</v>
      </c>
      <c r="AM14" s="3680">
        <f t="shared" si="57"/>
        <v>101.99560397546495</v>
      </c>
      <c r="AN14" s="3680">
        <f t="shared" si="58"/>
        <v>101.04083690037147</v>
      </c>
      <c r="AO14" s="3680">
        <f t="shared" si="59"/>
        <v>103.72488713850174</v>
      </c>
      <c r="AP14" s="3680">
        <f t="shared" si="60"/>
        <v>101.51411068782971</v>
      </c>
      <c r="AQ14" s="3680">
        <f t="shared" si="61"/>
        <v>98.191842608380355</v>
      </c>
      <c r="AR14" s="3680">
        <f t="shared" si="62"/>
        <v>103.72488713850174</v>
      </c>
    </row>
    <row r="15" spans="1:44">
      <c r="A15" s="3344" t="s">
        <v>3251</v>
      </c>
      <c r="B15" s="3403">
        <v>2023</v>
      </c>
      <c r="C15" s="3404">
        <v>2</v>
      </c>
      <c r="D15" s="3404">
        <v>0.91</v>
      </c>
      <c r="E15" s="3404">
        <v>0.66</v>
      </c>
      <c r="F15" s="3404">
        <v>0.47</v>
      </c>
      <c r="G15" s="3404">
        <v>0.96</v>
      </c>
      <c r="H15" s="3410">
        <v>0.71</v>
      </c>
      <c r="I15" s="3405">
        <f t="shared" si="101"/>
        <v>0.47</v>
      </c>
      <c r="J15" s="3365"/>
      <c r="K15" s="3366">
        <f t="shared" si="125"/>
        <v>9.1000000000000004E-3</v>
      </c>
      <c r="L15" s="3367">
        <f t="shared" si="126"/>
        <v>6.6E-3</v>
      </c>
      <c r="M15" s="3367">
        <f t="shared" si="127"/>
        <v>4.6999999999999993E-3</v>
      </c>
      <c r="N15" s="3367">
        <f t="shared" si="128"/>
        <v>9.5999999999999992E-3</v>
      </c>
      <c r="O15" s="3367">
        <f t="shared" si="129"/>
        <v>7.0999999999999995E-3</v>
      </c>
      <c r="P15" s="3367">
        <f t="shared" si="130"/>
        <v>4.6999999999999993E-3</v>
      </c>
      <c r="Q15" s="3365"/>
      <c r="R15" s="3381">
        <f>ROUND(IF(项目基本情况!$B$8="出让",SUMPRODUCT(PRODUCT(1+K15:$K$24)),SUMPRODUCT(PRODUCT(1+K15:$K$23))),4)</f>
        <v>1.0755999999999999</v>
      </c>
      <c r="S15" s="3381">
        <f>ROUND(IF(项目基本情况!$B$8="出让",SUMPRODUCT(PRODUCT(1+L15:$L$24)),SUMPRODUCT(PRODUCT(1+L15:$L$23))),4)</f>
        <v>1.0395000000000001</v>
      </c>
      <c r="T15" s="3381">
        <f>ROUND(IF(项目基本情况!$B$8="出让",SUMPRODUCT(PRODUCT(1+M15:$M$24)),SUMPRODUCT(PRODUCT(1+M15:$M$23))),4)</f>
        <v>1.0250999999999999</v>
      </c>
      <c r="U15" s="3381">
        <f>ROUND(IF(项目基本情况!$B$8="出让",SUMPRODUCT(PRODUCT(1+N15:$N$24)),SUMPRODUCT(PRODUCT(1+N15:$N$23))),4)</f>
        <v>1.0818000000000001</v>
      </c>
      <c r="V15" s="3381">
        <f>ROUND(IF(项目基本情况!$B$8="出让",SUMPRODUCT(PRODUCT(1+O15:$O$24)),SUMPRODUCT(PRODUCT(1+O15:$O$23))),4)</f>
        <v>1.0629999999999999</v>
      </c>
      <c r="W15" s="3381">
        <f t="shared" si="131"/>
        <v>1.0250999999999999</v>
      </c>
      <c r="X15" s="3365"/>
      <c r="Y15" s="3390">
        <f t="shared" ref="Y15:AC15" si="134">IF(D15=0,0,ROUND(AVERAGE(D15:D26)/100,4))</f>
        <v>8.3000000000000001E-3</v>
      </c>
      <c r="Z15" s="3390">
        <f t="shared" si="134"/>
        <v>4.0000000000000001E-3</v>
      </c>
      <c r="AA15" s="3390">
        <f t="shared" si="134"/>
        <v>2.2000000000000001E-3</v>
      </c>
      <c r="AB15" s="3390">
        <f t="shared" si="134"/>
        <v>8.9999999999999993E-3</v>
      </c>
      <c r="AC15" s="3390">
        <f t="shared" si="134"/>
        <v>6.4999999999999997E-3</v>
      </c>
      <c r="AD15" s="3390">
        <f t="shared" si="133"/>
        <v>2.2000000000000001E-3</v>
      </c>
      <c r="AF15" s="3680">
        <f t="shared" si="75"/>
        <v>107.55999999999999</v>
      </c>
      <c r="AG15" s="3680">
        <f t="shared" si="76"/>
        <v>103.95</v>
      </c>
      <c r="AH15" s="3680">
        <f t="shared" si="77"/>
        <v>102.50999999999999</v>
      </c>
      <c r="AI15" s="3680">
        <f t="shared" si="78"/>
        <v>108.18</v>
      </c>
      <c r="AJ15" s="3680">
        <f t="shared" si="79"/>
        <v>106.3</v>
      </c>
      <c r="AK15" s="3680">
        <f t="shared" si="80"/>
        <v>102.50999999999999</v>
      </c>
      <c r="AM15" s="3680">
        <f t="shared" si="57"/>
        <v>101.74125084834409</v>
      </c>
      <c r="AN15" s="3680">
        <f t="shared" si="58"/>
        <v>100.53814616952387</v>
      </c>
      <c r="AO15" s="3680">
        <f t="shared" si="59"/>
        <v>103.40433370401927</v>
      </c>
      <c r="AP15" s="3680">
        <f t="shared" si="60"/>
        <v>101.30137779446135</v>
      </c>
      <c r="AQ15" s="3680">
        <f t="shared" si="61"/>
        <v>97.771425478821428</v>
      </c>
      <c r="AR15" s="3680">
        <f t="shared" si="62"/>
        <v>103.40433370401927</v>
      </c>
    </row>
    <row r="16" spans="1:44">
      <c r="A16" s="3344" t="s">
        <v>3249</v>
      </c>
      <c r="B16" s="3403">
        <v>2023</v>
      </c>
      <c r="C16" s="3404">
        <v>1</v>
      </c>
      <c r="D16" s="3404">
        <v>0.89</v>
      </c>
      <c r="E16" s="3404">
        <v>0.74</v>
      </c>
      <c r="F16" s="3404">
        <v>0.56999999999999995</v>
      </c>
      <c r="G16" s="3404">
        <v>0.92</v>
      </c>
      <c r="H16" s="3410">
        <v>0.5</v>
      </c>
      <c r="I16" s="3405">
        <f t="shared" si="101"/>
        <v>0.56999999999999995</v>
      </c>
      <c r="J16" s="3365"/>
      <c r="K16" s="3366">
        <f t="shared" si="125"/>
        <v>8.8999999999999999E-3</v>
      </c>
      <c r="L16" s="3367">
        <f t="shared" si="126"/>
        <v>7.4000000000000003E-3</v>
      </c>
      <c r="M16" s="3367">
        <f t="shared" si="127"/>
        <v>5.6999999999999993E-3</v>
      </c>
      <c r="N16" s="3367">
        <f t="shared" si="128"/>
        <v>9.1999999999999998E-3</v>
      </c>
      <c r="O16" s="3367">
        <f t="shared" si="129"/>
        <v>5.0000000000000001E-3</v>
      </c>
      <c r="P16" s="3367">
        <f t="shared" si="130"/>
        <v>5.6999999999999993E-3</v>
      </c>
      <c r="Q16" s="3365"/>
      <c r="R16" s="3381">
        <f>ROUND(IF(项目基本情况!$B$8="出让",SUMPRODUCT(PRODUCT(1+K16:$K$24)),SUMPRODUCT(PRODUCT(1+K16:$K$23))),4)</f>
        <v>1.0659000000000001</v>
      </c>
      <c r="S16" s="3381">
        <f>ROUND(IF(项目基本情况!$B$8="出让",SUMPRODUCT(PRODUCT(1+L16:$L$24)),SUMPRODUCT(PRODUCT(1+L16:$L$23))),4)</f>
        <v>1.0326</v>
      </c>
      <c r="T16" s="3381">
        <f>ROUND(IF(项目基本情况!$B$8="出让",SUMPRODUCT(PRODUCT(1+M16:$M$24)),SUMPRODUCT(PRODUCT(1+M16:$M$23))),4)</f>
        <v>1.0203</v>
      </c>
      <c r="U16" s="3381">
        <f>ROUND(IF(项目基本情况!$B$8="出让",SUMPRODUCT(PRODUCT(1+N16:$N$24)),SUMPRODUCT(PRODUCT(1+N16:$N$23))),4)</f>
        <v>1.0714999999999999</v>
      </c>
      <c r="V16" s="3381">
        <f>ROUND(IF(项目基本情况!$B$8="出让",SUMPRODUCT(PRODUCT(1+O16:$O$24)),SUMPRODUCT(PRODUCT(1+O16:$O$23))),4)</f>
        <v>1.0555000000000001</v>
      </c>
      <c r="W16" s="3381">
        <f t="shared" si="131"/>
        <v>1.0203</v>
      </c>
      <c r="X16" s="3365"/>
      <c r="Y16" s="3390">
        <f t="shared" ref="Y16:AC16" si="135">IF(D16=0,0,ROUND(AVERAGE(D16:D27)/100,4))</f>
        <v>8.2000000000000007E-3</v>
      </c>
      <c r="Z16" s="3390">
        <f t="shared" si="135"/>
        <v>3.8E-3</v>
      </c>
      <c r="AA16" s="3390">
        <f t="shared" si="135"/>
        <v>2E-3</v>
      </c>
      <c r="AB16" s="3390">
        <f t="shared" si="135"/>
        <v>8.8999999999999999E-3</v>
      </c>
      <c r="AC16" s="3390">
        <f t="shared" si="135"/>
        <v>6.4000000000000003E-3</v>
      </c>
      <c r="AD16" s="3390">
        <f t="shared" si="133"/>
        <v>2E-3</v>
      </c>
      <c r="AF16" s="3680">
        <f t="shared" si="75"/>
        <v>106.59</v>
      </c>
      <c r="AG16" s="3680">
        <f t="shared" si="76"/>
        <v>103.25999999999999</v>
      </c>
      <c r="AH16" s="3680">
        <f t="shared" si="77"/>
        <v>102.03</v>
      </c>
      <c r="AI16" s="3680">
        <f t="shared" si="78"/>
        <v>107.14999999999999</v>
      </c>
      <c r="AJ16" s="3680">
        <f t="shared" si="79"/>
        <v>105.55000000000001</v>
      </c>
      <c r="AK16" s="3680">
        <f t="shared" si="80"/>
        <v>102.03</v>
      </c>
      <c r="AM16" s="3680">
        <f t="shared" si="57"/>
        <v>100.82375468074926</v>
      </c>
      <c r="AN16" s="3680">
        <f t="shared" si="58"/>
        <v>99.878945131654959</v>
      </c>
      <c r="AO16" s="3680">
        <f t="shared" si="59"/>
        <v>102.92060685181573</v>
      </c>
      <c r="AP16" s="3680">
        <f t="shared" si="60"/>
        <v>100.33813172985474</v>
      </c>
      <c r="AQ16" s="3680">
        <f t="shared" si="61"/>
        <v>97.082142268713554</v>
      </c>
      <c r="AR16" s="3680">
        <f t="shared" si="62"/>
        <v>102.92060685181573</v>
      </c>
    </row>
    <row r="17" spans="1:44">
      <c r="A17" s="3344" t="s">
        <v>3247</v>
      </c>
      <c r="B17" s="3403">
        <v>2022</v>
      </c>
      <c r="C17" s="3404">
        <v>4</v>
      </c>
      <c r="D17" s="3404">
        <v>0.62</v>
      </c>
      <c r="E17" s="3404">
        <v>0.2</v>
      </c>
      <c r="F17" s="3404">
        <v>0.11</v>
      </c>
      <c r="G17" s="3404">
        <v>0.69</v>
      </c>
      <c r="H17" s="3410">
        <v>0.53</v>
      </c>
      <c r="I17" s="3405">
        <f t="shared" si="101"/>
        <v>0.11</v>
      </c>
      <c r="J17" s="3365"/>
      <c r="K17" s="3366">
        <f t="shared" si="102"/>
        <v>6.1999999999999998E-3</v>
      </c>
      <c r="L17" s="3367">
        <f t="shared" si="102"/>
        <v>2E-3</v>
      </c>
      <c r="M17" s="3367">
        <f t="shared" si="102"/>
        <v>1.1000000000000001E-3</v>
      </c>
      <c r="N17" s="3367">
        <f t="shared" si="102"/>
        <v>6.8999999999999999E-3</v>
      </c>
      <c r="O17" s="3367">
        <f t="shared" si="102"/>
        <v>5.3E-3</v>
      </c>
      <c r="P17" s="3367">
        <f t="shared" ref="P17:P24" si="136">M17</f>
        <v>1.1000000000000001E-3</v>
      </c>
      <c r="Q17" s="3365"/>
      <c r="R17" s="3381">
        <f>ROUND(IF(项目基本情况!B8="出让",SUMPRODUCT(PRODUCT(1+K17:K24)),SUMPRODUCT(PRODUCT(1+K17:K23))),4)</f>
        <v>1.0565</v>
      </c>
      <c r="S17" s="3381">
        <f>ROUND(IF(项目基本情况!B8="出让",SUMPRODUCT(PRODUCT(1+L17:L24)),SUMPRODUCT(PRODUCT(1+L17:L23))),4)</f>
        <v>1.0250999999999999</v>
      </c>
      <c r="T17" s="3381">
        <f>ROUND(IF(项目基本情况!B8="出让",SUMPRODUCT(PRODUCT(1+M17:M24)),SUMPRODUCT(PRODUCT(1+M17:M23))),4)</f>
        <v>1.0145</v>
      </c>
      <c r="U17" s="3381">
        <f>ROUND(IF(项目基本情况!B8="出让",SUMPRODUCT(PRODUCT(1+N17:N24)),SUMPRODUCT(PRODUCT(1+N17:N23))),4)</f>
        <v>1.0618000000000001</v>
      </c>
      <c r="V17" s="3381">
        <f>ROUND(IF(项目基本情况!B8="出让",SUMPRODUCT(PRODUCT(1+O17:O24)),SUMPRODUCT(PRODUCT(1+O17:O23))),4)</f>
        <v>1.0502</v>
      </c>
      <c r="W17" s="3381">
        <f t="shared" ref="W17:W24" si="137">T17</f>
        <v>1.0145</v>
      </c>
      <c r="X17" s="3365"/>
      <c r="Y17" s="3390">
        <f>IF(D17=0,0,ROUND(AVERAGE(D17:D25)/100,4))</f>
        <v>8.0999999999999996E-3</v>
      </c>
      <c r="Z17" s="3390">
        <f>IF(E17=0,0,ROUND(AVERAGE(E17:E24)/100,4))</f>
        <v>3.3E-3</v>
      </c>
      <c r="AA17" s="3390">
        <f>IF(F17=0,0,ROUND(AVERAGE(F17:F24)/100,4))</f>
        <v>1.5E-3</v>
      </c>
      <c r="AB17" s="3390">
        <f>IF(G17=0,0,ROUND(AVERAGE(G17:G24)/100,4))</f>
        <v>8.8999999999999999E-3</v>
      </c>
      <c r="AC17" s="3390">
        <f>IF(H17=0,0,ROUND(AVERAGE(H17:H24)/100,4))</f>
        <v>6.6E-3</v>
      </c>
      <c r="AD17" s="3390">
        <f t="shared" si="103"/>
        <v>1.5E-3</v>
      </c>
      <c r="AF17" s="3680">
        <f t="shared" si="75"/>
        <v>105.65</v>
      </c>
      <c r="AG17" s="3680">
        <f t="shared" si="76"/>
        <v>102.50999999999999</v>
      </c>
      <c r="AH17" s="3680">
        <f t="shared" si="77"/>
        <v>101.44999999999999</v>
      </c>
      <c r="AI17" s="3680">
        <f t="shared" si="78"/>
        <v>106.18</v>
      </c>
      <c r="AJ17" s="3680">
        <f t="shared" si="79"/>
        <v>105.02</v>
      </c>
      <c r="AK17" s="3680">
        <f t="shared" si="80"/>
        <v>101.44999999999999</v>
      </c>
      <c r="AM17" s="3680">
        <f t="shared" si="57"/>
        <v>99.934339063087791</v>
      </c>
      <c r="AN17" s="3680">
        <f t="shared" si="58"/>
        <v>99.145270132673176</v>
      </c>
      <c r="AO17" s="3680">
        <f t="shared" si="59"/>
        <v>102.3372843311283</v>
      </c>
      <c r="AP17" s="3680">
        <f t="shared" si="60"/>
        <v>99.423436117573061</v>
      </c>
      <c r="AQ17" s="3680">
        <f t="shared" si="61"/>
        <v>96.599146536033402</v>
      </c>
      <c r="AR17" s="3680">
        <f t="shared" si="62"/>
        <v>102.3372843311283</v>
      </c>
    </row>
    <row r="18" spans="1:44">
      <c r="A18" s="3344" t="s">
        <v>3244</v>
      </c>
      <c r="B18" s="3403">
        <v>2022</v>
      </c>
      <c r="C18" s="3404">
        <v>3</v>
      </c>
      <c r="D18" s="3404">
        <v>0.66</v>
      </c>
      <c r="E18" s="3404">
        <v>0.32</v>
      </c>
      <c r="F18" s="3404">
        <v>0.23</v>
      </c>
      <c r="G18" s="3404">
        <v>0.72</v>
      </c>
      <c r="H18" s="3410">
        <v>0.63</v>
      </c>
      <c r="I18" s="3405">
        <f t="shared" si="101"/>
        <v>0.23</v>
      </c>
      <c r="J18" s="3365"/>
      <c r="K18" s="3366">
        <f t="shared" si="102"/>
        <v>6.6E-3</v>
      </c>
      <c r="L18" s="3367">
        <f t="shared" si="102"/>
        <v>3.2000000000000002E-3</v>
      </c>
      <c r="M18" s="3367">
        <f t="shared" si="102"/>
        <v>2.3E-3</v>
      </c>
      <c r="N18" s="3367">
        <f t="shared" si="102"/>
        <v>7.1999999999999998E-3</v>
      </c>
      <c r="O18" s="3367">
        <f t="shared" si="102"/>
        <v>6.3E-3</v>
      </c>
      <c r="P18" s="3367">
        <f t="shared" si="136"/>
        <v>2.3E-3</v>
      </c>
      <c r="Q18" s="3365"/>
      <c r="R18" s="3381">
        <f>ROUND(IF(项目基本情况!B8="出让",SUMPRODUCT(PRODUCT(1+K18:K24)),SUMPRODUCT(PRODUCT(1+K18:K23))),4)</f>
        <v>1.05</v>
      </c>
      <c r="S18" s="3381">
        <f>ROUND(IF(项目基本情况!B8="出让",SUMPRODUCT(PRODUCT(1+L18:L24)),SUMPRODUCT(PRODUCT(1+L18:L23))),4)</f>
        <v>1.0229999999999999</v>
      </c>
      <c r="T18" s="3381">
        <f>ROUND(IF(项目基本情况!B8="出让",SUMPRODUCT(PRODUCT(1+M18:M24)),SUMPRODUCT(PRODUCT(1+M18:M23))),4)</f>
        <v>1.0134000000000001</v>
      </c>
      <c r="U18" s="3381">
        <f>ROUND(IF(项目基本情况!B8="出让",SUMPRODUCT(PRODUCT(1+N18:N24)),SUMPRODUCT(PRODUCT(1+N18:N23))),4)</f>
        <v>1.0545</v>
      </c>
      <c r="V18" s="3381">
        <f>ROUND(IF(项目基本情况!B8="出让",SUMPRODUCT(PRODUCT(1+O18:O24)),SUMPRODUCT(PRODUCT(1+O18:O23))),4)</f>
        <v>1.0447</v>
      </c>
      <c r="W18" s="3381">
        <f t="shared" si="137"/>
        <v>1.0134000000000001</v>
      </c>
      <c r="X18" s="3365"/>
      <c r="Y18" s="3390">
        <f>IF(D18=0,0,ROUND(AVERAGE(D18:D24)/100,4))</f>
        <v>8.3999999999999995E-3</v>
      </c>
      <c r="Z18" s="3390">
        <f>IF(E18=0,0,ROUND(AVERAGE(E18:E24)/100,4))</f>
        <v>3.5000000000000001E-3</v>
      </c>
      <c r="AA18" s="3390">
        <f>IF(F18=0,0,ROUND(AVERAGE(F18:F24)/100,4))</f>
        <v>1.5E-3</v>
      </c>
      <c r="AB18" s="3390">
        <f>IF(G18=0,0,ROUND(AVERAGE(G18:G24)/100,4))</f>
        <v>9.1999999999999998E-3</v>
      </c>
      <c r="AC18" s="3390">
        <f>IF(H18=0,0,ROUND(AVERAGE(H18:H24)/100,4))</f>
        <v>6.7999999999999996E-3</v>
      </c>
      <c r="AD18" s="3390">
        <f t="shared" si="103"/>
        <v>1.5E-3</v>
      </c>
      <c r="AF18" s="3680">
        <f t="shared" si="75"/>
        <v>105</v>
      </c>
      <c r="AG18" s="3680">
        <f t="shared" si="76"/>
        <v>102.3</v>
      </c>
      <c r="AH18" s="3680">
        <f t="shared" si="77"/>
        <v>101.34</v>
      </c>
      <c r="AI18" s="3680">
        <f t="shared" si="78"/>
        <v>105.45</v>
      </c>
      <c r="AJ18" s="3680">
        <f t="shared" si="79"/>
        <v>104.47</v>
      </c>
      <c r="AK18" s="3680">
        <f t="shared" si="80"/>
        <v>101.34</v>
      </c>
      <c r="AM18" s="3680">
        <f t="shared" si="57"/>
        <v>99.318563966495518</v>
      </c>
      <c r="AN18" s="3680">
        <f t="shared" si="58"/>
        <v>98.947375381909353</v>
      </c>
      <c r="AO18" s="3680">
        <f t="shared" si="59"/>
        <v>102.22483701041683</v>
      </c>
      <c r="AP18" s="3680">
        <f t="shared" si="60"/>
        <v>98.742115520481747</v>
      </c>
      <c r="AQ18" s="3680">
        <f t="shared" si="61"/>
        <v>96.089870223847001</v>
      </c>
      <c r="AR18" s="3680">
        <f t="shared" si="62"/>
        <v>102.22483701041683</v>
      </c>
    </row>
    <row r="19" spans="1:44">
      <c r="A19" s="3344" t="s">
        <v>3245</v>
      </c>
      <c r="B19" s="3403">
        <v>2022</v>
      </c>
      <c r="C19" s="3404">
        <v>2</v>
      </c>
      <c r="D19" s="3404">
        <v>0.93</v>
      </c>
      <c r="E19" s="3404">
        <v>0.15</v>
      </c>
      <c r="F19" s="3404">
        <v>0.01</v>
      </c>
      <c r="G19" s="3404">
        <v>1.05</v>
      </c>
      <c r="H19" s="3410">
        <v>1.08</v>
      </c>
      <c r="I19" s="3405">
        <f t="shared" si="101"/>
        <v>0.01</v>
      </c>
      <c r="J19" s="3365"/>
      <c r="K19" s="3366">
        <f t="shared" si="102"/>
        <v>9.300000000000001E-3</v>
      </c>
      <c r="L19" s="3367">
        <f t="shared" si="102"/>
        <v>1.5E-3</v>
      </c>
      <c r="M19" s="3367">
        <f t="shared" si="102"/>
        <v>1E-4</v>
      </c>
      <c r="N19" s="3367">
        <f t="shared" si="102"/>
        <v>1.0500000000000001E-2</v>
      </c>
      <c r="O19" s="3367">
        <f t="shared" si="102"/>
        <v>1.0800000000000001E-2</v>
      </c>
      <c r="P19" s="3367">
        <f t="shared" si="136"/>
        <v>1E-4</v>
      </c>
      <c r="Q19" s="3365"/>
      <c r="R19" s="3381">
        <f>ROUND(IF(项目基本情况!B8="出让",SUMPRODUCT(PRODUCT(1+K19:K24)),SUMPRODUCT(PRODUCT(1+K19:K23))),4)</f>
        <v>1.0430999999999999</v>
      </c>
      <c r="S19" s="3381">
        <f>ROUND(IF(项目基本情况!B8="出让",SUMPRODUCT(PRODUCT(1+L19:L24)),SUMPRODUCT(PRODUCT(1+L19:L23))),4)</f>
        <v>1.0197000000000001</v>
      </c>
      <c r="T19" s="3381">
        <f>ROUND(IF(项目基本情况!B8="出让",SUMPRODUCT(PRODUCT(1+M19:M24)),SUMPRODUCT(PRODUCT(1+M19:M23))),4)</f>
        <v>1.0109999999999999</v>
      </c>
      <c r="U19" s="3381">
        <f>ROUND(IF(项目基本情况!B8="出让",SUMPRODUCT(PRODUCT(1+N19:N24)),SUMPRODUCT(PRODUCT(1+N19:N23))),4)</f>
        <v>1.0468999999999999</v>
      </c>
      <c r="V19" s="3381">
        <f>ROUND(IF(项目基本情况!B8="出让",SUMPRODUCT(PRODUCT(1+O19:O24)),SUMPRODUCT(PRODUCT(1+O19:O23))),4)</f>
        <v>1.0382</v>
      </c>
      <c r="W19" s="3381">
        <f t="shared" si="137"/>
        <v>1.0109999999999999</v>
      </c>
      <c r="X19" s="3365"/>
      <c r="Y19" s="3390">
        <f>IF(D19=0,0,ROUND(AVERAGE(D19:D24)/100,4))</f>
        <v>8.6999999999999994E-3</v>
      </c>
      <c r="Z19" s="3390">
        <f>IF(E19=0,0,ROUND(AVERAGE(E19:E24)/100,4))</f>
        <v>3.5000000000000001E-3</v>
      </c>
      <c r="AA19" s="3390">
        <f>IF(F19=0,0,ROUND(AVERAGE(F19:F24)/100,4))</f>
        <v>1.4E-3</v>
      </c>
      <c r="AB19" s="3390">
        <f>IF(G19=0,0,ROUND(AVERAGE(G19:G24)/100,4))</f>
        <v>9.4999999999999998E-3</v>
      </c>
      <c r="AC19" s="3390">
        <f>IF(H19=0,0,ROUND(AVERAGE(H19:H24)/100,4))</f>
        <v>6.8999999999999999E-3</v>
      </c>
      <c r="AD19" s="3390">
        <f t="shared" si="103"/>
        <v>1.4E-3</v>
      </c>
      <c r="AF19" s="3680">
        <f t="shared" si="75"/>
        <v>104.30999999999999</v>
      </c>
      <c r="AG19" s="3680">
        <f t="shared" si="76"/>
        <v>101.97</v>
      </c>
      <c r="AH19" s="3680">
        <f t="shared" si="77"/>
        <v>101.1</v>
      </c>
      <c r="AI19" s="3680">
        <f t="shared" si="78"/>
        <v>104.69</v>
      </c>
      <c r="AJ19" s="3680">
        <f t="shared" si="79"/>
        <v>103.82000000000001</v>
      </c>
      <c r="AK19" s="3680">
        <f t="shared" si="80"/>
        <v>101.1</v>
      </c>
      <c r="AM19" s="3680">
        <f t="shared" si="57"/>
        <v>98.667359394491882</v>
      </c>
      <c r="AN19" s="3680">
        <f t="shared" si="58"/>
        <v>98.631753769845844</v>
      </c>
      <c r="AO19" s="3680">
        <f t="shared" si="59"/>
        <v>101.99025941376517</v>
      </c>
      <c r="AP19" s="3680">
        <f t="shared" si="60"/>
        <v>98.036254488166932</v>
      </c>
      <c r="AQ19" s="3680">
        <f t="shared" si="61"/>
        <v>95.488293971824504</v>
      </c>
      <c r="AR19" s="3680">
        <f t="shared" si="62"/>
        <v>101.99025941376517</v>
      </c>
    </row>
    <row r="20" spans="1:44">
      <c r="A20" s="3344" t="s">
        <v>2781</v>
      </c>
      <c r="B20" s="3403">
        <v>2022</v>
      </c>
      <c r="C20" s="3404">
        <v>1</v>
      </c>
      <c r="D20" s="3404">
        <v>0.89</v>
      </c>
      <c r="E20" s="3404">
        <v>0.44</v>
      </c>
      <c r="F20" s="3404">
        <v>0.37</v>
      </c>
      <c r="G20" s="3404">
        <v>0.96</v>
      </c>
      <c r="H20" s="3410">
        <v>0.64</v>
      </c>
      <c r="I20" s="3405">
        <f t="shared" si="101"/>
        <v>0.37</v>
      </c>
      <c r="J20" s="3365"/>
      <c r="K20" s="3366">
        <f t="shared" si="102"/>
        <v>8.8999999999999999E-3</v>
      </c>
      <c r="L20" s="3367">
        <f t="shared" si="102"/>
        <v>4.4000000000000003E-3</v>
      </c>
      <c r="M20" s="3367">
        <f t="shared" si="102"/>
        <v>3.7000000000000002E-3</v>
      </c>
      <c r="N20" s="3367">
        <f t="shared" si="102"/>
        <v>9.5999999999999992E-3</v>
      </c>
      <c r="O20" s="3367">
        <f t="shared" si="102"/>
        <v>6.4000000000000003E-3</v>
      </c>
      <c r="P20" s="3367">
        <f t="shared" si="136"/>
        <v>3.7000000000000002E-3</v>
      </c>
      <c r="Q20" s="3365"/>
      <c r="R20" s="3381">
        <f>ROUND(IF(项目基本情况!B8="出让",SUMPRODUCT(PRODUCT(1+K20:K24)),SUMPRODUCT(PRODUCT(1+K20:K23))),4)</f>
        <v>1.0335000000000001</v>
      </c>
      <c r="S20" s="3381">
        <f>ROUND(IF(项目基本情况!B8="出让",SUMPRODUCT(PRODUCT(1+L20:L24)),SUMPRODUCT(PRODUCT(1+L20:L23))),4)</f>
        <v>1.0182</v>
      </c>
      <c r="T20" s="3381">
        <f>ROUND(IF(项目基本情况!B8="出让",SUMPRODUCT(PRODUCT(1+M20:M24)),SUMPRODUCT(PRODUCT(1+M20:M23))),4)</f>
        <v>1.0108999999999999</v>
      </c>
      <c r="U20" s="3381">
        <f>ROUND(IF(项目基本情况!B8="出让",SUMPRODUCT(PRODUCT(1+N20:N24)),SUMPRODUCT(PRODUCT(1+N20:N23))),4)</f>
        <v>1.0361</v>
      </c>
      <c r="V20" s="3381">
        <f>ROUND(IF(项目基本情况!B8="出让",SUMPRODUCT(PRODUCT(1+O20:O24)),SUMPRODUCT(PRODUCT(1+O20:O23))),4)</f>
        <v>1.0270999999999999</v>
      </c>
      <c r="W20" s="3381">
        <f t="shared" si="137"/>
        <v>1.0108999999999999</v>
      </c>
      <c r="X20" s="3365"/>
      <c r="Y20" s="3390">
        <f>IF(D20=0,0,ROUND(AVERAGE(D20:D24)/100,4))</f>
        <v>8.6E-3</v>
      </c>
      <c r="Z20" s="3390">
        <f>IF(E20=0,0,ROUND(AVERAGE(E20:E24)/100,4))</f>
        <v>3.8999999999999998E-3</v>
      </c>
      <c r="AA20" s="3390">
        <f>IF(F20=0,0,ROUND(AVERAGE(F20:F24)/100,4))</f>
        <v>1.6999999999999999E-3</v>
      </c>
      <c r="AB20" s="3390">
        <f>IF(G20=0,0,ROUND(AVERAGE(G20:G24)/100,4))</f>
        <v>9.2999999999999992E-3</v>
      </c>
      <c r="AC20" s="3390">
        <f>IF(H20=0,0,ROUND(AVERAGE(H20:H24)/100,4))</f>
        <v>6.1000000000000004E-3</v>
      </c>
      <c r="AD20" s="3390">
        <f t="shared" si="103"/>
        <v>1.6999999999999999E-3</v>
      </c>
      <c r="AF20" s="3680">
        <f t="shared" si="75"/>
        <v>103.35000000000001</v>
      </c>
      <c r="AG20" s="3680">
        <f t="shared" si="76"/>
        <v>101.82</v>
      </c>
      <c r="AH20" s="3680">
        <f t="shared" si="77"/>
        <v>101.08999999999999</v>
      </c>
      <c r="AI20" s="3680">
        <f t="shared" si="78"/>
        <v>103.61</v>
      </c>
      <c r="AJ20" s="3680">
        <f t="shared" si="79"/>
        <v>102.71</v>
      </c>
      <c r="AK20" s="3680">
        <f t="shared" si="80"/>
        <v>101.08999999999999</v>
      </c>
      <c r="AM20" s="3680">
        <f t="shared" si="57"/>
        <v>97.758208059538163</v>
      </c>
      <c r="AN20" s="3680">
        <f t="shared" si="58"/>
        <v>98.484027728253452</v>
      </c>
      <c r="AO20" s="3680">
        <f t="shared" si="59"/>
        <v>101.98006140762442</v>
      </c>
      <c r="AP20" s="3680">
        <f t="shared" si="60"/>
        <v>97.017570003134026</v>
      </c>
      <c r="AQ20" s="3680">
        <f t="shared" si="61"/>
        <v>94.468039149015155</v>
      </c>
      <c r="AR20" s="3680">
        <f t="shared" si="62"/>
        <v>101.98006140762442</v>
      </c>
    </row>
    <row r="21" spans="1:44">
      <c r="A21" s="3344" t="s">
        <v>2782</v>
      </c>
      <c r="B21" s="3403">
        <v>2021</v>
      </c>
      <c r="C21" s="3404">
        <v>4</v>
      </c>
      <c r="D21" s="3404">
        <v>1.03</v>
      </c>
      <c r="E21" s="3404">
        <v>0.24</v>
      </c>
      <c r="F21" s="3404">
        <v>7.0000000000000007E-2</v>
      </c>
      <c r="G21" s="3404">
        <v>1.17</v>
      </c>
      <c r="H21" s="3410">
        <v>0.55000000000000004</v>
      </c>
      <c r="I21" s="3405">
        <f t="shared" si="101"/>
        <v>7.0000000000000007E-2</v>
      </c>
      <c r="J21" s="3365"/>
      <c r="K21" s="3366">
        <f t="shared" si="102"/>
        <v>1.03E-2</v>
      </c>
      <c r="L21" s="3367">
        <f t="shared" si="102"/>
        <v>2.3999999999999998E-3</v>
      </c>
      <c r="M21" s="3367">
        <f t="shared" si="102"/>
        <v>7.000000000000001E-4</v>
      </c>
      <c r="N21" s="3367">
        <f t="shared" si="102"/>
        <v>1.1699999999999999E-2</v>
      </c>
      <c r="O21" s="3367">
        <f t="shared" si="102"/>
        <v>5.5000000000000005E-3</v>
      </c>
      <c r="P21" s="3367">
        <f t="shared" si="136"/>
        <v>7.000000000000001E-4</v>
      </c>
      <c r="Q21" s="3365"/>
      <c r="R21" s="3381">
        <f>ROUND(IF(项目基本情况!B8="出让",SUMPRODUCT(PRODUCT(1+K21:K24)),SUMPRODUCT(PRODUCT(1+K21:K23))),4)</f>
        <v>1.0244</v>
      </c>
      <c r="S21" s="3381">
        <f>ROUND(IF(项目基本情况!B8="出让",SUMPRODUCT(PRODUCT(1+L21:L24)),SUMPRODUCT(PRODUCT(1+L21:L23))),4)</f>
        <v>1.0138</v>
      </c>
      <c r="T21" s="3381">
        <f>ROUND(IF(项目基本情况!B8="出让",SUMPRODUCT(PRODUCT(1+M21:M24)),SUMPRODUCT(PRODUCT(1+M21:M23))),4)</f>
        <v>1.0072000000000001</v>
      </c>
      <c r="U21" s="3381">
        <f>ROUND(IF(项目基本情况!B8="出让",SUMPRODUCT(PRODUCT(1+N21:N24)),SUMPRODUCT(PRODUCT(1+N21:N23))),4)</f>
        <v>1.0262</v>
      </c>
      <c r="V21" s="3381">
        <f>ROUND(IF(项目基本情况!B8="出让",SUMPRODUCT(PRODUCT(1+O21:O24)),SUMPRODUCT(PRODUCT(1+O21:O23))),4)</f>
        <v>1.0205</v>
      </c>
      <c r="W21" s="3381">
        <f t="shared" si="137"/>
        <v>1.0072000000000001</v>
      </c>
      <c r="X21" s="3365"/>
      <c r="Y21" s="3390">
        <f>IF(D21=0,0,ROUND(AVERAGE(D21:D24)/100,4))</f>
        <v>8.5000000000000006E-3</v>
      </c>
      <c r="Z21" s="3390">
        <f>IF(E21=0,0,ROUND(AVERAGE(E21:E24)/100,4))</f>
        <v>3.8E-3</v>
      </c>
      <c r="AA21" s="3390">
        <f>IF(F21=0,0,ROUND(AVERAGE(F21:F24)/100,4))</f>
        <v>1.1999999999999999E-3</v>
      </c>
      <c r="AB21" s="3390">
        <f>IF(G21=0,0,ROUND(AVERAGE(G21:G24)/100,4))</f>
        <v>9.2999999999999992E-3</v>
      </c>
      <c r="AC21" s="3390">
        <f>IF(H21=0,0,ROUND(AVERAGE(H21:H24)/100,4))</f>
        <v>6.0000000000000001E-3</v>
      </c>
      <c r="AD21" s="3390">
        <f t="shared" si="103"/>
        <v>1.1999999999999999E-3</v>
      </c>
      <c r="AF21" s="3680">
        <f t="shared" si="75"/>
        <v>102.44</v>
      </c>
      <c r="AG21" s="3680">
        <f t="shared" si="76"/>
        <v>101.38000000000001</v>
      </c>
      <c r="AH21" s="3680">
        <f t="shared" si="77"/>
        <v>100.72000000000001</v>
      </c>
      <c r="AI21" s="3680">
        <f t="shared" si="78"/>
        <v>102.62</v>
      </c>
      <c r="AJ21" s="3680">
        <f t="shared" si="79"/>
        <v>102.05</v>
      </c>
      <c r="AK21" s="3680">
        <f t="shared" si="80"/>
        <v>100.72000000000001</v>
      </c>
      <c r="AM21" s="3680">
        <f t="shared" si="57"/>
        <v>96.895835126908679</v>
      </c>
      <c r="AN21" s="3680">
        <f t="shared" si="58"/>
        <v>98.0525963045136</v>
      </c>
      <c r="AO21" s="3680">
        <f t="shared" si="59"/>
        <v>101.60412614090308</v>
      </c>
      <c r="AP21" s="3680">
        <f t="shared" si="60"/>
        <v>96.095057451598677</v>
      </c>
      <c r="AQ21" s="3680">
        <f t="shared" si="61"/>
        <v>93.867288502598527</v>
      </c>
      <c r="AR21" s="3680">
        <f t="shared" si="62"/>
        <v>101.60412614090308</v>
      </c>
    </row>
    <row r="22" spans="1:44">
      <c r="A22" s="3344" t="s">
        <v>2783</v>
      </c>
      <c r="B22" s="3403">
        <v>2021</v>
      </c>
      <c r="C22" s="3404">
        <v>3</v>
      </c>
      <c r="D22" s="3404">
        <v>0.47</v>
      </c>
      <c r="E22" s="3404">
        <v>0.41</v>
      </c>
      <c r="F22" s="3404">
        <v>0.24</v>
      </c>
      <c r="G22" s="3404">
        <v>0.48</v>
      </c>
      <c r="H22" s="3410">
        <v>0.48</v>
      </c>
      <c r="I22" s="3405">
        <f t="shared" si="101"/>
        <v>0.24</v>
      </c>
      <c r="J22" s="3365"/>
      <c r="K22" s="3366">
        <f t="shared" si="102"/>
        <v>4.6999999999999993E-3</v>
      </c>
      <c r="L22" s="3367">
        <f t="shared" si="102"/>
        <v>4.0999999999999995E-3</v>
      </c>
      <c r="M22" s="3367">
        <f t="shared" si="102"/>
        <v>2.3999999999999998E-3</v>
      </c>
      <c r="N22" s="3367">
        <f t="shared" si="102"/>
        <v>4.7999999999999996E-3</v>
      </c>
      <c r="O22" s="3367">
        <f t="shared" si="102"/>
        <v>4.7999999999999996E-3</v>
      </c>
      <c r="P22" s="3367">
        <f t="shared" si="136"/>
        <v>2.3999999999999998E-3</v>
      </c>
      <c r="Q22" s="3365"/>
      <c r="R22" s="3381">
        <f>ROUND(IF(项目基本情况!B8="出让",SUMPRODUCT(PRODUCT(1+K22:K24)),SUMPRODUCT(PRODUCT(1+K22:K23))),4)</f>
        <v>1.0139</v>
      </c>
      <c r="S22" s="3381">
        <f>ROUND(IF(项目基本情况!B8="出让",SUMPRODUCT(PRODUCT(1+L22:L24)),SUMPRODUCT(PRODUCT(1+L22:L23))),4)</f>
        <v>1.0113000000000001</v>
      </c>
      <c r="T22" s="3381">
        <f>ROUND(IF(项目基本情况!B8="出让",SUMPRODUCT(PRODUCT(1+M22:M24)),SUMPRODUCT(PRODUCT(1+M22:M23))),4)</f>
        <v>1.0065</v>
      </c>
      <c r="U22" s="3381">
        <f>ROUND(IF(项目基本情况!B8="出让",SUMPRODUCT(PRODUCT(1+N22:N24)),SUMPRODUCT(PRODUCT(1+N22:N23))),4)</f>
        <v>1.0143</v>
      </c>
      <c r="V22" s="3381">
        <f>ROUND(IF(项目基本情况!B8="出让",SUMPRODUCT(PRODUCT(1+O22:O24)),SUMPRODUCT(PRODUCT(1+O22:O23))),4)</f>
        <v>1.0148999999999999</v>
      </c>
      <c r="W22" s="3381">
        <f t="shared" si="137"/>
        <v>1.0065</v>
      </c>
      <c r="X22" s="3365"/>
      <c r="Y22" s="3390">
        <f>IF(D22=0,0,ROUND(AVERAGE(D22:D24)/100,4))</f>
        <v>7.9000000000000008E-3</v>
      </c>
      <c r="Z22" s="3390">
        <f>IF(E22=0,0,ROUND(AVERAGE(E22:E24)/100,4))</f>
        <v>4.3E-3</v>
      </c>
      <c r="AA22" s="3390">
        <f>IF(F22=0,0,ROUND(AVERAGE(F22:F24)/100,4))</f>
        <v>1.2999999999999999E-3</v>
      </c>
      <c r="AB22" s="3390">
        <f>IF(G22=0,0,ROUND(AVERAGE(G22:G24)/100,4))</f>
        <v>8.5000000000000006E-3</v>
      </c>
      <c r="AC22" s="3390">
        <f>IF(H22=0,0,ROUND(AVERAGE(H22:H24)/100,4))</f>
        <v>6.1999999999999998E-3</v>
      </c>
      <c r="AD22" s="3390">
        <f t="shared" si="103"/>
        <v>1.2999999999999999E-3</v>
      </c>
      <c r="AF22" s="3680">
        <f t="shared" si="75"/>
        <v>101.39</v>
      </c>
      <c r="AG22" s="3680">
        <f t="shared" si="76"/>
        <v>101.13000000000001</v>
      </c>
      <c r="AH22" s="3680">
        <f t="shared" si="77"/>
        <v>100.64999999999999</v>
      </c>
      <c r="AI22" s="3680">
        <f t="shared" si="78"/>
        <v>101.42999999999999</v>
      </c>
      <c r="AJ22" s="3680">
        <f t="shared" si="79"/>
        <v>101.49</v>
      </c>
      <c r="AK22" s="3680">
        <f t="shared" si="80"/>
        <v>100.64999999999999</v>
      </c>
      <c r="AM22" s="3680">
        <f t="shared" si="57"/>
        <v>95.907982903007706</v>
      </c>
      <c r="AN22" s="3680">
        <f t="shared" si="58"/>
        <v>97.81783350410376</v>
      </c>
      <c r="AO22" s="3680">
        <f t="shared" si="59"/>
        <v>101.53305300380042</v>
      </c>
      <c r="AP22" s="3680">
        <f t="shared" si="60"/>
        <v>94.983747604624568</v>
      </c>
      <c r="AQ22" s="3680">
        <f t="shared" si="61"/>
        <v>93.353842369565911</v>
      </c>
      <c r="AR22" s="3680">
        <f t="shared" si="62"/>
        <v>101.53305300380042</v>
      </c>
    </row>
    <row r="23" spans="1:44">
      <c r="A23" s="3344" t="s">
        <v>2784</v>
      </c>
      <c r="B23" s="3403">
        <v>2021</v>
      </c>
      <c r="C23" s="3404">
        <v>2</v>
      </c>
      <c r="D23" s="3404">
        <v>0.92</v>
      </c>
      <c r="E23" s="3404">
        <v>0.72</v>
      </c>
      <c r="F23" s="3404">
        <v>0.41</v>
      </c>
      <c r="G23" s="3404">
        <v>0.95</v>
      </c>
      <c r="H23" s="3410">
        <v>1.01</v>
      </c>
      <c r="I23" s="3405">
        <f t="shared" si="101"/>
        <v>0.41</v>
      </c>
      <c r="J23" s="3365"/>
      <c r="K23" s="3366">
        <f t="shared" si="102"/>
        <v>9.1999999999999998E-3</v>
      </c>
      <c r="L23" s="3367">
        <f t="shared" si="102"/>
        <v>7.1999999999999998E-3</v>
      </c>
      <c r="M23" s="3367">
        <f t="shared" si="102"/>
        <v>4.0999999999999995E-3</v>
      </c>
      <c r="N23" s="3367">
        <f t="shared" si="102"/>
        <v>9.4999999999999998E-3</v>
      </c>
      <c r="O23" s="3367">
        <f t="shared" si="102"/>
        <v>1.01E-2</v>
      </c>
      <c r="P23" s="3367">
        <f t="shared" si="136"/>
        <v>4.0999999999999995E-3</v>
      </c>
      <c r="Q23" s="3365"/>
      <c r="R23" s="3381">
        <f>ROUND(IF(项目基本情况!B8="出让",SUMPRODUCT(PRODUCT(1+K23:K24)),SUMPRODUCT(PRODUCT(1+K23:K23))),4)</f>
        <v>1.0092000000000001</v>
      </c>
      <c r="S23" s="3381">
        <f>ROUND(IF(项目基本情况!B8="出让",SUMPRODUCT(PRODUCT(1+L23:L24)),SUMPRODUCT(PRODUCT(1+L23:L23))),4)</f>
        <v>1.0072000000000001</v>
      </c>
      <c r="T23" s="3381">
        <f>ROUND(IF(项目基本情况!B8="出让",SUMPRODUCT(PRODUCT(1+M23:M24)),SUMPRODUCT(PRODUCT(1+M23:M23))),4)</f>
        <v>1.0041</v>
      </c>
      <c r="U23" s="3381">
        <f>ROUND(IF(项目基本情况!B8="出让",SUMPRODUCT(PRODUCT(1+N23:N24)),SUMPRODUCT(PRODUCT(1+N23:N23))),4)</f>
        <v>1.0095000000000001</v>
      </c>
      <c r="V23" s="3381">
        <f>ROUND(IF(项目基本情况!B8="出让",SUMPRODUCT(PRODUCT(1+O23:O24)),SUMPRODUCT(PRODUCT(1+O23:O23))),4)</f>
        <v>1.0101</v>
      </c>
      <c r="W23" s="3381">
        <f t="shared" si="137"/>
        <v>1.0041</v>
      </c>
      <c r="X23" s="3365"/>
      <c r="Y23" s="3390">
        <f>IF(D23=0,0,ROUND(AVERAGE(D23:D24)/100,4))</f>
        <v>9.4999999999999998E-3</v>
      </c>
      <c r="Z23" s="3390">
        <f>IF(E23=0,0,ROUND(AVERAGE(E23:E24)/100,4))</f>
        <v>4.4000000000000003E-3</v>
      </c>
      <c r="AA23" s="3390">
        <f>IF(F23=0,0,ROUND(AVERAGE(F23:F24)/100,4))</f>
        <v>8.0000000000000004E-4</v>
      </c>
      <c r="AB23" s="3390">
        <f>IF(G23=0,0,ROUND(AVERAGE(G23:G24)/100,4))</f>
        <v>1.03E-2</v>
      </c>
      <c r="AC23" s="3390">
        <f>IF(H23=0,0,ROUND(AVERAGE(H23:H24)/100,4))</f>
        <v>6.8999999999999999E-3</v>
      </c>
      <c r="AD23" s="3390">
        <f t="shared" si="103"/>
        <v>8.0000000000000004E-4</v>
      </c>
      <c r="AF23" s="3680">
        <f>$AF$24*R23</f>
        <v>100.92000000000002</v>
      </c>
      <c r="AG23" s="3680">
        <f>$AG$24*S23</f>
        <v>100.72000000000001</v>
      </c>
      <c r="AH23" s="3680">
        <f>$AH$24*T23</f>
        <v>100.41</v>
      </c>
      <c r="AI23" s="3680">
        <f>$AI$24*U23</f>
        <v>100.95</v>
      </c>
      <c r="AJ23" s="3680">
        <f>$AJ$24*V23</f>
        <v>101.01</v>
      </c>
      <c r="AK23" s="3680">
        <f>$AK$24*W23</f>
        <v>100.41</v>
      </c>
      <c r="AM23" s="3680">
        <f t="shared" si="57"/>
        <v>95.459324079832498</v>
      </c>
      <c r="AN23" s="3680">
        <f t="shared" si="58"/>
        <v>97.418417990343357</v>
      </c>
      <c r="AO23" s="3680">
        <f t="shared" si="59"/>
        <v>101.28995710674424</v>
      </c>
      <c r="AP23" s="3680">
        <f t="shared" si="60"/>
        <v>94.530003587405034</v>
      </c>
      <c r="AQ23" s="3680">
        <f t="shared" si="61"/>
        <v>92.907884523851436</v>
      </c>
      <c r="AR23" s="3680">
        <f t="shared" si="62"/>
        <v>101.28995710674424</v>
      </c>
    </row>
    <row r="24" spans="1:44" ht="14.25" thickBot="1">
      <c r="A24" s="3346" t="s">
        <v>2785</v>
      </c>
      <c r="B24" s="3411">
        <v>2021</v>
      </c>
      <c r="C24" s="3412">
        <v>1</v>
      </c>
      <c r="D24" s="3412">
        <v>0.97</v>
      </c>
      <c r="E24" s="3412">
        <v>0.16</v>
      </c>
      <c r="F24" s="3412">
        <v>-0.25</v>
      </c>
      <c r="G24" s="3412">
        <v>1.1100000000000001</v>
      </c>
      <c r="H24" s="3413">
        <v>0.36</v>
      </c>
      <c r="I24" s="3414">
        <f t="shared" si="101"/>
        <v>-0.25</v>
      </c>
      <c r="J24" s="3371"/>
      <c r="K24" s="3372">
        <f t="shared" si="102"/>
        <v>9.7000000000000003E-3</v>
      </c>
      <c r="L24" s="3373">
        <f t="shared" si="102"/>
        <v>1.6000000000000001E-3</v>
      </c>
      <c r="M24" s="3373">
        <f>F24/100</f>
        <v>-2.5000000000000001E-3</v>
      </c>
      <c r="N24" s="3373">
        <f t="shared" si="102"/>
        <v>1.11E-2</v>
      </c>
      <c r="O24" s="3373">
        <f t="shared" si="102"/>
        <v>3.5999999999999999E-3</v>
      </c>
      <c r="P24" s="3373">
        <f t="shared" si="136"/>
        <v>-2.5000000000000001E-3</v>
      </c>
      <c r="Q24" s="3371"/>
      <c r="R24" s="3382">
        <v>1</v>
      </c>
      <c r="S24" s="3382">
        <v>1</v>
      </c>
      <c r="T24" s="3382">
        <v>1</v>
      </c>
      <c r="U24" s="3382">
        <v>1</v>
      </c>
      <c r="V24" s="3382">
        <v>1</v>
      </c>
      <c r="W24" s="3382">
        <f t="shared" si="137"/>
        <v>1</v>
      </c>
      <c r="X24" s="3371"/>
      <c r="Y24" s="3373">
        <f>IF(D24=0,0,ROUND(AVERAGE(D24:D24)/100,4))</f>
        <v>9.7000000000000003E-3</v>
      </c>
      <c r="Z24" s="3373">
        <f>IF(E24=0,0,ROUND(AVERAGE(E24:E24)/100,4))</f>
        <v>1.6000000000000001E-3</v>
      </c>
      <c r="AA24" s="3373">
        <f>IF(F24=0,0,ROUND(AVERAGE(F24:F24)/100,4))</f>
        <v>-2.5000000000000001E-3</v>
      </c>
      <c r="AB24" s="3373">
        <f>IF(G24=0,0,ROUND(AVERAGE(G24:G24)/100,4))</f>
        <v>1.11E-2</v>
      </c>
      <c r="AC24" s="3373">
        <f>IF(H24=0,0,ROUND(AVERAGE(H24:H24)/100,4))</f>
        <v>3.5999999999999999E-3</v>
      </c>
      <c r="AD24" s="3373">
        <f>AA24</f>
        <v>-2.5000000000000001E-3</v>
      </c>
      <c r="AF24" s="3681">
        <v>100</v>
      </c>
      <c r="AG24" s="3681">
        <v>100</v>
      </c>
      <c r="AH24" s="3681">
        <v>100</v>
      </c>
      <c r="AI24" s="3681">
        <v>100</v>
      </c>
      <c r="AJ24" s="3681">
        <v>100</v>
      </c>
      <c r="AK24" s="3681">
        <v>100</v>
      </c>
      <c r="AM24" s="3680">
        <f t="shared" si="57"/>
        <v>94.589104320087685</v>
      </c>
      <c r="AN24" s="3680">
        <f t="shared" si="58"/>
        <v>96.722019450301175</v>
      </c>
      <c r="AO24" s="3680">
        <f t="shared" si="59"/>
        <v>100.87636401428567</v>
      </c>
      <c r="AP24" s="3680">
        <f t="shared" si="60"/>
        <v>93.640419601193685</v>
      </c>
      <c r="AQ24" s="3680">
        <f t="shared" si="61"/>
        <v>91.978897657510586</v>
      </c>
      <c r="AR24" s="3680">
        <f t="shared" si="62"/>
        <v>100.87636401428567</v>
      </c>
    </row>
    <row r="25" spans="1:44" ht="14.25" thickTop="1">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44">
      <c r="A26" s="3662" t="s">
        <v>3266</v>
      </c>
      <c r="B26" s="3281"/>
      <c r="C26" s="3281"/>
      <c r="D26" s="3281"/>
      <c r="E26" s="3281"/>
      <c r="F26" s="3281"/>
      <c r="G26" s="3281"/>
      <c r="H26" s="3281"/>
      <c r="I26" s="3281"/>
      <c r="J26" s="3281"/>
      <c r="K26" s="3281"/>
      <c r="L26" s="3281"/>
      <c r="M26" s="3281"/>
      <c r="N26" s="3281"/>
      <c r="O26" s="3281"/>
      <c r="P26" s="3281"/>
      <c r="Q26" s="3281"/>
      <c r="R26" s="3281"/>
      <c r="S26" s="3281"/>
      <c r="T26" s="3281"/>
      <c r="U26" s="3281"/>
      <c r="V26" s="3281"/>
      <c r="W26" s="3281"/>
      <c r="X26" s="3281"/>
      <c r="Y26" s="3281"/>
      <c r="Z26" s="3281"/>
      <c r="AA26" s="3281"/>
      <c r="AB26" s="3281"/>
      <c r="AC26" s="3281"/>
      <c r="AD26" s="3281"/>
    </row>
    <row r="27" spans="1:44">
      <c r="A27" s="3281"/>
      <c r="B27" s="3281"/>
      <c r="C27" s="3281"/>
      <c r="D27" s="3281"/>
      <c r="E27" s="3281"/>
      <c r="F27" s="3281"/>
      <c r="G27" s="3281"/>
      <c r="H27" s="3281"/>
      <c r="I27" s="3374" t="s">
        <v>2796</v>
      </c>
      <c r="J27" s="3281"/>
      <c r="K27" s="3281"/>
      <c r="L27" s="3281"/>
      <c r="M27" s="3281"/>
      <c r="N27" s="3281"/>
      <c r="O27" s="3281"/>
      <c r="P27" s="3281"/>
      <c r="Q27" s="3281"/>
      <c r="R27" s="3281"/>
      <c r="S27" s="3281"/>
      <c r="T27" s="3281"/>
      <c r="U27" s="3281"/>
      <c r="V27" s="3281"/>
      <c r="W27" s="3281"/>
      <c r="X27" s="3281"/>
      <c r="Y27" s="3281"/>
      <c r="Z27" s="3281"/>
      <c r="AA27" s="3281"/>
      <c r="AB27" s="3281"/>
      <c r="AC27" s="3281"/>
      <c r="AD27" s="3281"/>
    </row>
    <row r="28" spans="1:44">
      <c r="A28" s="3281"/>
      <c r="B28" s="3281"/>
      <c r="C28" s="3281"/>
      <c r="D28" s="3281"/>
      <c r="E28" s="3281"/>
      <c r="F28" s="3281"/>
      <c r="G28" s="3281"/>
      <c r="H28" s="3281"/>
      <c r="I28" s="3281"/>
      <c r="J28" s="3281"/>
      <c r="K28" s="3281"/>
      <c r="L28" s="3281"/>
      <c r="M28" s="3281"/>
      <c r="N28" s="3281"/>
      <c r="O28" s="3281"/>
      <c r="P28" s="3281"/>
      <c r="Q28" s="3281"/>
      <c r="R28" s="3281"/>
      <c r="S28" s="3281"/>
      <c r="T28" s="3281"/>
      <c r="U28" s="3281"/>
      <c r="V28" s="3281"/>
      <c r="W28" s="3281"/>
      <c r="X28" s="3281"/>
      <c r="Y28" s="3281"/>
      <c r="Z28" s="3281"/>
      <c r="AA28" s="3281"/>
      <c r="AB28" s="3281"/>
      <c r="AC28" s="3281"/>
      <c r="AD28" s="3281"/>
    </row>
    <row r="29" spans="1:44">
      <c r="A29" s="3347"/>
      <c r="B29" s="3348" t="s">
        <v>3265</v>
      </c>
      <c r="C29" s="3349"/>
      <c r="D29" s="3349"/>
      <c r="E29" s="3349"/>
      <c r="F29" s="3349"/>
      <c r="G29" s="3349"/>
      <c r="H29" s="3349"/>
      <c r="I29" s="3349"/>
      <c r="J29" s="3350"/>
      <c r="K29" s="3349" t="s">
        <v>2789</v>
      </c>
      <c r="L29" s="3349"/>
      <c r="M29" s="3349"/>
      <c r="N29" s="3349"/>
      <c r="O29" s="3349"/>
      <c r="P29" s="3349"/>
      <c r="Q29" s="3350"/>
      <c r="R29" s="3954" t="s">
        <v>2804</v>
      </c>
      <c r="S29" s="3955"/>
      <c r="T29" s="3955"/>
      <c r="U29" s="3955"/>
      <c r="V29" s="3955"/>
      <c r="W29" s="3955"/>
      <c r="X29" s="3350"/>
      <c r="Y29" s="3954" t="s">
        <v>1925</v>
      </c>
      <c r="Z29" s="3955"/>
      <c r="AA29" s="3955"/>
      <c r="AB29" s="3955"/>
      <c r="AC29" s="3955"/>
      <c r="AD29" s="3955"/>
    </row>
    <row r="30" spans="1:44" ht="14.25" thickBot="1">
      <c r="A30" s="3341"/>
      <c r="B30" s="3351"/>
      <c r="C30" s="3352"/>
      <c r="D30" s="3353" t="s">
        <v>2791</v>
      </c>
      <c r="E30" s="3354" t="s">
        <v>2792</v>
      </c>
      <c r="F30" s="3354" t="s">
        <v>2793</v>
      </c>
      <c r="G30" s="3354" t="s">
        <v>1469</v>
      </c>
      <c r="H30" s="3354"/>
      <c r="I30" s="3354" t="s">
        <v>2737</v>
      </c>
      <c r="J30" s="3355"/>
      <c r="K30" s="3353" t="s">
        <v>2791</v>
      </c>
      <c r="L30" s="3354" t="s">
        <v>2792</v>
      </c>
      <c r="M30" s="3354" t="s">
        <v>2793</v>
      </c>
      <c r="N30" s="3354" t="s">
        <v>2794</v>
      </c>
      <c r="O30" s="3354"/>
      <c r="P30" s="3354" t="s">
        <v>2737</v>
      </c>
      <c r="Q30" s="3355"/>
      <c r="R30" s="3353" t="s">
        <v>2805</v>
      </c>
      <c r="S30" s="3354" t="s">
        <v>2806</v>
      </c>
      <c r="T30" s="3354" t="s">
        <v>2793</v>
      </c>
      <c r="U30" s="3354" t="s">
        <v>1469</v>
      </c>
      <c r="V30" s="3354"/>
      <c r="W30" s="3354" t="s">
        <v>2807</v>
      </c>
      <c r="X30" s="3355"/>
      <c r="Y30" s="3353" t="s">
        <v>2790</v>
      </c>
      <c r="Z30" s="3354" t="s">
        <v>2792</v>
      </c>
      <c r="AA30" s="3354" t="s">
        <v>2793</v>
      </c>
      <c r="AB30" s="3354" t="s">
        <v>1469</v>
      </c>
      <c r="AC30" s="3354"/>
      <c r="AD30" s="3354" t="s">
        <v>2810</v>
      </c>
      <c r="AG30" t="s">
        <v>2738</v>
      </c>
      <c r="AH30" t="s">
        <v>1212</v>
      </c>
      <c r="AI30" t="s">
        <v>851</v>
      </c>
      <c r="AK30" t="s">
        <v>2736</v>
      </c>
      <c r="AN30" t="s">
        <v>2738</v>
      </c>
      <c r="AO30" t="s">
        <v>1212</v>
      </c>
      <c r="AP30" t="s">
        <v>851</v>
      </c>
      <c r="AR30" t="s">
        <v>2736</v>
      </c>
    </row>
    <row r="31" spans="1:44">
      <c r="A31" s="3342" t="s">
        <v>2786</v>
      </c>
      <c r="B31" s="3356"/>
      <c r="C31" s="3357"/>
      <c r="D31" s="3357"/>
      <c r="E31" s="3357">
        <f>ROUND(AVERAGEIF(E32:E52,"&lt;&gt;0"),2)</f>
        <v>0.11</v>
      </c>
      <c r="F31" s="3357">
        <f>ROUND(AVERAGEIF(F32:F52,"&lt;&gt;0"),2)</f>
        <v>7.0000000000000007E-2</v>
      </c>
      <c r="G31" s="3357">
        <f>ROUND(AVERAGEIF(G32:G52,"&lt;&gt;0"),2)</f>
        <v>0.26</v>
      </c>
      <c r="H31" s="3357"/>
      <c r="I31" s="3357">
        <f>F31</f>
        <v>7.0000000000000007E-2</v>
      </c>
      <c r="J31" s="3358"/>
      <c r="K31" s="3359"/>
      <c r="L31" s="3360">
        <f>ROUND(AVERAGEIF(L32:L52,"&lt;&gt;0"),4)</f>
        <v>1.1000000000000001E-3</v>
      </c>
      <c r="M31" s="3360">
        <f>ROUND(AVERAGEIF(M32:M52,"&lt;&gt;0"),4)</f>
        <v>6.9999999999999999E-4</v>
      </c>
      <c r="N31" s="3360">
        <f>ROUND(AVERAGEIF(N32:N52,"&lt;&gt;0"),4)</f>
        <v>2.5999999999999999E-3</v>
      </c>
      <c r="O31" s="3360"/>
      <c r="P31" s="3360">
        <f>M31</f>
        <v>6.9999999999999999E-4</v>
      </c>
      <c r="Q31" s="3358"/>
      <c r="R31" s="3375"/>
      <c r="S31" s="3376">
        <f>ROUND(SUMPRODUCT(PRODUCT(1+L32:L52)),4)</f>
        <v>1.0185</v>
      </c>
      <c r="T31" s="3376">
        <f>ROUND(SUMPRODUCT(PRODUCT(1+M32:M52)),4)</f>
        <v>1.012</v>
      </c>
      <c r="U31" s="3376">
        <f>ROUND(SUMPRODUCT(PRODUCT(1+N32:N52)),4)</f>
        <v>1.0436000000000001</v>
      </c>
      <c r="V31" s="3376"/>
      <c r="W31" s="3375">
        <f>T31</f>
        <v>1.012</v>
      </c>
      <c r="X31" s="3358"/>
      <c r="Y31" s="3383"/>
      <c r="Z31" s="3384">
        <f>ROUND(AVERAGEIF(Z32:Z52,"&lt;&gt;0"),4)</f>
        <v>3.7000000000000002E-3</v>
      </c>
      <c r="AA31" s="3385">
        <f>ROUND(AVERAGEIF(AA32:AA52,"&lt;&gt;0"),4)</f>
        <v>3.0000000000000001E-3</v>
      </c>
      <c r="AB31" s="3383">
        <f>ROUND(AVERAGEIF(AB32:AB52,"&lt;&gt;0"),4)</f>
        <v>6.8999999999999999E-3</v>
      </c>
      <c r="AC31" s="3386"/>
      <c r="AD31" s="3383">
        <f>AA31</f>
        <v>3.0000000000000001E-3</v>
      </c>
    </row>
    <row r="32" spans="1:44">
      <c r="A32" s="3343"/>
      <c r="B32" s="3361"/>
      <c r="C32" s="3362"/>
      <c r="D32" s="3362"/>
      <c r="E32" s="3362"/>
      <c r="F32" s="3362"/>
      <c r="G32" s="3362"/>
      <c r="H32" s="3362"/>
      <c r="I32" s="3362"/>
      <c r="J32" s="3350"/>
      <c r="K32" s="3363"/>
      <c r="L32" s="3364"/>
      <c r="M32" s="3364"/>
      <c r="N32" s="3364"/>
      <c r="O32" s="3364"/>
      <c r="P32" s="3364"/>
      <c r="Q32" s="3350"/>
      <c r="R32" s="3377"/>
      <c r="S32" s="3378"/>
      <c r="T32" s="3379"/>
      <c r="U32" s="3377"/>
      <c r="V32" s="3380"/>
      <c r="W32" s="3377"/>
      <c r="X32" s="3350"/>
      <c r="Y32" s="3367"/>
      <c r="Z32" s="3387"/>
      <c r="AA32" s="3388"/>
      <c r="AB32" s="3367"/>
      <c r="AC32" s="3389"/>
      <c r="AD32" s="3367"/>
    </row>
    <row r="33" spans="1:44">
      <c r="A33" s="3663" t="s">
        <v>3314</v>
      </c>
      <c r="B33" s="3403">
        <v>2025</v>
      </c>
      <c r="C33" s="3404">
        <v>4</v>
      </c>
      <c r="D33" s="3404"/>
      <c r="E33" s="3404">
        <v>0</v>
      </c>
      <c r="F33" s="3404">
        <v>0</v>
      </c>
      <c r="G33" s="3404">
        <v>0</v>
      </c>
      <c r="H33" s="3404"/>
      <c r="I33" s="3405">
        <f t="shared" ref="I33" si="138">F33</f>
        <v>0</v>
      </c>
      <c r="J33" s="3365"/>
      <c r="K33" s="3366"/>
      <c r="L33" s="3367">
        <f t="shared" ref="L33" si="139">E33/100</f>
        <v>0</v>
      </c>
      <c r="M33" s="3367">
        <f t="shared" ref="M33" si="140">F33/100</f>
        <v>0</v>
      </c>
      <c r="N33" s="3367">
        <f t="shared" ref="N33" si="141">G33/100</f>
        <v>0</v>
      </c>
      <c r="O33" s="3367"/>
      <c r="P33" s="3367">
        <f t="shared" ref="P33:P39" si="142">M33</f>
        <v>0</v>
      </c>
      <c r="Q33" s="3365"/>
      <c r="R33" s="3381"/>
      <c r="S33" s="3381">
        <f>ROUND(IF(项目基本情况!$B$8="出让",SUMPRODUCT(PRODUCT(1+L33:L$52)),SUMPRODUCT(PRODUCT(1+L33:L$51))),4)</f>
        <v>1.0148999999999999</v>
      </c>
      <c r="T33" s="3381">
        <f>ROUND(IF(项目基本情况!$B$8="出让",SUMPRODUCT(PRODUCT(1+M33:M$52)),SUMPRODUCT(PRODUCT(1+M33:M$51))),4)</f>
        <v>1.0072000000000001</v>
      </c>
      <c r="U33" s="3381">
        <f>ROUND(IF(项目基本情况!$B$8="出让",SUMPRODUCT(PRODUCT(1+N33:N$52)),SUMPRODUCT(PRODUCT(1+N33:N$51))),4)</f>
        <v>1.0335000000000001</v>
      </c>
      <c r="V33" s="3381"/>
      <c r="W33" s="3381">
        <f t="shared" ref="W33:W39" si="143">T33</f>
        <v>1.0072000000000001</v>
      </c>
      <c r="X33" s="3365"/>
      <c r="Y33" s="3390"/>
      <c r="Z33" s="3391">
        <f t="shared" ref="Z33" si="144">IF(E33=0,0,ROUND(AVERAGE(E33:E46)/100,4))</f>
        <v>0</v>
      </c>
      <c r="AA33" s="3391">
        <f t="shared" ref="AA33" si="145">IF(F33=0,0,ROUND(AVERAGE(F33:F46)/100,4))</f>
        <v>0</v>
      </c>
      <c r="AB33" s="3391">
        <f t="shared" ref="AB33" si="146">IF(G33=0,0,ROUND(AVERAGE(G33:G46)/100,4))</f>
        <v>0</v>
      </c>
      <c r="AC33" s="3392"/>
      <c r="AD33" s="3390">
        <f t="shared" ref="AD33:AD39" si="147">IF(I33=0,0,ROUND(AVERAGE(I33:I46)/100,4))</f>
        <v>0</v>
      </c>
      <c r="AG33" s="3680">
        <f t="shared" ref="AG33:AG36" si="148">$AG$52*S33</f>
        <v>101.49</v>
      </c>
      <c r="AH33" s="3680">
        <f t="shared" ref="AH33:AH36" si="149">$AH$52*T33</f>
        <v>100.72000000000001</v>
      </c>
      <c r="AI33" s="3680">
        <f t="shared" ref="AI33:AI36" si="150">$AI$52*U33</f>
        <v>103.35000000000001</v>
      </c>
      <c r="AJ33" s="3680"/>
      <c r="AK33" s="3680">
        <f t="shared" ref="AK33:AK36" si="151">$AK$52*W33</f>
        <v>100.72000000000001</v>
      </c>
      <c r="AN33" s="3679">
        <v>100</v>
      </c>
      <c r="AO33" s="3679">
        <v>100</v>
      </c>
      <c r="AP33" s="3679">
        <v>100</v>
      </c>
      <c r="AQ33" s="3679"/>
      <c r="AR33" s="3679">
        <v>100</v>
      </c>
    </row>
    <row r="34" spans="1:44">
      <c r="A34" s="3663" t="s">
        <v>3313</v>
      </c>
      <c r="B34" s="3403">
        <v>2025</v>
      </c>
      <c r="C34" s="3404">
        <v>3</v>
      </c>
      <c r="D34" s="3404"/>
      <c r="E34" s="3404">
        <v>0</v>
      </c>
      <c r="F34" s="3404">
        <v>0</v>
      </c>
      <c r="G34" s="3404">
        <v>0</v>
      </c>
      <c r="H34" s="3404"/>
      <c r="I34" s="3405">
        <f t="shared" ref="I34" si="152">F34</f>
        <v>0</v>
      </c>
      <c r="J34" s="3365"/>
      <c r="K34" s="3366"/>
      <c r="L34" s="3367">
        <f t="shared" ref="L34" si="153">E34/100</f>
        <v>0</v>
      </c>
      <c r="M34" s="3367">
        <f t="shared" ref="M34" si="154">F34/100</f>
        <v>0</v>
      </c>
      <c r="N34" s="3367">
        <f t="shared" ref="N34" si="155">G34/100</f>
        <v>0</v>
      </c>
      <c r="O34" s="3367"/>
      <c r="P34" s="3367">
        <f t="shared" si="142"/>
        <v>0</v>
      </c>
      <c r="Q34" s="3365"/>
      <c r="R34" s="3381"/>
      <c r="S34" s="3381">
        <f>ROUND(IF(项目基本情况!$B$8="出让",SUMPRODUCT(PRODUCT(1+L34:L$52)),SUMPRODUCT(PRODUCT(1+L34:L$51))),4)</f>
        <v>1.0148999999999999</v>
      </c>
      <c r="T34" s="3381">
        <f>ROUND(IF(项目基本情况!$B$8="出让",SUMPRODUCT(PRODUCT(1+M34:M$52)),SUMPRODUCT(PRODUCT(1+M34:M$51))),4)</f>
        <v>1.0072000000000001</v>
      </c>
      <c r="U34" s="3381">
        <f>ROUND(IF(项目基本情况!$B$8="出让",SUMPRODUCT(PRODUCT(1+N34:N$52)),SUMPRODUCT(PRODUCT(1+N34:N$51))),4)</f>
        <v>1.0335000000000001</v>
      </c>
      <c r="V34" s="3381"/>
      <c r="W34" s="3381">
        <f t="shared" si="143"/>
        <v>1.0072000000000001</v>
      </c>
      <c r="X34" s="3365"/>
      <c r="Y34" s="3390"/>
      <c r="Z34" s="3391">
        <f t="shared" ref="Z34" si="156">IF(E34=0,0,ROUND(AVERAGE(E34:E47)/100,4))</f>
        <v>0</v>
      </c>
      <c r="AA34" s="3391">
        <f t="shared" ref="AA34" si="157">IF(F34=0,0,ROUND(AVERAGE(F34:F47)/100,4))</f>
        <v>0</v>
      </c>
      <c r="AB34" s="3391">
        <f t="shared" ref="AB34" si="158">IF(G34=0,0,ROUND(AVERAGE(G34:G47)/100,4))</f>
        <v>0</v>
      </c>
      <c r="AC34" s="3392"/>
      <c r="AD34" s="3390">
        <f t="shared" si="147"/>
        <v>0</v>
      </c>
      <c r="AG34" s="3680">
        <f t="shared" si="148"/>
        <v>101.49</v>
      </c>
      <c r="AH34" s="3680">
        <f t="shared" si="149"/>
        <v>100.72000000000001</v>
      </c>
      <c r="AI34" s="3680">
        <f t="shared" si="150"/>
        <v>103.35000000000001</v>
      </c>
      <c r="AJ34" s="3680"/>
      <c r="AK34" s="3680">
        <f t="shared" si="151"/>
        <v>100.72000000000001</v>
      </c>
      <c r="AN34" s="3680">
        <f>AN33/(1+E33/100)</f>
        <v>100</v>
      </c>
      <c r="AO34" s="3680">
        <f t="shared" ref="AO34:AR34" si="159">AO33/(1+F33/100)</f>
        <v>100</v>
      </c>
      <c r="AP34" s="3680">
        <f t="shared" si="159"/>
        <v>100</v>
      </c>
      <c r="AQ34" s="3680"/>
      <c r="AR34" s="3680">
        <f t="shared" si="159"/>
        <v>100</v>
      </c>
    </row>
    <row r="35" spans="1:44">
      <c r="A35" s="3345" t="s">
        <v>3317</v>
      </c>
      <c r="B35" s="3406">
        <v>2025</v>
      </c>
      <c r="C35" s="3407">
        <v>2</v>
      </c>
      <c r="D35" s="3407"/>
      <c r="E35" s="3407">
        <v>0</v>
      </c>
      <c r="F35" s="3407">
        <v>0</v>
      </c>
      <c r="G35" s="3407">
        <v>0</v>
      </c>
      <c r="H35" s="3408"/>
      <c r="I35" s="3409">
        <f t="shared" ref="I35" si="160">F35</f>
        <v>0</v>
      </c>
      <c r="J35" s="3368"/>
      <c r="K35" s="3369"/>
      <c r="L35" s="3370">
        <f t="shared" ref="L35" si="161">E35/100</f>
        <v>0</v>
      </c>
      <c r="M35" s="3370">
        <f t="shared" ref="M35" si="162">F35/100</f>
        <v>0</v>
      </c>
      <c r="N35" s="3370">
        <f t="shared" ref="N35" si="163">G35/100</f>
        <v>0</v>
      </c>
      <c r="O35" s="3370"/>
      <c r="P35" s="3370">
        <f t="shared" si="142"/>
        <v>0</v>
      </c>
      <c r="Q35" s="3368"/>
      <c r="R35" s="3368"/>
      <c r="S35" s="3368">
        <f>ROUND(IF(项目基本情况!$B$8="出让",SUMPRODUCT(PRODUCT(1+L35:L$52)),SUMPRODUCT(PRODUCT(1+L35:L$51))),4)</f>
        <v>1.0148999999999999</v>
      </c>
      <c r="T35" s="3368">
        <f>ROUND(IF(项目基本情况!$B$8="出让",SUMPRODUCT(PRODUCT(1+M35:M$52)),SUMPRODUCT(PRODUCT(1+M35:M$51))),4)</f>
        <v>1.0072000000000001</v>
      </c>
      <c r="U35" s="3368">
        <f>ROUND(IF(项目基本情况!$B$8="出让",SUMPRODUCT(PRODUCT(1+N35:N$52)),SUMPRODUCT(PRODUCT(1+N35:N$51))),4)</f>
        <v>1.0335000000000001</v>
      </c>
      <c r="V35" s="3368"/>
      <c r="W35" s="3368">
        <f t="shared" si="143"/>
        <v>1.0072000000000001</v>
      </c>
      <c r="X35" s="3365"/>
      <c r="Y35" s="3390"/>
      <c r="Z35" s="3391">
        <f t="shared" ref="Z35" si="164">IF(E35=0,0,ROUND(AVERAGE(E35:E48)/100,4))</f>
        <v>0</v>
      </c>
      <c r="AA35" s="3391">
        <f t="shared" ref="AA35" si="165">IF(F35=0,0,ROUND(AVERAGE(F35:F48)/100,4))</f>
        <v>0</v>
      </c>
      <c r="AB35" s="3391">
        <f t="shared" ref="AB35" si="166">IF(G35=0,0,ROUND(AVERAGE(G35:G48)/100,4))</f>
        <v>0</v>
      </c>
      <c r="AC35" s="3392"/>
      <c r="AD35" s="3390">
        <f t="shared" si="147"/>
        <v>0</v>
      </c>
      <c r="AG35" s="3680">
        <f t="shared" si="148"/>
        <v>101.49</v>
      </c>
      <c r="AH35" s="3680">
        <f t="shared" si="149"/>
        <v>100.72000000000001</v>
      </c>
      <c r="AI35" s="3680">
        <f t="shared" si="150"/>
        <v>103.35000000000001</v>
      </c>
      <c r="AJ35" s="3680"/>
      <c r="AK35" s="3680">
        <f t="shared" si="151"/>
        <v>100.72000000000001</v>
      </c>
      <c r="AN35" s="3680">
        <f t="shared" ref="AN35:AN52" si="167">AN34/(1+E34/100)</f>
        <v>100</v>
      </c>
      <c r="AO35" s="3680">
        <f t="shared" ref="AO35:AO52" si="168">AO34/(1+F34/100)</f>
        <v>100</v>
      </c>
      <c r="AP35" s="3680">
        <f t="shared" ref="AP35:AP52" si="169">AP34/(1+G34/100)</f>
        <v>100</v>
      </c>
      <c r="AQ35" s="3680"/>
      <c r="AR35" s="3680">
        <f t="shared" ref="AR35:AR52" si="170">AR34/(1+I34/100)</f>
        <v>100</v>
      </c>
    </row>
    <row r="36" spans="1:44">
      <c r="A36" s="3663" t="s">
        <v>3261</v>
      </c>
      <c r="B36" s="3403">
        <v>2025</v>
      </c>
      <c r="C36" s="3404">
        <v>1</v>
      </c>
      <c r="D36" s="3404"/>
      <c r="E36" s="3404">
        <v>-1.47</v>
      </c>
      <c r="F36" s="3404">
        <v>-0.98</v>
      </c>
      <c r="G36" s="3404">
        <v>-0.51</v>
      </c>
      <c r="H36" s="3404"/>
      <c r="I36" s="3405">
        <f t="shared" ref="I36" si="171">F36</f>
        <v>-0.98</v>
      </c>
      <c r="J36" s="3365"/>
      <c r="K36" s="3366"/>
      <c r="L36" s="3367">
        <f t="shared" ref="L36" si="172">E36/100</f>
        <v>-1.47E-2</v>
      </c>
      <c r="M36" s="3367">
        <f t="shared" ref="M36" si="173">F36/100</f>
        <v>-9.7999999999999997E-3</v>
      </c>
      <c r="N36" s="3367">
        <f t="shared" ref="N36" si="174">G36/100</f>
        <v>-5.1000000000000004E-3</v>
      </c>
      <c r="O36" s="3367"/>
      <c r="P36" s="3367">
        <f t="shared" si="142"/>
        <v>-9.7999999999999997E-3</v>
      </c>
      <c r="Q36" s="3365"/>
      <c r="R36" s="3381"/>
      <c r="S36" s="3381">
        <f>ROUND(IF(项目基本情况!$B$8="出让",SUMPRODUCT(PRODUCT(1+L36:L$52)),SUMPRODUCT(PRODUCT(1+L36:L$51))),4)</f>
        <v>1.0148999999999999</v>
      </c>
      <c r="T36" s="3381">
        <f>ROUND(IF(项目基本情况!$B$8="出让",SUMPRODUCT(PRODUCT(1+M36:M$52)),SUMPRODUCT(PRODUCT(1+M36:M$51))),4)</f>
        <v>1.0072000000000001</v>
      </c>
      <c r="U36" s="3381">
        <f>ROUND(IF(项目基本情况!$B$8="出让",SUMPRODUCT(PRODUCT(1+N36:N$52)),SUMPRODUCT(PRODUCT(1+N36:N$51))),4)</f>
        <v>1.0335000000000001</v>
      </c>
      <c r="V36" s="3381"/>
      <c r="W36" s="3381">
        <f t="shared" si="143"/>
        <v>1.0072000000000001</v>
      </c>
      <c r="X36" s="3365"/>
      <c r="Y36" s="3390"/>
      <c r="Z36" s="3391">
        <f t="shared" ref="Z36" si="175">IF(E36=0,0,ROUND(AVERAGE(E36:E49)/100,4))</f>
        <v>4.0000000000000002E-4</v>
      </c>
      <c r="AA36" s="3391">
        <f t="shared" ref="AA36" si="176">IF(F36=0,0,ROUND(AVERAGE(F36:F49)/100,4))</f>
        <v>0</v>
      </c>
      <c r="AB36" s="3391">
        <f t="shared" ref="AB36" si="177">IF(G36=0,0,ROUND(AVERAGE(G36:G49)/100,4))</f>
        <v>1E-3</v>
      </c>
      <c r="AC36" s="3392"/>
      <c r="AD36" s="3390">
        <f t="shared" si="147"/>
        <v>0</v>
      </c>
      <c r="AG36" s="3680">
        <f t="shared" si="148"/>
        <v>101.49</v>
      </c>
      <c r="AH36" s="3680">
        <f t="shared" si="149"/>
        <v>100.72000000000001</v>
      </c>
      <c r="AI36" s="3680">
        <f t="shared" si="150"/>
        <v>103.35000000000001</v>
      </c>
      <c r="AJ36" s="3680"/>
      <c r="AK36" s="3680">
        <f t="shared" si="151"/>
        <v>100.72000000000001</v>
      </c>
      <c r="AN36" s="3680">
        <f t="shared" si="167"/>
        <v>100</v>
      </c>
      <c r="AO36" s="3680">
        <f t="shared" si="168"/>
        <v>100</v>
      </c>
      <c r="AP36" s="3680">
        <f t="shared" si="169"/>
        <v>100</v>
      </c>
      <c r="AQ36" s="3680"/>
      <c r="AR36" s="3680">
        <f t="shared" si="170"/>
        <v>100</v>
      </c>
    </row>
    <row r="37" spans="1:44">
      <c r="A37" s="3663" t="s">
        <v>3316</v>
      </c>
      <c r="B37" s="3403">
        <v>2024</v>
      </c>
      <c r="C37" s="3404">
        <v>4</v>
      </c>
      <c r="D37" s="3404"/>
      <c r="E37" s="3404">
        <v>-0.61</v>
      </c>
      <c r="F37" s="3404">
        <v>-0.71</v>
      </c>
      <c r="G37" s="3404">
        <v>-0.88</v>
      </c>
      <c r="H37" s="3404"/>
      <c r="I37" s="3405">
        <f t="shared" ref="I37" si="178">F37</f>
        <v>-0.71</v>
      </c>
      <c r="J37" s="3365"/>
      <c r="K37" s="3366"/>
      <c r="L37" s="3367">
        <f t="shared" ref="L37" si="179">E37/100</f>
        <v>-6.0999999999999995E-3</v>
      </c>
      <c r="M37" s="3367">
        <f t="shared" ref="M37" si="180">F37/100</f>
        <v>-7.0999999999999995E-3</v>
      </c>
      <c r="N37" s="3367">
        <f t="shared" ref="N37" si="181">G37/100</f>
        <v>-8.8000000000000005E-3</v>
      </c>
      <c r="O37" s="3367"/>
      <c r="P37" s="3367">
        <f t="shared" si="142"/>
        <v>-7.0999999999999995E-3</v>
      </c>
      <c r="Q37" s="3365"/>
      <c r="R37" s="3381"/>
      <c r="S37" s="3381">
        <f>ROUND(IF(项目基本情况!$B$8="出让",SUMPRODUCT(PRODUCT(1+L37:L$52)),SUMPRODUCT(PRODUCT(1+L37:L$51))),4)</f>
        <v>1.0301</v>
      </c>
      <c r="T37" s="3381">
        <f>ROUND(IF(项目基本情况!$B$8="出让",SUMPRODUCT(PRODUCT(1+M37:M$52)),SUMPRODUCT(PRODUCT(1+M37:M$51))),4)</f>
        <v>1.0170999999999999</v>
      </c>
      <c r="U37" s="3381">
        <f>ROUND(IF(项目基本情况!$B$8="出让",SUMPRODUCT(PRODUCT(1+N37:N$52)),SUMPRODUCT(PRODUCT(1+N37:N$51))),4)</f>
        <v>1.0387999999999999</v>
      </c>
      <c r="V37" s="3381"/>
      <c r="W37" s="3381">
        <f t="shared" si="143"/>
        <v>1.0170999999999999</v>
      </c>
      <c r="X37" s="3368"/>
      <c r="Y37" s="3370"/>
      <c r="Z37" s="3394">
        <f t="shared" ref="Z37" si="182">IF(E37=0,0,ROUND(AVERAGE(E37:E50)/100,4))</f>
        <v>1.6999999999999999E-3</v>
      </c>
      <c r="AA37" s="3395">
        <f t="shared" ref="AA37" si="183">IF(F37=0,0,ROUND(AVERAGE(F37:F50)/100,4))</f>
        <v>8.9999999999999998E-4</v>
      </c>
      <c r="AB37" s="3370">
        <f t="shared" ref="AB37" si="184">IF(G37=0,0,ROUND(AVERAGE(G37:G50)/100,4))</f>
        <v>2E-3</v>
      </c>
      <c r="AC37" s="3396"/>
      <c r="AD37" s="3370">
        <f t="shared" si="147"/>
        <v>8.9999999999999998E-4</v>
      </c>
      <c r="AG37" s="3680">
        <f t="shared" ref="AG37:AG51" si="185">$AG$52*S37</f>
        <v>103.01</v>
      </c>
      <c r="AH37" s="3680">
        <f t="shared" ref="AH37:AH51" si="186">$AH$52*T37</f>
        <v>101.71</v>
      </c>
      <c r="AI37" s="3680">
        <f t="shared" ref="AI37:AI51" si="187">$AI$52*U37</f>
        <v>103.88</v>
      </c>
      <c r="AJ37" s="3680"/>
      <c r="AK37" s="3680">
        <f t="shared" ref="AK37:AK51" si="188">$AK$52*W37</f>
        <v>101.71</v>
      </c>
      <c r="AN37" s="3680">
        <f t="shared" si="167"/>
        <v>101.49193139145439</v>
      </c>
      <c r="AO37" s="3680">
        <f t="shared" si="168"/>
        <v>100.98969905069683</v>
      </c>
      <c r="AP37" s="3680">
        <f t="shared" si="169"/>
        <v>100.51261433309881</v>
      </c>
      <c r="AQ37" s="3680"/>
      <c r="AR37" s="3680">
        <f t="shared" si="170"/>
        <v>100.98969905069683</v>
      </c>
    </row>
    <row r="38" spans="1:44">
      <c r="A38" s="3663" t="s">
        <v>3257</v>
      </c>
      <c r="B38" s="3403">
        <v>2024</v>
      </c>
      <c r="C38" s="3404">
        <v>3</v>
      </c>
      <c r="D38" s="3404"/>
      <c r="E38" s="3404">
        <v>-0.66</v>
      </c>
      <c r="F38" s="3404">
        <v>-0.52</v>
      </c>
      <c r="G38" s="3404">
        <v>-2.87</v>
      </c>
      <c r="H38" s="3404"/>
      <c r="I38" s="3405">
        <f t="shared" ref="I38" si="189">F38</f>
        <v>-0.52</v>
      </c>
      <c r="J38" s="3365"/>
      <c r="K38" s="3366"/>
      <c r="L38" s="3367">
        <f t="shared" ref="L38" si="190">E38/100</f>
        <v>-6.6E-3</v>
      </c>
      <c r="M38" s="3367">
        <f t="shared" ref="M38" si="191">F38/100</f>
        <v>-5.1999999999999998E-3</v>
      </c>
      <c r="N38" s="3367">
        <f t="shared" ref="N38" si="192">G38/100</f>
        <v>-2.87E-2</v>
      </c>
      <c r="O38" s="3367"/>
      <c r="P38" s="3367">
        <f t="shared" si="142"/>
        <v>-5.1999999999999998E-3</v>
      </c>
      <c r="Q38" s="3365"/>
      <c r="R38" s="3381"/>
      <c r="S38" s="3381">
        <f>ROUND(IF(项目基本情况!$B$8="出让",SUMPRODUCT(PRODUCT(1+L38:L$52)),SUMPRODUCT(PRODUCT(1+L38:L$51))),4)</f>
        <v>1.0364</v>
      </c>
      <c r="T38" s="3381">
        <f>ROUND(IF(项目基本情况!$B$8="出让",SUMPRODUCT(PRODUCT(1+M38:M$52)),SUMPRODUCT(PRODUCT(1+M38:M$51))),4)</f>
        <v>1.0244</v>
      </c>
      <c r="U38" s="3381">
        <f>ROUND(IF(项目基本情况!$B$8="出让",SUMPRODUCT(PRODUCT(1+N38:N$52)),SUMPRODUCT(PRODUCT(1+N38:N$51))),4)</f>
        <v>1.048</v>
      </c>
      <c r="V38" s="3381"/>
      <c r="W38" s="3381">
        <f t="shared" si="143"/>
        <v>1.0244</v>
      </c>
      <c r="X38" s="3365"/>
      <c r="Y38" s="3390"/>
      <c r="Z38" s="3391">
        <f t="shared" ref="Z38:AB39" si="193">IF(E38=0,0,ROUND(AVERAGE(E38:E51)/100,4))</f>
        <v>2.5999999999999999E-3</v>
      </c>
      <c r="AA38" s="3391">
        <f t="shared" si="193"/>
        <v>1.6999999999999999E-3</v>
      </c>
      <c r="AB38" s="3391">
        <f t="shared" si="193"/>
        <v>3.3999999999999998E-3</v>
      </c>
      <c r="AC38" s="3392"/>
      <c r="AD38" s="3390">
        <f t="shared" si="147"/>
        <v>1.6999999999999999E-3</v>
      </c>
      <c r="AG38" s="3680">
        <f t="shared" si="185"/>
        <v>103.64</v>
      </c>
      <c r="AH38" s="3680">
        <f t="shared" si="186"/>
        <v>102.44</v>
      </c>
      <c r="AI38" s="3680">
        <f t="shared" si="187"/>
        <v>104.80000000000001</v>
      </c>
      <c r="AJ38" s="3680"/>
      <c r="AK38" s="3680">
        <f t="shared" si="188"/>
        <v>102.44</v>
      </c>
      <c r="AN38" s="3680">
        <f t="shared" si="167"/>
        <v>102.11483186583598</v>
      </c>
      <c r="AO38" s="3680">
        <f t="shared" si="168"/>
        <v>101.71185320847701</v>
      </c>
      <c r="AP38" s="3680">
        <f t="shared" si="169"/>
        <v>101.4049781407373</v>
      </c>
      <c r="AQ38" s="3680"/>
      <c r="AR38" s="3680">
        <f t="shared" si="170"/>
        <v>101.71185320847701</v>
      </c>
    </row>
    <row r="39" spans="1:44">
      <c r="A39" s="3344" t="s">
        <v>3263</v>
      </c>
      <c r="B39" s="3403">
        <v>2024</v>
      </c>
      <c r="C39" s="3404">
        <v>2</v>
      </c>
      <c r="D39" s="3404"/>
      <c r="E39" s="3404">
        <v>-0.31</v>
      </c>
      <c r="F39" s="3404">
        <v>-0.39</v>
      </c>
      <c r="G39" s="3404">
        <v>1.23</v>
      </c>
      <c r="H39" s="3410"/>
      <c r="I39" s="3405">
        <f t="shared" ref="I39:I52" si="194">F39</f>
        <v>-0.39</v>
      </c>
      <c r="J39" s="3365"/>
      <c r="K39" s="3366"/>
      <c r="L39" s="3367">
        <f t="shared" ref="L39:N52" si="195">E39/100</f>
        <v>-3.0999999999999999E-3</v>
      </c>
      <c r="M39" s="3367">
        <f t="shared" si="195"/>
        <v>-3.9000000000000003E-3</v>
      </c>
      <c r="N39" s="3367">
        <f t="shared" si="195"/>
        <v>1.23E-2</v>
      </c>
      <c r="O39" s="3367"/>
      <c r="P39" s="3367">
        <f t="shared" si="142"/>
        <v>-3.9000000000000003E-3</v>
      </c>
      <c r="Q39" s="3365"/>
      <c r="R39" s="3381"/>
      <c r="S39" s="3381">
        <f>ROUND(IF(项目基本情况!$B$8="出让",SUMPRODUCT(PRODUCT(1+L39:L$52)),SUMPRODUCT(PRODUCT(1+L39:L$51))),4)</f>
        <v>1.0432999999999999</v>
      </c>
      <c r="T39" s="3381">
        <f>ROUND(IF(项目基本情况!$B$8="出让",SUMPRODUCT(PRODUCT(1+M39:M$52)),SUMPRODUCT(PRODUCT(1+M39:M$51))),4)</f>
        <v>1.0298</v>
      </c>
      <c r="U39" s="3381">
        <f>ROUND(IF(项目基本情况!$B$8="出让",SUMPRODUCT(PRODUCT(1+N39:N$52)),SUMPRODUCT(PRODUCT(1+N39:N$51))),4)</f>
        <v>1.079</v>
      </c>
      <c r="V39" s="3381"/>
      <c r="W39" s="3381">
        <f t="shared" si="143"/>
        <v>1.0298</v>
      </c>
      <c r="X39" s="3365"/>
      <c r="Y39" s="3390"/>
      <c r="Z39" s="3391">
        <f t="shared" si="193"/>
        <v>3.3E-3</v>
      </c>
      <c r="AA39" s="3393">
        <f t="shared" si="193"/>
        <v>2.3999999999999998E-3</v>
      </c>
      <c r="AB39" s="3390">
        <f t="shared" si="193"/>
        <v>6.1999999999999998E-3</v>
      </c>
      <c r="AC39" s="3392"/>
      <c r="AD39" s="3390">
        <f t="shared" si="147"/>
        <v>2.3999999999999998E-3</v>
      </c>
      <c r="AG39" s="3680">
        <f t="shared" si="185"/>
        <v>104.32999999999998</v>
      </c>
      <c r="AH39" s="3680">
        <f t="shared" si="186"/>
        <v>102.98</v>
      </c>
      <c r="AI39" s="3680">
        <f t="shared" si="187"/>
        <v>107.89999999999999</v>
      </c>
      <c r="AJ39" s="3680"/>
      <c r="AK39" s="3680">
        <f t="shared" si="188"/>
        <v>102.98</v>
      </c>
      <c r="AN39" s="3680">
        <f t="shared" si="167"/>
        <v>102.79326743087979</v>
      </c>
      <c r="AO39" s="3680">
        <f t="shared" si="168"/>
        <v>102.24351950992863</v>
      </c>
      <c r="AP39" s="3680">
        <f t="shared" si="169"/>
        <v>104.40129531631555</v>
      </c>
      <c r="AQ39" s="3680"/>
      <c r="AR39" s="3680">
        <f t="shared" si="170"/>
        <v>102.24351950992863</v>
      </c>
    </row>
    <row r="40" spans="1:44">
      <c r="A40" s="3344" t="s">
        <v>3260</v>
      </c>
      <c r="B40" s="3403">
        <v>2024</v>
      </c>
      <c r="C40" s="3404">
        <v>1</v>
      </c>
      <c r="D40" s="3404"/>
      <c r="E40" s="3404">
        <v>0.25</v>
      </c>
      <c r="F40" s="3404">
        <v>0.4</v>
      </c>
      <c r="G40" s="3404">
        <v>-0.63</v>
      </c>
      <c r="H40" s="3410"/>
      <c r="I40" s="3405">
        <f t="shared" si="194"/>
        <v>0.4</v>
      </c>
      <c r="J40" s="3365"/>
      <c r="K40" s="3366"/>
      <c r="L40" s="3367">
        <f t="shared" ref="L40" si="196">E40/100</f>
        <v>2.5000000000000001E-3</v>
      </c>
      <c r="M40" s="3367">
        <f t="shared" ref="M40" si="197">F40/100</f>
        <v>4.0000000000000001E-3</v>
      </c>
      <c r="N40" s="3367">
        <f t="shared" ref="N40" si="198">G40/100</f>
        <v>-6.3E-3</v>
      </c>
      <c r="O40" s="3367"/>
      <c r="P40" s="3367">
        <f t="shared" ref="P40" si="199">M40</f>
        <v>4.0000000000000001E-3</v>
      </c>
      <c r="Q40" s="3365"/>
      <c r="R40" s="3381"/>
      <c r="S40" s="3381">
        <f>ROUND(IF(项目基本情况!$B$8="出让",SUMPRODUCT(PRODUCT(1+L40:L$52)),SUMPRODUCT(PRODUCT(1+L40:L$51))),4)</f>
        <v>1.0465</v>
      </c>
      <c r="T40" s="3381">
        <f>ROUND(IF(项目基本情况!$B$8="出让",SUMPRODUCT(PRODUCT(1+M40:M$52)),SUMPRODUCT(PRODUCT(1+M40:M$51))),4)</f>
        <v>1.0338000000000001</v>
      </c>
      <c r="U40" s="3381">
        <f>ROUND(IF(项目基本情况!$B$8="出让",SUMPRODUCT(PRODUCT(1+N40:N$52)),SUMPRODUCT(PRODUCT(1+N40:N$51))),4)</f>
        <v>1.0659000000000001</v>
      </c>
      <c r="V40" s="3381"/>
      <c r="W40" s="3381">
        <f t="shared" ref="W40" si="200">T40</f>
        <v>1.0338000000000001</v>
      </c>
      <c r="X40" s="3365"/>
      <c r="Y40" s="3390"/>
      <c r="Z40" s="3391">
        <f t="shared" ref="Z40" si="201">IF(E40=0,0,ROUND(AVERAGE(E40:E51)/100,4))</f>
        <v>3.8E-3</v>
      </c>
      <c r="AA40" s="3393">
        <f t="shared" ref="AA40" si="202">IF(F40=0,0,ROUND(AVERAGE(F40:F51)/100,4))</f>
        <v>2.8E-3</v>
      </c>
      <c r="AB40" s="3390">
        <f t="shared" ref="AB40" si="203">IF(G40=0,0,ROUND(AVERAGE(G40:G51)/100,4))</f>
        <v>5.3E-3</v>
      </c>
      <c r="AC40" s="3392"/>
      <c r="AD40" s="3390">
        <f t="shared" ref="AD40" si="204">IF(I40=0,0,ROUND(AVERAGE(I40:I51)/100,4))</f>
        <v>2.8E-3</v>
      </c>
      <c r="AG40" s="3680">
        <f t="shared" si="185"/>
        <v>104.65</v>
      </c>
      <c r="AH40" s="3680">
        <f t="shared" si="186"/>
        <v>103.38000000000001</v>
      </c>
      <c r="AI40" s="3680">
        <f t="shared" si="187"/>
        <v>106.59</v>
      </c>
      <c r="AJ40" s="3680"/>
      <c r="AK40" s="3680">
        <f t="shared" si="188"/>
        <v>103.38000000000001</v>
      </c>
      <c r="AN40" s="3680">
        <f t="shared" si="167"/>
        <v>103.11291747505246</v>
      </c>
      <c r="AO40" s="3680">
        <f t="shared" si="168"/>
        <v>102.64383044867849</v>
      </c>
      <c r="AP40" s="3680">
        <f t="shared" si="169"/>
        <v>103.13276233953923</v>
      </c>
      <c r="AQ40" s="3680"/>
      <c r="AR40" s="3680">
        <f t="shared" si="170"/>
        <v>102.64383044867849</v>
      </c>
    </row>
    <row r="41" spans="1:44">
      <c r="A41" s="3344" t="s">
        <v>3255</v>
      </c>
      <c r="B41" s="3403">
        <v>2023</v>
      </c>
      <c r="C41" s="3404">
        <v>4</v>
      </c>
      <c r="D41" s="3404"/>
      <c r="E41" s="3404">
        <v>7.0000000000000007E-2</v>
      </c>
      <c r="F41" s="3404">
        <v>0.09</v>
      </c>
      <c r="G41" s="3404">
        <v>0.03</v>
      </c>
      <c r="H41" s="3410"/>
      <c r="I41" s="3405">
        <f t="shared" ref="I41" si="205">F41</f>
        <v>0.09</v>
      </c>
      <c r="J41" s="3365"/>
      <c r="K41" s="3366"/>
      <c r="L41" s="3367">
        <f t="shared" si="195"/>
        <v>7.000000000000001E-4</v>
      </c>
      <c r="M41" s="3367">
        <f t="shared" si="195"/>
        <v>8.9999999999999998E-4</v>
      </c>
      <c r="N41" s="3367">
        <f t="shared" si="195"/>
        <v>2.9999999999999997E-4</v>
      </c>
      <c r="O41" s="3367"/>
      <c r="P41" s="3367">
        <f t="shared" ref="P41" si="206">M41</f>
        <v>8.9999999999999998E-4</v>
      </c>
      <c r="Q41" s="3365"/>
      <c r="R41" s="3381"/>
      <c r="S41" s="3381">
        <f>ROUND(IF(项目基本情况!$B$8="出让",SUMPRODUCT(PRODUCT(1+L41:L$52)),SUMPRODUCT(PRODUCT(1+L41:L$51))),4)</f>
        <v>1.0439000000000001</v>
      </c>
      <c r="T41" s="3381">
        <f>ROUND(IF(项目基本情况!$B$8="出让",SUMPRODUCT(PRODUCT(1+M41:M$52)),SUMPRODUCT(PRODUCT(1+M41:M$51))),4)</f>
        <v>1.0297000000000001</v>
      </c>
      <c r="U41" s="3381">
        <f>ROUND(IF(项目基本情况!$B$8="出让",SUMPRODUCT(PRODUCT(1+N41:N$52)),SUMPRODUCT(PRODUCT(1+N41:N$51))),4)</f>
        <v>1.0727</v>
      </c>
      <c r="V41" s="3381"/>
      <c r="W41" s="3381">
        <f t="shared" ref="W41" si="207">T41</f>
        <v>1.0297000000000001</v>
      </c>
      <c r="X41" s="3365"/>
      <c r="Y41" s="3390"/>
      <c r="Z41" s="3391">
        <f t="shared" ref="Z41" si="208">IF(E41=0,0,ROUND(AVERAGE(E41:E52)/100,4))</f>
        <v>3.8999999999999998E-3</v>
      </c>
      <c r="AA41" s="3393">
        <f t="shared" ref="AA41" si="209">IF(F41=0,0,ROUND(AVERAGE(F41:F52)/100,4))</f>
        <v>2.8E-3</v>
      </c>
      <c r="AB41" s="3390">
        <f t="shared" ref="AB41" si="210">IF(G41=0,0,ROUND(AVERAGE(G41:G52)/100,4))</f>
        <v>6.7000000000000002E-3</v>
      </c>
      <c r="AC41" s="3392"/>
      <c r="AD41" s="3390">
        <f t="shared" ref="AD41" si="211">IF(I41=0,0,ROUND(AVERAGE(I41:I52)/100,4))</f>
        <v>2.8E-3</v>
      </c>
      <c r="AG41" s="3680">
        <f t="shared" si="185"/>
        <v>104.39</v>
      </c>
      <c r="AH41" s="3680">
        <f t="shared" si="186"/>
        <v>102.97</v>
      </c>
      <c r="AI41" s="3680">
        <f t="shared" si="187"/>
        <v>107.27</v>
      </c>
      <c r="AJ41" s="3680"/>
      <c r="AK41" s="3680">
        <f t="shared" si="188"/>
        <v>102.97</v>
      </c>
      <c r="AN41" s="3680">
        <f t="shared" si="167"/>
        <v>102.85577802997751</v>
      </c>
      <c r="AO41" s="3680">
        <f t="shared" si="168"/>
        <v>102.23489088513793</v>
      </c>
      <c r="AP41" s="3680">
        <f t="shared" si="169"/>
        <v>103.78661803314806</v>
      </c>
      <c r="AQ41" s="3680"/>
      <c r="AR41" s="3680">
        <f t="shared" si="170"/>
        <v>102.23489088513793</v>
      </c>
    </row>
    <row r="42" spans="1:44">
      <c r="A42" s="3344" t="s">
        <v>3253</v>
      </c>
      <c r="B42" s="3403">
        <v>2023</v>
      </c>
      <c r="C42" s="3404">
        <v>3</v>
      </c>
      <c r="D42" s="3404"/>
      <c r="E42" s="3404">
        <v>0.35</v>
      </c>
      <c r="F42" s="3404">
        <v>0.17</v>
      </c>
      <c r="G42" s="3404">
        <v>0.52</v>
      </c>
      <c r="H42" s="3410"/>
      <c r="I42" s="3405">
        <f t="shared" si="194"/>
        <v>0.17</v>
      </c>
      <c r="J42" s="3365"/>
      <c r="K42" s="3366"/>
      <c r="L42" s="3367">
        <f t="shared" ref="L42:L44" si="212">E42/100</f>
        <v>3.4999999999999996E-3</v>
      </c>
      <c r="M42" s="3367">
        <f t="shared" ref="M42:M44" si="213">F42/100</f>
        <v>1.7000000000000001E-3</v>
      </c>
      <c r="N42" s="3367">
        <f t="shared" ref="N42:N44" si="214">G42/100</f>
        <v>5.1999999999999998E-3</v>
      </c>
      <c r="O42" s="3367"/>
      <c r="P42" s="3367">
        <f t="shared" ref="P42:P44" si="215">M42</f>
        <v>1.7000000000000001E-3</v>
      </c>
      <c r="Q42" s="3365"/>
      <c r="R42" s="3381"/>
      <c r="S42" s="3381">
        <f>ROUND(IF(项目基本情况!$B$8="出让",SUMPRODUCT(PRODUCT(1+L42:L$52)),SUMPRODUCT(PRODUCT(1+L42:L$51))),4)</f>
        <v>1.0431999999999999</v>
      </c>
      <c r="T42" s="3381">
        <f>ROUND(IF(项目基本情况!$B$8="出让",SUMPRODUCT(PRODUCT(1+M42:M$52)),SUMPRODUCT(PRODUCT(1+M42:M$51))),4)</f>
        <v>1.0286999999999999</v>
      </c>
      <c r="U42" s="3381">
        <f>ROUND(IF(项目基本情况!$B$8="出让",SUMPRODUCT(PRODUCT(1+N42:N$52)),SUMPRODUCT(PRODUCT(1+N42:N$51))),4)</f>
        <v>1.0723</v>
      </c>
      <c r="V42" s="3381"/>
      <c r="W42" s="3381">
        <f t="shared" ref="W42:W44" si="216">T42</f>
        <v>1.0286999999999999</v>
      </c>
      <c r="X42" s="3365"/>
      <c r="Y42" s="3390"/>
      <c r="Z42" s="3391">
        <f t="shared" ref="Z42:AB42" si="217">IF(E42=0,0,ROUND(AVERAGE(E42:E53)/100,4))</f>
        <v>4.1999999999999997E-3</v>
      </c>
      <c r="AA42" s="3393">
        <f t="shared" si="217"/>
        <v>3.0000000000000001E-3</v>
      </c>
      <c r="AB42" s="3390">
        <f t="shared" si="217"/>
        <v>7.3000000000000001E-3</v>
      </c>
      <c r="AC42" s="3392"/>
      <c r="AD42" s="3390">
        <f t="shared" ref="AD42:AD44" si="218">IF(I42=0,0,ROUND(AVERAGE(I42:I53)/100,4))</f>
        <v>3.0000000000000001E-3</v>
      </c>
      <c r="AG42" s="3680">
        <f t="shared" si="185"/>
        <v>104.32</v>
      </c>
      <c r="AH42" s="3680">
        <f t="shared" si="186"/>
        <v>102.86999999999999</v>
      </c>
      <c r="AI42" s="3680">
        <f t="shared" si="187"/>
        <v>107.23</v>
      </c>
      <c r="AJ42" s="3680"/>
      <c r="AK42" s="3680">
        <f t="shared" si="188"/>
        <v>102.86999999999999</v>
      </c>
      <c r="AN42" s="3680">
        <f t="shared" si="167"/>
        <v>102.78382934943292</v>
      </c>
      <c r="AO42" s="3680">
        <f t="shared" si="168"/>
        <v>102.14296221914071</v>
      </c>
      <c r="AP42" s="3680">
        <f t="shared" si="169"/>
        <v>103.75549138573234</v>
      </c>
      <c r="AQ42" s="3680"/>
      <c r="AR42" s="3680">
        <f t="shared" si="170"/>
        <v>102.14296221914071</v>
      </c>
    </row>
    <row r="43" spans="1:44">
      <c r="A43" s="3344" t="s">
        <v>3252</v>
      </c>
      <c r="B43" s="3403">
        <v>2023</v>
      </c>
      <c r="C43" s="3404">
        <v>2</v>
      </c>
      <c r="D43" s="3404"/>
      <c r="E43" s="3404">
        <v>0.5</v>
      </c>
      <c r="F43" s="3404">
        <v>0.45</v>
      </c>
      <c r="G43" s="3404">
        <v>0.89</v>
      </c>
      <c r="H43" s="3410"/>
      <c r="I43" s="3405">
        <f t="shared" si="194"/>
        <v>0.45</v>
      </c>
      <c r="J43" s="3365"/>
      <c r="K43" s="3366"/>
      <c r="L43" s="3367">
        <f t="shared" si="212"/>
        <v>5.0000000000000001E-3</v>
      </c>
      <c r="M43" s="3367">
        <f t="shared" si="213"/>
        <v>4.5000000000000005E-3</v>
      </c>
      <c r="N43" s="3367">
        <f t="shared" si="214"/>
        <v>8.8999999999999999E-3</v>
      </c>
      <c r="O43" s="3367"/>
      <c r="P43" s="3367">
        <f t="shared" si="215"/>
        <v>4.5000000000000005E-3</v>
      </c>
      <c r="Q43" s="3365"/>
      <c r="R43" s="3381"/>
      <c r="S43" s="3381">
        <f>ROUND(IF(项目基本情况!$B$8="出让",SUMPRODUCT(PRODUCT(1+L43:L$52)),SUMPRODUCT(PRODUCT(1+L43:L$51))),4)</f>
        <v>1.0396000000000001</v>
      </c>
      <c r="T43" s="3381">
        <f>ROUND(IF(项目基本情况!$B$8="出让",SUMPRODUCT(PRODUCT(1+M43:M$52)),SUMPRODUCT(PRODUCT(1+M43:M$51))),4)</f>
        <v>1.0269999999999999</v>
      </c>
      <c r="U43" s="3381">
        <f>ROUND(IF(项目基本情况!$B$8="出让",SUMPRODUCT(PRODUCT(1+N43:N$52)),SUMPRODUCT(PRODUCT(1+N43:N$51))),4)</f>
        <v>1.0668</v>
      </c>
      <c r="V43" s="3381"/>
      <c r="W43" s="3381">
        <f t="shared" si="216"/>
        <v>1.0269999999999999</v>
      </c>
      <c r="X43" s="3365"/>
      <c r="Y43" s="3390"/>
      <c r="Z43" s="3391">
        <f t="shared" ref="Z43:AB43" si="219">IF(E43=0,0,ROUND(AVERAGE(E43:E54)/100,4))</f>
        <v>4.1999999999999997E-3</v>
      </c>
      <c r="AA43" s="3393">
        <f t="shared" si="219"/>
        <v>3.2000000000000002E-3</v>
      </c>
      <c r="AB43" s="3390">
        <f t="shared" si="219"/>
        <v>7.4999999999999997E-3</v>
      </c>
      <c r="AC43" s="3392"/>
      <c r="AD43" s="3390">
        <f t="shared" si="218"/>
        <v>3.2000000000000002E-3</v>
      </c>
      <c r="AG43" s="3680">
        <f t="shared" si="185"/>
        <v>103.96000000000001</v>
      </c>
      <c r="AH43" s="3680">
        <f t="shared" si="186"/>
        <v>102.69999999999999</v>
      </c>
      <c r="AI43" s="3680">
        <f t="shared" si="187"/>
        <v>106.67999999999999</v>
      </c>
      <c r="AJ43" s="3680"/>
      <c r="AK43" s="3680">
        <f t="shared" si="188"/>
        <v>102.69999999999999</v>
      </c>
      <c r="AN43" s="3680">
        <f t="shared" si="167"/>
        <v>102.42534065713295</v>
      </c>
      <c r="AO43" s="3680">
        <f t="shared" si="168"/>
        <v>101.96961387555227</v>
      </c>
      <c r="AP43" s="3680">
        <f t="shared" si="169"/>
        <v>103.21875386563104</v>
      </c>
      <c r="AQ43" s="3680"/>
      <c r="AR43" s="3680">
        <f t="shared" si="170"/>
        <v>101.96961387555227</v>
      </c>
    </row>
    <row r="44" spans="1:44">
      <c r="A44" s="3344" t="s">
        <v>3250</v>
      </c>
      <c r="B44" s="3403">
        <v>2023</v>
      </c>
      <c r="C44" s="3404">
        <v>1</v>
      </c>
      <c r="D44" s="3404"/>
      <c r="E44" s="3404">
        <v>0.55000000000000004</v>
      </c>
      <c r="F44" s="3404">
        <v>0.59</v>
      </c>
      <c r="G44" s="3404">
        <v>0.64</v>
      </c>
      <c r="H44" s="3410"/>
      <c r="I44" s="3405">
        <f t="shared" si="194"/>
        <v>0.59</v>
      </c>
      <c r="J44" s="3365"/>
      <c r="K44" s="3366"/>
      <c r="L44" s="3367">
        <f t="shared" si="212"/>
        <v>5.5000000000000005E-3</v>
      </c>
      <c r="M44" s="3367">
        <f t="shared" si="213"/>
        <v>5.8999999999999999E-3</v>
      </c>
      <c r="N44" s="3367">
        <f t="shared" si="214"/>
        <v>6.4000000000000003E-3</v>
      </c>
      <c r="O44" s="3367"/>
      <c r="P44" s="3367">
        <f t="shared" si="215"/>
        <v>5.8999999999999999E-3</v>
      </c>
      <c r="Q44" s="3365"/>
      <c r="R44" s="3381"/>
      <c r="S44" s="3381">
        <f>ROUND(IF(项目基本情况!$B$8="出让",SUMPRODUCT(PRODUCT(1+L44:L$52)),SUMPRODUCT(PRODUCT(1+L44:L$51))),4)</f>
        <v>1.0344</v>
      </c>
      <c r="T44" s="3381">
        <f>ROUND(IF(项目基本情况!$B$8="出让",SUMPRODUCT(PRODUCT(1+M44:M$52)),SUMPRODUCT(PRODUCT(1+M44:M$51))),4)</f>
        <v>1.0224</v>
      </c>
      <c r="U44" s="3381">
        <f>ROUND(IF(项目基本情况!$B$8="出让",SUMPRODUCT(PRODUCT(1+N44:N$52)),SUMPRODUCT(PRODUCT(1+N44:N$51))),4)</f>
        <v>1.0573999999999999</v>
      </c>
      <c r="V44" s="3381"/>
      <c r="W44" s="3381">
        <f t="shared" si="216"/>
        <v>1.0224</v>
      </c>
      <c r="X44" s="3365"/>
      <c r="Y44" s="3390"/>
      <c r="Z44" s="3391">
        <f t="shared" ref="Z44:AB44" si="220">IF(E44=0,0,ROUND(AVERAGE(E44:E55)/100,4))</f>
        <v>4.1999999999999997E-3</v>
      </c>
      <c r="AA44" s="3393">
        <f t="shared" si="220"/>
        <v>3.0000000000000001E-3</v>
      </c>
      <c r="AB44" s="3390">
        <f t="shared" si="220"/>
        <v>7.3000000000000001E-3</v>
      </c>
      <c r="AC44" s="3392"/>
      <c r="AD44" s="3390">
        <f t="shared" si="218"/>
        <v>3.0000000000000001E-3</v>
      </c>
      <c r="AG44" s="3680">
        <f t="shared" si="185"/>
        <v>103.44</v>
      </c>
      <c r="AH44" s="3680">
        <f t="shared" si="186"/>
        <v>102.24</v>
      </c>
      <c r="AI44" s="3680">
        <f t="shared" si="187"/>
        <v>105.74</v>
      </c>
      <c r="AJ44" s="3680"/>
      <c r="AK44" s="3680">
        <f t="shared" si="188"/>
        <v>102.24</v>
      </c>
      <c r="AN44" s="3680">
        <f t="shared" si="167"/>
        <v>101.91576184789349</v>
      </c>
      <c r="AO44" s="3680">
        <f t="shared" si="168"/>
        <v>101.5128062474388</v>
      </c>
      <c r="AP44" s="3680">
        <f t="shared" si="169"/>
        <v>102.30821078960358</v>
      </c>
      <c r="AQ44" s="3680"/>
      <c r="AR44" s="3680">
        <f t="shared" si="170"/>
        <v>101.5128062474388</v>
      </c>
    </row>
    <row r="45" spans="1:44">
      <c r="A45" s="3344" t="s">
        <v>3248</v>
      </c>
      <c r="B45" s="3403">
        <v>2022</v>
      </c>
      <c r="C45" s="3404">
        <v>4</v>
      </c>
      <c r="D45" s="3404"/>
      <c r="E45" s="3404">
        <v>0.45</v>
      </c>
      <c r="F45" s="3404">
        <v>0.2</v>
      </c>
      <c r="G45" s="3404">
        <v>0.38</v>
      </c>
      <c r="H45" s="3410"/>
      <c r="I45" s="3405">
        <f t="shared" si="194"/>
        <v>0.2</v>
      </c>
      <c r="J45" s="3365"/>
      <c r="K45" s="3366"/>
      <c r="L45" s="3367">
        <f t="shared" si="195"/>
        <v>4.5000000000000005E-3</v>
      </c>
      <c r="M45" s="3367">
        <f t="shared" si="195"/>
        <v>2E-3</v>
      </c>
      <c r="N45" s="3367">
        <f t="shared" si="195"/>
        <v>3.8E-3</v>
      </c>
      <c r="O45" s="3367"/>
      <c r="P45" s="3367">
        <f t="shared" ref="P45:P52" si="221">M45</f>
        <v>2E-3</v>
      </c>
      <c r="Q45" s="3365"/>
      <c r="R45" s="3381"/>
      <c r="S45" s="3381">
        <f>ROUND(IF(项目基本情况!$B$8="出让",SUMPRODUCT(PRODUCT(1+L45:L$52)),SUMPRODUCT(PRODUCT(1+L45:L$51))),4)</f>
        <v>1.0286999999999999</v>
      </c>
      <c r="T45" s="3381">
        <f>ROUND(IF(项目基本情况!$B$8="出让",SUMPRODUCT(PRODUCT(1+M45:M$52)),SUMPRODUCT(PRODUCT(1+M45:M$51))),4)</f>
        <v>1.0164</v>
      </c>
      <c r="U45" s="3381">
        <f>ROUND(IF(项目基本情况!$B$8="出让",SUMPRODUCT(PRODUCT(1+N45:N$52)),SUMPRODUCT(PRODUCT(1+N45:N$51))),4)</f>
        <v>1.0506</v>
      </c>
      <c r="V45" s="3381"/>
      <c r="W45" s="3381">
        <f t="shared" ref="W45:W52" si="222">T45</f>
        <v>1.0164</v>
      </c>
      <c r="X45" s="3365"/>
      <c r="Y45" s="3390"/>
      <c r="Z45" s="3391">
        <f t="shared" ref="Z45:AD52" si="223">IF(E45=0,0,ROUND(AVERAGE(E45:E53)/100,4))</f>
        <v>4.0000000000000001E-3</v>
      </c>
      <c r="AA45" s="3393">
        <f t="shared" si="223"/>
        <v>2.5999999999999999E-3</v>
      </c>
      <c r="AB45" s="3390">
        <f t="shared" si="223"/>
        <v>7.4000000000000003E-3</v>
      </c>
      <c r="AC45" s="3392"/>
      <c r="AD45" s="3390">
        <f t="shared" si="223"/>
        <v>2.5999999999999999E-3</v>
      </c>
      <c r="AG45" s="3680">
        <f t="shared" si="185"/>
        <v>102.86999999999999</v>
      </c>
      <c r="AH45" s="3680">
        <f t="shared" si="186"/>
        <v>101.64</v>
      </c>
      <c r="AI45" s="3680">
        <f t="shared" si="187"/>
        <v>105.06</v>
      </c>
      <c r="AJ45" s="3680"/>
      <c r="AK45" s="3680">
        <f t="shared" si="188"/>
        <v>101.64</v>
      </c>
      <c r="AN45" s="3680">
        <f t="shared" si="167"/>
        <v>101.35829124604027</v>
      </c>
      <c r="AO45" s="3680">
        <f t="shared" si="168"/>
        <v>100.91739362505101</v>
      </c>
      <c r="AP45" s="3680">
        <f t="shared" si="169"/>
        <v>101.6576021359336</v>
      </c>
      <c r="AQ45" s="3680"/>
      <c r="AR45" s="3680">
        <f t="shared" si="170"/>
        <v>100.91739362505101</v>
      </c>
    </row>
    <row r="46" spans="1:44">
      <c r="A46" s="3344" t="s">
        <v>3246</v>
      </c>
      <c r="B46" s="3403">
        <v>2022</v>
      </c>
      <c r="C46" s="3404">
        <v>3</v>
      </c>
      <c r="D46" s="3404"/>
      <c r="E46" s="3404">
        <v>0.3</v>
      </c>
      <c r="F46" s="3404">
        <v>0.28999999999999998</v>
      </c>
      <c r="G46" s="3404">
        <v>0.83</v>
      </c>
      <c r="H46" s="3410"/>
      <c r="I46" s="3405">
        <f t="shared" si="194"/>
        <v>0.28999999999999998</v>
      </c>
      <c r="J46" s="3365"/>
      <c r="K46" s="3366"/>
      <c r="L46" s="3367">
        <f t="shared" si="195"/>
        <v>3.0000000000000001E-3</v>
      </c>
      <c r="M46" s="3367">
        <f t="shared" si="195"/>
        <v>2.8999999999999998E-3</v>
      </c>
      <c r="N46" s="3367">
        <f t="shared" si="195"/>
        <v>8.3000000000000001E-3</v>
      </c>
      <c r="O46" s="3367"/>
      <c r="P46" s="3367">
        <f t="shared" si="221"/>
        <v>2.8999999999999998E-3</v>
      </c>
      <c r="Q46" s="3365"/>
      <c r="R46" s="3381"/>
      <c r="S46" s="3381">
        <f>ROUND(IF(项目基本情况!$B$8="出让",SUMPRODUCT(PRODUCT(1+L46:L$52)),SUMPRODUCT(PRODUCT(1+L46:L$51))),4)</f>
        <v>1.0241</v>
      </c>
      <c r="T46" s="3381">
        <f>ROUND(IF(项目基本情况!$B$8="出让",SUMPRODUCT(PRODUCT(1+M46:M$52)),SUMPRODUCT(PRODUCT(1+M46:M$51))),4)</f>
        <v>1.0144</v>
      </c>
      <c r="U46" s="3381">
        <f>ROUND(IF(项目基本情况!$B$8="出让",SUMPRODUCT(PRODUCT(1+N46:N$52)),SUMPRODUCT(PRODUCT(1+N46:N$51))),4)</f>
        <v>1.0467</v>
      </c>
      <c r="V46" s="3381"/>
      <c r="W46" s="3381">
        <f t="shared" si="222"/>
        <v>1.0144</v>
      </c>
      <c r="X46" s="3365"/>
      <c r="Y46" s="3390"/>
      <c r="Z46" s="3391">
        <f t="shared" si="223"/>
        <v>3.8999999999999998E-3</v>
      </c>
      <c r="AA46" s="3393">
        <f t="shared" si="223"/>
        <v>2.7000000000000001E-3</v>
      </c>
      <c r="AB46" s="3390">
        <f t="shared" si="223"/>
        <v>7.9000000000000008E-3</v>
      </c>
      <c r="AC46" s="3392"/>
      <c r="AD46" s="3390">
        <f t="shared" si="223"/>
        <v>2.7000000000000001E-3</v>
      </c>
      <c r="AG46" s="3680">
        <f t="shared" si="185"/>
        <v>102.41</v>
      </c>
      <c r="AH46" s="3680">
        <f t="shared" si="186"/>
        <v>101.44</v>
      </c>
      <c r="AI46" s="3680">
        <f t="shared" si="187"/>
        <v>104.67</v>
      </c>
      <c r="AJ46" s="3680"/>
      <c r="AK46" s="3680">
        <f t="shared" si="188"/>
        <v>101.44</v>
      </c>
      <c r="AN46" s="3680">
        <f t="shared" si="167"/>
        <v>100.90422224593357</v>
      </c>
      <c r="AO46" s="3680">
        <f t="shared" si="168"/>
        <v>100.71596170164771</v>
      </c>
      <c r="AP46" s="3680">
        <f t="shared" si="169"/>
        <v>101.2727656265527</v>
      </c>
      <c r="AQ46" s="3680"/>
      <c r="AR46" s="3680">
        <f t="shared" si="170"/>
        <v>100.71596170164771</v>
      </c>
    </row>
    <row r="47" spans="1:44">
      <c r="A47" s="3344" t="s">
        <v>3245</v>
      </c>
      <c r="B47" s="3403">
        <v>2022</v>
      </c>
      <c r="C47" s="3404">
        <v>2</v>
      </c>
      <c r="D47" s="3404"/>
      <c r="E47" s="3404">
        <v>-0.11</v>
      </c>
      <c r="F47" s="3404">
        <v>-0.13</v>
      </c>
      <c r="G47" s="3404">
        <v>0.53</v>
      </c>
      <c r="H47" s="3410"/>
      <c r="I47" s="3405">
        <f t="shared" si="194"/>
        <v>-0.13</v>
      </c>
      <c r="J47" s="3365"/>
      <c r="K47" s="3366"/>
      <c r="L47" s="3367">
        <f t="shared" si="195"/>
        <v>-1.1000000000000001E-3</v>
      </c>
      <c r="M47" s="3367">
        <f t="shared" si="195"/>
        <v>-1.2999999999999999E-3</v>
      </c>
      <c r="N47" s="3367">
        <f t="shared" si="195"/>
        <v>5.3E-3</v>
      </c>
      <c r="O47" s="3367"/>
      <c r="P47" s="3367">
        <f t="shared" si="221"/>
        <v>-1.2999999999999999E-3</v>
      </c>
      <c r="Q47" s="3365"/>
      <c r="R47" s="3381"/>
      <c r="S47" s="3381">
        <f>ROUND(IF(项目基本情况!$B$8="出让",SUMPRODUCT(PRODUCT(1+L47:L$52)),SUMPRODUCT(PRODUCT(1+L47:L$51))),4)</f>
        <v>1.0210999999999999</v>
      </c>
      <c r="T47" s="3381">
        <f>ROUND(IF(项目基本情况!$B$8="出让",SUMPRODUCT(PRODUCT(1+M47:M$52)),SUMPRODUCT(PRODUCT(1+M47:M$51))),4)</f>
        <v>1.0114000000000001</v>
      </c>
      <c r="U47" s="3381">
        <f>ROUND(IF(项目基本情况!$B$8="出让",SUMPRODUCT(PRODUCT(1+N47:N$52)),SUMPRODUCT(PRODUCT(1+N47:N$51))),4)</f>
        <v>1.0381</v>
      </c>
      <c r="V47" s="3381"/>
      <c r="W47" s="3381">
        <f t="shared" si="222"/>
        <v>1.0114000000000001</v>
      </c>
      <c r="X47" s="3365"/>
      <c r="Y47" s="3390"/>
      <c r="Z47" s="3391">
        <f t="shared" si="223"/>
        <v>4.1000000000000003E-3</v>
      </c>
      <c r="AA47" s="3393">
        <f t="shared" si="223"/>
        <v>2.7000000000000001E-3</v>
      </c>
      <c r="AB47" s="3390">
        <f t="shared" si="223"/>
        <v>7.9000000000000008E-3</v>
      </c>
      <c r="AC47" s="3392"/>
      <c r="AD47" s="3390">
        <f t="shared" si="223"/>
        <v>2.7000000000000001E-3</v>
      </c>
      <c r="AG47" s="3680">
        <f t="shared" si="185"/>
        <v>102.10999999999999</v>
      </c>
      <c r="AH47" s="3680">
        <f t="shared" si="186"/>
        <v>101.14000000000001</v>
      </c>
      <c r="AI47" s="3680">
        <f t="shared" si="187"/>
        <v>103.81</v>
      </c>
      <c r="AJ47" s="3680"/>
      <c r="AK47" s="3680">
        <f t="shared" si="188"/>
        <v>101.14000000000001</v>
      </c>
      <c r="AN47" s="3680">
        <f t="shared" si="167"/>
        <v>100.60241500093079</v>
      </c>
      <c r="AO47" s="3680">
        <f t="shared" si="168"/>
        <v>100.42472998469212</v>
      </c>
      <c r="AP47" s="3680">
        <f t="shared" si="169"/>
        <v>100.43912092289268</v>
      </c>
      <c r="AQ47" s="3680"/>
      <c r="AR47" s="3680">
        <f t="shared" si="170"/>
        <v>100.42472998469212</v>
      </c>
    </row>
    <row r="48" spans="1:44">
      <c r="A48" s="3344" t="s">
        <v>2781</v>
      </c>
      <c r="B48" s="3403">
        <v>2022</v>
      </c>
      <c r="C48" s="3404">
        <v>1</v>
      </c>
      <c r="D48" s="3404"/>
      <c r="E48" s="3404">
        <v>0.6</v>
      </c>
      <c r="F48" s="3404">
        <v>0.45</v>
      </c>
      <c r="G48" s="3404">
        <v>0.53</v>
      </c>
      <c r="H48" s="3410"/>
      <c r="I48" s="3405">
        <f t="shared" si="194"/>
        <v>0.45</v>
      </c>
      <c r="J48" s="3365"/>
      <c r="K48" s="3366"/>
      <c r="L48" s="3367">
        <f t="shared" si="195"/>
        <v>6.0000000000000001E-3</v>
      </c>
      <c r="M48" s="3367">
        <f t="shared" si="195"/>
        <v>4.5000000000000005E-3</v>
      </c>
      <c r="N48" s="3367">
        <f t="shared" si="195"/>
        <v>5.3E-3</v>
      </c>
      <c r="O48" s="3367"/>
      <c r="P48" s="3367">
        <f t="shared" si="221"/>
        <v>4.5000000000000005E-3</v>
      </c>
      <c r="Q48" s="3365"/>
      <c r="R48" s="3381"/>
      <c r="S48" s="3381">
        <f>ROUND(IF(项目基本情况!$B$8="出让",SUMPRODUCT(PRODUCT(1+L48:L$52)),SUMPRODUCT(PRODUCT(1+L48:L$51))),4)</f>
        <v>1.0222</v>
      </c>
      <c r="T48" s="3381">
        <f>ROUND(IF(项目基本情况!$B$8="出让",SUMPRODUCT(PRODUCT(1+M48:M$52)),SUMPRODUCT(PRODUCT(1+M48:M$51))),4)</f>
        <v>1.0127999999999999</v>
      </c>
      <c r="U48" s="3381">
        <f>ROUND(IF(项目基本情况!$B$8="出让",SUMPRODUCT(PRODUCT(1+N48:N$52)),SUMPRODUCT(PRODUCT(1+N48:N$51))),4)</f>
        <v>1.0326</v>
      </c>
      <c r="V48" s="3381"/>
      <c r="W48" s="3381">
        <f t="shared" si="222"/>
        <v>1.0127999999999999</v>
      </c>
      <c r="X48" s="3365"/>
      <c r="Y48" s="3390"/>
      <c r="Z48" s="3391">
        <f t="shared" si="223"/>
        <v>5.1000000000000004E-3</v>
      </c>
      <c r="AA48" s="3393">
        <f t="shared" si="223"/>
        <v>3.5000000000000001E-3</v>
      </c>
      <c r="AB48" s="3390">
        <f t="shared" si="223"/>
        <v>8.3999999999999995E-3</v>
      </c>
      <c r="AC48" s="3392"/>
      <c r="AD48" s="3390">
        <f t="shared" si="223"/>
        <v>3.5000000000000001E-3</v>
      </c>
      <c r="AG48" s="3680">
        <f t="shared" si="185"/>
        <v>102.22</v>
      </c>
      <c r="AH48" s="3680">
        <f t="shared" si="186"/>
        <v>101.27999999999999</v>
      </c>
      <c r="AI48" s="3680">
        <f t="shared" si="187"/>
        <v>103.25999999999999</v>
      </c>
      <c r="AJ48" s="3680"/>
      <c r="AK48" s="3680">
        <f t="shared" si="188"/>
        <v>101.27999999999999</v>
      </c>
      <c r="AN48" s="3680">
        <f t="shared" si="167"/>
        <v>100.71319952040324</v>
      </c>
      <c r="AO48" s="3680">
        <f t="shared" si="168"/>
        <v>100.55545207238622</v>
      </c>
      <c r="AP48" s="3680">
        <f t="shared" si="169"/>
        <v>99.90960004266654</v>
      </c>
      <c r="AQ48" s="3680"/>
      <c r="AR48" s="3680">
        <f t="shared" si="170"/>
        <v>100.55545207238622</v>
      </c>
    </row>
    <row r="49" spans="1:44">
      <c r="A49" s="3344" t="s">
        <v>2782</v>
      </c>
      <c r="B49" s="3403">
        <v>2021</v>
      </c>
      <c r="C49" s="3404">
        <v>4</v>
      </c>
      <c r="D49" s="3404"/>
      <c r="E49" s="3404">
        <v>0.57999999999999996</v>
      </c>
      <c r="F49" s="3404">
        <v>0.08</v>
      </c>
      <c r="G49" s="3404">
        <v>0.68</v>
      </c>
      <c r="H49" s="3410"/>
      <c r="I49" s="3405">
        <f t="shared" si="194"/>
        <v>0.08</v>
      </c>
      <c r="J49" s="3365"/>
      <c r="K49" s="3366"/>
      <c r="L49" s="3367">
        <f t="shared" si="195"/>
        <v>5.7999999999999996E-3</v>
      </c>
      <c r="M49" s="3367">
        <f t="shared" si="195"/>
        <v>8.0000000000000004E-4</v>
      </c>
      <c r="N49" s="3367">
        <f t="shared" si="195"/>
        <v>6.8000000000000005E-3</v>
      </c>
      <c r="O49" s="3367"/>
      <c r="P49" s="3367">
        <f t="shared" si="221"/>
        <v>8.0000000000000004E-4</v>
      </c>
      <c r="Q49" s="3365"/>
      <c r="R49" s="3381"/>
      <c r="S49" s="3381">
        <f>ROUND(IF(项目基本情况!$B$8="出让",SUMPRODUCT(PRODUCT(1+L49:L$52)),SUMPRODUCT(PRODUCT(1+L49:L$51))),4)</f>
        <v>1.0161</v>
      </c>
      <c r="T49" s="3381">
        <f>ROUND(IF(项目基本情况!$B$8="出让",SUMPRODUCT(PRODUCT(1+M49:M$52)),SUMPRODUCT(PRODUCT(1+M49:M$51))),4)</f>
        <v>1.0082</v>
      </c>
      <c r="U49" s="3381">
        <f>ROUND(IF(项目基本情况!$B$8="出让",SUMPRODUCT(PRODUCT(1+N49:N$52)),SUMPRODUCT(PRODUCT(1+N49:N$51))),4)</f>
        <v>1.0270999999999999</v>
      </c>
      <c r="V49" s="3381"/>
      <c r="W49" s="3381">
        <f t="shared" si="222"/>
        <v>1.0082</v>
      </c>
      <c r="X49" s="3365"/>
      <c r="Y49" s="3390"/>
      <c r="Z49" s="3391">
        <f t="shared" si="223"/>
        <v>4.8999999999999998E-3</v>
      </c>
      <c r="AA49" s="3393">
        <f t="shared" si="223"/>
        <v>3.3E-3</v>
      </c>
      <c r="AB49" s="3390">
        <f t="shared" si="223"/>
        <v>9.1999999999999998E-3</v>
      </c>
      <c r="AC49" s="3392"/>
      <c r="AD49" s="3390">
        <f t="shared" si="223"/>
        <v>3.3E-3</v>
      </c>
      <c r="AG49" s="3680">
        <f t="shared" si="185"/>
        <v>101.61</v>
      </c>
      <c r="AH49" s="3680">
        <f t="shared" si="186"/>
        <v>100.82</v>
      </c>
      <c r="AI49" s="3680">
        <f t="shared" si="187"/>
        <v>102.71</v>
      </c>
      <c r="AJ49" s="3680"/>
      <c r="AK49" s="3680">
        <f t="shared" si="188"/>
        <v>100.82</v>
      </c>
      <c r="AN49" s="3680">
        <f t="shared" si="167"/>
        <v>100.11252437415828</v>
      </c>
      <c r="AO49" s="3680">
        <f t="shared" si="168"/>
        <v>100.10497966389867</v>
      </c>
      <c r="AP49" s="3680">
        <f t="shared" si="169"/>
        <v>99.382870827281934</v>
      </c>
      <c r="AQ49" s="3680"/>
      <c r="AR49" s="3680">
        <f t="shared" si="170"/>
        <v>100.10497966389867</v>
      </c>
    </row>
    <row r="50" spans="1:44">
      <c r="A50" s="3344" t="s">
        <v>2783</v>
      </c>
      <c r="B50" s="3403">
        <v>2021</v>
      </c>
      <c r="C50" s="3404">
        <v>3</v>
      </c>
      <c r="D50" s="3404"/>
      <c r="E50" s="3404">
        <v>0.47</v>
      </c>
      <c r="F50" s="3404">
        <v>0.28000000000000003</v>
      </c>
      <c r="G50" s="3404">
        <v>0.91</v>
      </c>
      <c r="H50" s="3410"/>
      <c r="I50" s="3405">
        <f t="shared" si="194"/>
        <v>0.28000000000000003</v>
      </c>
      <c r="J50" s="3365"/>
      <c r="K50" s="3366"/>
      <c r="L50" s="3367">
        <f t="shared" si="195"/>
        <v>4.6999999999999993E-3</v>
      </c>
      <c r="M50" s="3367">
        <f t="shared" si="195"/>
        <v>2.8000000000000004E-3</v>
      </c>
      <c r="N50" s="3367">
        <f t="shared" si="195"/>
        <v>9.1000000000000004E-3</v>
      </c>
      <c r="O50" s="3367"/>
      <c r="P50" s="3367">
        <f t="shared" si="221"/>
        <v>2.8000000000000004E-3</v>
      </c>
      <c r="Q50" s="3365"/>
      <c r="R50" s="3381"/>
      <c r="S50" s="3381">
        <f>ROUND(IF(项目基本情况!$B$8="出让",SUMPRODUCT(PRODUCT(1+L50:L$52)),SUMPRODUCT(PRODUCT(1+L50:L$51))),4)</f>
        <v>1.0102</v>
      </c>
      <c r="T50" s="3381">
        <f>ROUND(IF(项目基本情况!$B$8="出让",SUMPRODUCT(PRODUCT(1+M50:M$52)),SUMPRODUCT(PRODUCT(1+M50:M$51))),4)</f>
        <v>1.0074000000000001</v>
      </c>
      <c r="U50" s="3381">
        <f>ROUND(IF(项目基本情况!$B$8="出让",SUMPRODUCT(PRODUCT(1+N50:N$52)),SUMPRODUCT(PRODUCT(1+N50:N$51))),4)</f>
        <v>1.0202</v>
      </c>
      <c r="V50" s="3381"/>
      <c r="W50" s="3381">
        <f t="shared" si="222"/>
        <v>1.0074000000000001</v>
      </c>
      <c r="X50" s="3365"/>
      <c r="Y50" s="3390"/>
      <c r="Z50" s="3391">
        <f t="shared" si="223"/>
        <v>4.5999999999999999E-3</v>
      </c>
      <c r="AA50" s="3393">
        <f t="shared" si="223"/>
        <v>4.1000000000000003E-3</v>
      </c>
      <c r="AB50" s="3390">
        <f t="shared" si="223"/>
        <v>0.01</v>
      </c>
      <c r="AC50" s="3392"/>
      <c r="AD50" s="3390">
        <f t="shared" si="223"/>
        <v>4.1000000000000003E-3</v>
      </c>
      <c r="AG50" s="3680">
        <f t="shared" si="185"/>
        <v>101.02</v>
      </c>
      <c r="AH50" s="3680">
        <f t="shared" si="186"/>
        <v>100.74000000000001</v>
      </c>
      <c r="AI50" s="3680">
        <f t="shared" si="187"/>
        <v>102.02</v>
      </c>
      <c r="AJ50" s="3680"/>
      <c r="AK50" s="3680">
        <f t="shared" si="188"/>
        <v>100.74000000000001</v>
      </c>
      <c r="AN50" s="3680">
        <f t="shared" si="167"/>
        <v>99.535220097592244</v>
      </c>
      <c r="AO50" s="3680">
        <f t="shared" si="168"/>
        <v>100.02495969614176</v>
      </c>
      <c r="AP50" s="3680">
        <f t="shared" si="169"/>
        <v>98.711631731507694</v>
      </c>
      <c r="AQ50" s="3680"/>
      <c r="AR50" s="3680">
        <f t="shared" si="170"/>
        <v>100.02495969614176</v>
      </c>
    </row>
    <row r="51" spans="1:44">
      <c r="A51" s="3344" t="s">
        <v>2787</v>
      </c>
      <c r="B51" s="3403">
        <v>2021</v>
      </c>
      <c r="C51" s="3404">
        <v>2</v>
      </c>
      <c r="D51" s="3404"/>
      <c r="E51" s="3404">
        <v>0.55000000000000004</v>
      </c>
      <c r="F51" s="3404">
        <v>0.46</v>
      </c>
      <c r="G51" s="3404">
        <v>1.1000000000000001</v>
      </c>
      <c r="H51" s="3410"/>
      <c r="I51" s="3405">
        <f t="shared" si="194"/>
        <v>0.46</v>
      </c>
      <c r="J51" s="3365"/>
      <c r="K51" s="3366"/>
      <c r="L51" s="3367">
        <f t="shared" si="195"/>
        <v>5.5000000000000005E-3</v>
      </c>
      <c r="M51" s="3367">
        <f t="shared" si="195"/>
        <v>4.5999999999999999E-3</v>
      </c>
      <c r="N51" s="3367">
        <f t="shared" si="195"/>
        <v>1.1000000000000001E-2</v>
      </c>
      <c r="O51" s="3367"/>
      <c r="P51" s="3367">
        <f t="shared" si="221"/>
        <v>4.5999999999999999E-3</v>
      </c>
      <c r="Q51" s="3365"/>
      <c r="R51" s="3381"/>
      <c r="S51" s="3381">
        <f>ROUND(IF(项目基本情况!$B$8="出让",SUMPRODUCT(PRODUCT(1+L51:L$52)),SUMPRODUCT(PRODUCT(1+L51:L$51))),4)</f>
        <v>1.0055000000000001</v>
      </c>
      <c r="T51" s="3381">
        <f>ROUND(IF(项目基本情况!$B$8="出让",SUMPRODUCT(PRODUCT(1+M51:M$52)),SUMPRODUCT(PRODUCT(1+M51:M$51))),4)</f>
        <v>1.0045999999999999</v>
      </c>
      <c r="U51" s="3381">
        <f>ROUND(IF(项目基本情况!$B$8="出让",SUMPRODUCT(PRODUCT(1+N51:N$52)),SUMPRODUCT(PRODUCT(1+N51:N$51))),4)</f>
        <v>1.0109999999999999</v>
      </c>
      <c r="V51" s="3381"/>
      <c r="W51" s="3381">
        <f t="shared" si="222"/>
        <v>1.0045999999999999</v>
      </c>
      <c r="X51" s="3365"/>
      <c r="Y51" s="3390"/>
      <c r="Z51" s="3391">
        <f t="shared" si="223"/>
        <v>4.4999999999999997E-3</v>
      </c>
      <c r="AA51" s="3393">
        <f t="shared" si="223"/>
        <v>4.7000000000000002E-3</v>
      </c>
      <c r="AB51" s="3390">
        <f t="shared" si="223"/>
        <v>1.04E-2</v>
      </c>
      <c r="AC51" s="3392"/>
      <c r="AD51" s="3390">
        <f t="shared" si="223"/>
        <v>4.7000000000000002E-3</v>
      </c>
      <c r="AG51" s="3680">
        <f t="shared" si="185"/>
        <v>100.55000000000001</v>
      </c>
      <c r="AH51" s="3680">
        <f t="shared" si="186"/>
        <v>100.46</v>
      </c>
      <c r="AI51" s="3680">
        <f t="shared" si="187"/>
        <v>101.1</v>
      </c>
      <c r="AJ51" s="3680"/>
      <c r="AK51" s="3680">
        <f t="shared" si="188"/>
        <v>100.46</v>
      </c>
      <c r="AN51" s="3680">
        <f t="shared" si="167"/>
        <v>99.069593010443171</v>
      </c>
      <c r="AO51" s="3680">
        <f t="shared" si="168"/>
        <v>99.745671815059609</v>
      </c>
      <c r="AP51" s="3680">
        <f t="shared" si="169"/>
        <v>97.821456477561867</v>
      </c>
      <c r="AQ51" s="3680"/>
      <c r="AR51" s="3680">
        <f t="shared" si="170"/>
        <v>99.745671815059609</v>
      </c>
    </row>
    <row r="52" spans="1:44" ht="14.25" thickBot="1">
      <c r="A52" s="3346" t="s">
        <v>2788</v>
      </c>
      <c r="B52" s="3411">
        <v>2021</v>
      </c>
      <c r="C52" s="3412">
        <v>1</v>
      </c>
      <c r="D52" s="3412"/>
      <c r="E52" s="3412">
        <v>0.35</v>
      </c>
      <c r="F52" s="3412">
        <v>0.48</v>
      </c>
      <c r="G52" s="3412">
        <v>0.98</v>
      </c>
      <c r="H52" s="3413"/>
      <c r="I52" s="3414">
        <f t="shared" si="194"/>
        <v>0.48</v>
      </c>
      <c r="J52" s="3371"/>
      <c r="K52" s="3372"/>
      <c r="L52" s="3373">
        <f t="shared" si="195"/>
        <v>3.4999999999999996E-3</v>
      </c>
      <c r="M52" s="3373">
        <f>F52/100</f>
        <v>4.7999999999999996E-3</v>
      </c>
      <c r="N52" s="3373">
        <f t="shared" si="195"/>
        <v>9.7999999999999997E-3</v>
      </c>
      <c r="O52" s="3373"/>
      <c r="P52" s="3373">
        <f t="shared" si="221"/>
        <v>4.7999999999999996E-3</v>
      </c>
      <c r="Q52" s="3371"/>
      <c r="R52" s="3382"/>
      <c r="S52" s="3382">
        <v>1</v>
      </c>
      <c r="T52" s="3382">
        <v>1</v>
      </c>
      <c r="U52" s="3382">
        <v>1</v>
      </c>
      <c r="V52" s="3382"/>
      <c r="W52" s="3382">
        <f t="shared" si="222"/>
        <v>1</v>
      </c>
      <c r="X52" s="3371"/>
      <c r="Y52" s="3373"/>
      <c r="Z52" s="3397">
        <f t="shared" si="223"/>
        <v>3.5000000000000001E-3</v>
      </c>
      <c r="AA52" s="3398">
        <f t="shared" si="223"/>
        <v>4.7999999999999996E-3</v>
      </c>
      <c r="AB52" s="3373">
        <f t="shared" si="223"/>
        <v>9.7999999999999997E-3</v>
      </c>
      <c r="AC52" s="3399"/>
      <c r="AD52" s="3373">
        <f t="shared" si="223"/>
        <v>4.7999999999999996E-3</v>
      </c>
      <c r="AG52" s="3681">
        <v>100</v>
      </c>
      <c r="AH52" s="3681">
        <v>100</v>
      </c>
      <c r="AI52" s="3681">
        <v>100</v>
      </c>
      <c r="AJ52" s="3681"/>
      <c r="AK52" s="3681">
        <v>100</v>
      </c>
      <c r="AN52" s="3680">
        <f t="shared" si="167"/>
        <v>98.527690711529758</v>
      </c>
      <c r="AO52" s="3680">
        <f t="shared" si="168"/>
        <v>99.288942678737428</v>
      </c>
      <c r="AP52" s="3680">
        <f t="shared" si="169"/>
        <v>96.757128068805017</v>
      </c>
      <c r="AQ52" s="3680"/>
      <c r="AR52" s="3680">
        <f t="shared" si="170"/>
        <v>99.288942678737428</v>
      </c>
    </row>
    <row r="53" spans="1:44" ht="14.25" thickTop="1"/>
    <row r="54" spans="1:44">
      <c r="A54" s="3662"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7" t="s">
        <v>1807</v>
      </c>
      <c r="C8" s="1612">
        <f ca="1">ROUND(F8*F10*F9*(1-F11)/10000,0)</f>
        <v>0</v>
      </c>
      <c r="D8" s="1609" t="s">
        <v>1817</v>
      </c>
      <c r="E8" s="59" t="s">
        <v>585</v>
      </c>
      <c r="F8" s="751">
        <f ca="1">INDIRECT("'数据-取费表'!u"&amp;$G$1)</f>
        <v>0</v>
      </c>
      <c r="G8" s="1405"/>
      <c r="H8" s="2151" t="s">
        <v>1353</v>
      </c>
      <c r="I8" s="3957" t="s">
        <v>1807</v>
      </c>
      <c r="J8" s="749">
        <f ca="1">ROUND(M8*M10*M9*(1-M11)/10000,0)</f>
        <v>0</v>
      </c>
      <c r="K8" s="332" t="s">
        <v>1817</v>
      </c>
      <c r="L8" s="750" t="s">
        <v>1267</v>
      </c>
      <c r="M8" s="751">
        <f ca="1">INDIRECT("'数据-取费表'!z"&amp;$G$1)</f>
        <v>0</v>
      </c>
    </row>
    <row r="9" spans="1:25" ht="18" customHeight="1">
      <c r="A9" s="2147"/>
      <c r="B9" s="3958"/>
      <c r="C9" s="1613"/>
      <c r="D9" s="1610"/>
      <c r="E9" s="59" t="s">
        <v>586</v>
      </c>
      <c r="F9" s="751">
        <f ca="1">IF(INDIRECT("'数据-取费表'!ah"&amp;$G$1)="",INDIRECT("'数据-取费表'!k"&amp;$G$1),INDIRECT("'数据-取费表'!ah"&amp;$G$1))</f>
        <v>0</v>
      </c>
      <c r="G9" s="1405"/>
      <c r="H9" s="2136"/>
      <c r="I9" s="3958"/>
      <c r="J9" s="754"/>
      <c r="K9" s="755"/>
      <c r="L9" s="750" t="s">
        <v>1268</v>
      </c>
      <c r="M9" s="751">
        <f ca="1">F9</f>
        <v>0</v>
      </c>
    </row>
    <row r="10" spans="1:25" ht="18" customHeight="1">
      <c r="A10" s="2140"/>
      <c r="B10" s="3959"/>
      <c r="C10" s="1613"/>
      <c r="D10" s="1610"/>
      <c r="E10" s="59" t="s">
        <v>587</v>
      </c>
      <c r="F10" s="751">
        <f ca="1">INDIRECT("'数据-取费表'!ai"&amp;$G$1)</f>
        <v>0</v>
      </c>
      <c r="G10" s="1405"/>
      <c r="H10" s="2136"/>
      <c r="I10" s="3959"/>
      <c r="J10" s="754"/>
      <c r="K10" s="755"/>
      <c r="L10" s="750" t="s">
        <v>1269</v>
      </c>
      <c r="M10" s="751">
        <f ca="1">INDIRECT("'数据-取费表'!ai"&amp;$G$1)</f>
        <v>0</v>
      </c>
    </row>
    <row r="11" spans="1:25" ht="18" customHeight="1">
      <c r="A11" s="752"/>
      <c r="B11" s="3960"/>
      <c r="C11" s="1613"/>
      <c r="D11" s="1610"/>
      <c r="E11" s="59" t="s">
        <v>588</v>
      </c>
      <c r="F11" s="760">
        <f ca="1">INDIRECT("'数据-取费表'!w"&amp;$G$1)</f>
        <v>0</v>
      </c>
      <c r="G11" s="1405"/>
      <c r="H11" s="2152"/>
      <c r="I11" s="3959"/>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56"/>
      <c r="J36" s="1803"/>
      <c r="K36" s="1804"/>
      <c r="L36" s="1803"/>
      <c r="M36" s="1803"/>
    </row>
    <row r="37" spans="1:18" ht="18" customHeight="1">
      <c r="A37" s="780"/>
      <c r="B37" s="759"/>
      <c r="C37" s="67"/>
      <c r="D37" s="781"/>
      <c r="E37" s="750" t="s">
        <v>621</v>
      </c>
      <c r="F37" s="751">
        <f ca="1">INDIRECT("'数据-取费表'!r"&amp;$G$1)</f>
        <v>0</v>
      </c>
      <c r="G37" s="1786"/>
      <c r="H37" s="1789"/>
      <c r="I37" s="3956"/>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61"/>
      <c r="L54" s="3962"/>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7" t="s">
        <v>1807</v>
      </c>
      <c r="C6" s="749" t="e">
        <f ca="1">ROUND(F6*F8*F7*(1-F9)/10000,0)</f>
        <v>#N/A</v>
      </c>
      <c r="D6" s="2144" t="s">
        <v>1806</v>
      </c>
      <c r="E6" s="750" t="s">
        <v>1267</v>
      </c>
      <c r="F6" s="751" t="e">
        <f ca="1">INDIRECT("'数据-取费表'!u"&amp;$G$1)</f>
        <v>#N/A</v>
      </c>
      <c r="G6" s="1786"/>
      <c r="H6" s="2151" t="s">
        <v>1812</v>
      </c>
      <c r="I6" s="3957" t="s">
        <v>1807</v>
      </c>
      <c r="J6" s="749" t="e">
        <f ca="1">ROUND(M6*M8*M7*(1-M9)/10000,0)</f>
        <v>#N/A</v>
      </c>
      <c r="K6" s="332" t="s">
        <v>1266</v>
      </c>
      <c r="L6" s="750" t="s">
        <v>1267</v>
      </c>
      <c r="M6" s="751" t="e">
        <f ca="1">INDIRECT("'数据-取费表'!z"&amp;$G$1)</f>
        <v>#N/A</v>
      </c>
    </row>
    <row r="7" spans="1:33" ht="18" customHeight="1">
      <c r="A7" s="2147"/>
      <c r="B7" s="3958"/>
      <c r="C7" s="754"/>
      <c r="D7" s="755"/>
      <c r="E7" s="750" t="s">
        <v>1268</v>
      </c>
      <c r="F7" s="751" t="e">
        <f ca="1">IF(INDIRECT("'数据-取费表'!ah"&amp;$G$1)="",INDIRECT("'数据-取费表'!k"&amp;$G$1),INDIRECT("'数据-取费表'!ah"&amp;$G$1))</f>
        <v>#N/A</v>
      </c>
      <c r="G7" s="1786"/>
      <c r="H7" s="2136"/>
      <c r="I7" s="3958"/>
      <c r="J7" s="754"/>
      <c r="K7" s="755"/>
      <c r="L7" s="750" t="s">
        <v>1268</v>
      </c>
      <c r="M7" s="751" t="e">
        <f ca="1">F7</f>
        <v>#N/A</v>
      </c>
    </row>
    <row r="8" spans="1:33" ht="18" customHeight="1">
      <c r="A8" s="2140"/>
      <c r="B8" s="3959"/>
      <c r="C8" s="754"/>
      <c r="D8" s="755"/>
      <c r="E8" s="750" t="s">
        <v>1269</v>
      </c>
      <c r="F8" s="751" t="e">
        <f ca="1">INDIRECT("'数据-取费表'!ai"&amp;$G$1)</f>
        <v>#N/A</v>
      </c>
      <c r="G8" s="1786"/>
      <c r="H8" s="2136"/>
      <c r="I8" s="3959"/>
      <c r="J8" s="754"/>
      <c r="K8" s="755"/>
      <c r="L8" s="750" t="s">
        <v>1269</v>
      </c>
      <c r="M8" s="751" t="e">
        <f ca="1">INDIRECT("'数据-取费表'!ai"&amp;$G$1)</f>
        <v>#N/A</v>
      </c>
    </row>
    <row r="9" spans="1:33" ht="18" customHeight="1">
      <c r="A9" s="752"/>
      <c r="B9" s="3960"/>
      <c r="C9" s="754"/>
      <c r="D9" s="755"/>
      <c r="E9" s="750" t="s">
        <v>1270</v>
      </c>
      <c r="F9" s="760" t="e">
        <f ca="1">INDIRECT("'数据-取费表'!w"&amp;$G$1)</f>
        <v>#N/A</v>
      </c>
      <c r="G9" s="1786"/>
      <c r="H9" s="2152"/>
      <c r="I9" s="3959"/>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3" t="s">
        <v>2226</v>
      </c>
      <c r="L53" s="3964"/>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71" t="s">
        <v>2300</v>
      </c>
      <c r="K2" s="3972"/>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73" t="s">
        <v>2310</v>
      </c>
      <c r="K3" s="3974"/>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73" t="s">
        <v>2312</v>
      </c>
      <c r="K4" s="3974"/>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79" t="s">
        <v>2316</v>
      </c>
      <c r="B6" s="3980"/>
      <c r="C6" s="3981"/>
      <c r="D6" s="3098"/>
      <c r="E6" s="3099"/>
      <c r="F6" s="3100"/>
      <c r="G6" s="3101"/>
      <c r="H6" s="3076"/>
      <c r="I6" s="3077"/>
      <c r="J6" s="3965">
        <v>1</v>
      </c>
      <c r="K6" s="3966"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65"/>
      <c r="K7" s="3967"/>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82" t="s">
        <v>2330</v>
      </c>
      <c r="C8" s="3983"/>
      <c r="D8" s="3117" t="s">
        <v>2331</v>
      </c>
      <c r="E8" s="3118" t="s">
        <v>2332</v>
      </c>
      <c r="F8" s="3119" t="s">
        <v>2333</v>
      </c>
      <c r="G8" s="3120"/>
      <c r="H8" s="3076"/>
      <c r="I8" s="3077"/>
      <c r="J8" s="3965"/>
      <c r="K8" s="3967"/>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82" t="s">
        <v>2336</v>
      </c>
      <c r="C9" s="3983"/>
      <c r="D9" s="3117">
        <f>ROUND(D6*E9,0)</f>
        <v>0</v>
      </c>
      <c r="E9" s="3121"/>
      <c r="F9" s="3122" t="s">
        <v>2337</v>
      </c>
      <c r="G9" s="3101"/>
      <c r="H9" s="3076"/>
      <c r="I9" s="3077"/>
      <c r="J9" s="3965"/>
      <c r="K9" s="3967"/>
      <c r="L9" s="3111" t="s">
        <v>2338</v>
      </c>
      <c r="M9" s="3112"/>
      <c r="N9" s="3088"/>
      <c r="O9" s="3113"/>
      <c r="P9" s="3113"/>
      <c r="Q9" s="3114">
        <v>365</v>
      </c>
      <c r="R9" s="3115">
        <f t="shared" si="0"/>
        <v>0</v>
      </c>
      <c r="S9" s="3068"/>
      <c r="T9" s="3068"/>
      <c r="U9" s="3068"/>
      <c r="V9" s="3077"/>
    </row>
    <row r="10" spans="1:22" s="3081" customFormat="1" ht="13.15" customHeight="1">
      <c r="A10" s="3116">
        <v>2</v>
      </c>
      <c r="B10" s="3982" t="s">
        <v>2339</v>
      </c>
      <c r="C10" s="3983"/>
      <c r="D10" s="3117">
        <f>ROUND(D6*E10,0)</f>
        <v>0</v>
      </c>
      <c r="E10" s="3121"/>
      <c r="F10" s="3122" t="s">
        <v>2340</v>
      </c>
      <c r="G10" s="3101"/>
      <c r="H10" s="3076"/>
      <c r="I10" s="3077"/>
      <c r="J10" s="3965"/>
      <c r="K10" s="3967"/>
      <c r="L10" s="3111" t="s">
        <v>2341</v>
      </c>
      <c r="M10" s="3112"/>
      <c r="N10" s="3088"/>
      <c r="O10" s="3113"/>
      <c r="P10" s="3113"/>
      <c r="Q10" s="3114">
        <v>365</v>
      </c>
      <c r="R10" s="3115">
        <f t="shared" si="0"/>
        <v>0</v>
      </c>
      <c r="S10" s="3068"/>
      <c r="T10" s="3068"/>
      <c r="U10" s="3068"/>
      <c r="V10" s="3077"/>
    </row>
    <row r="11" spans="1:22" s="3081" customFormat="1" ht="13.15" customHeight="1">
      <c r="A11" s="3116">
        <v>3</v>
      </c>
      <c r="B11" s="3982" t="s">
        <v>2342</v>
      </c>
      <c r="C11" s="3983"/>
      <c r="D11" s="3117">
        <f>D12+D14+D15+D16</f>
        <v>0</v>
      </c>
      <c r="E11" s="3123" t="e">
        <f>D11/D6</f>
        <v>#DIV/0!</v>
      </c>
      <c r="F11" s="3119"/>
      <c r="G11" s="3120"/>
      <c r="H11" s="3076"/>
      <c r="I11" s="3077"/>
      <c r="J11" s="3965"/>
      <c r="K11" s="3967"/>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75" t="s">
        <v>2345</v>
      </c>
      <c r="C12" s="3976"/>
      <c r="D12" s="3125">
        <f>ROUND(D13*1.2%*(1-30%),0)</f>
        <v>0</v>
      </c>
      <c r="E12" s="3126">
        <v>1.2E-2</v>
      </c>
      <c r="F12" s="3119" t="s">
        <v>2346</v>
      </c>
      <c r="G12" s="3120"/>
      <c r="H12" s="3076"/>
      <c r="I12" s="3077"/>
      <c r="J12" s="3965"/>
      <c r="K12" s="3967"/>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65"/>
      <c r="K13" s="3967"/>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75" t="s">
        <v>2351</v>
      </c>
      <c r="C14" s="3976"/>
      <c r="D14" s="3125">
        <f>ROUND(E14*B5/10000,0)</f>
        <v>0</v>
      </c>
      <c r="E14" s="3114"/>
      <c r="F14" s="3119" t="s">
        <v>2352</v>
      </c>
      <c r="G14" s="3120"/>
      <c r="H14" s="3076"/>
      <c r="I14" s="3077"/>
      <c r="J14" s="3965"/>
      <c r="K14" s="3968"/>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75" t="s">
        <v>2355</v>
      </c>
      <c r="C15" s="3976"/>
      <c r="D15" s="3125">
        <f>ROUND(D6*E15,0)</f>
        <v>0</v>
      </c>
      <c r="E15" s="3126">
        <v>5.5E-2</v>
      </c>
      <c r="F15" s="3119" t="s">
        <v>2356</v>
      </c>
      <c r="G15" s="3101"/>
      <c r="H15" s="3076"/>
      <c r="I15" s="3077"/>
      <c r="J15" s="3965">
        <v>2</v>
      </c>
      <c r="K15" s="3966"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75" t="s">
        <v>2366</v>
      </c>
      <c r="C16" s="3976"/>
      <c r="D16" s="3136">
        <f>D6*E16</f>
        <v>0</v>
      </c>
      <c r="E16" s="3137"/>
      <c r="F16" s="3122" t="s">
        <v>2367</v>
      </c>
      <c r="G16" s="3101"/>
      <c r="H16" s="3076"/>
      <c r="I16" s="3077"/>
      <c r="J16" s="3965"/>
      <c r="K16" s="3967"/>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77" t="s">
        <v>2369</v>
      </c>
      <c r="C17" s="3978"/>
      <c r="D17" s="3139">
        <f>ROUND(D6*E17,0)</f>
        <v>0</v>
      </c>
      <c r="E17" s="3140"/>
      <c r="F17" s="3141" t="s">
        <v>2370</v>
      </c>
      <c r="G17" s="3101"/>
      <c r="H17" s="3076"/>
      <c r="I17" s="3077"/>
      <c r="J17" s="3965"/>
      <c r="K17" s="3967"/>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65"/>
      <c r="K18" s="3967"/>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65"/>
      <c r="K19" s="3968"/>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5">
        <v>3</v>
      </c>
      <c r="K20" s="3966"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65"/>
      <c r="K21" s="3967"/>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65"/>
      <c r="K22" s="3967"/>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65"/>
      <c r="K23" s="3967"/>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65"/>
      <c r="K24" s="3968"/>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69">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70"/>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71" t="s">
        <v>2412</v>
      </c>
      <c r="K32" s="3972"/>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73" t="s">
        <v>2416</v>
      </c>
      <c r="K33" s="3974"/>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73" t="s">
        <v>2418</v>
      </c>
      <c r="K34" s="3974"/>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65">
        <v>1</v>
      </c>
      <c r="K36" s="3966"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65"/>
      <c r="K37" s="3967"/>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5"/>
      <c r="K38" s="3967"/>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65"/>
      <c r="K39" s="3967"/>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65"/>
      <c r="K40" s="3968"/>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9">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70"/>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1" t="s">
        <v>471</v>
      </c>
      <c r="D4" s="3882"/>
      <c r="E4" s="3903" t="s">
        <v>472</v>
      </c>
      <c r="F4" s="3904"/>
      <c r="G4" s="3881" t="s">
        <v>473</v>
      </c>
      <c r="H4" s="3882"/>
      <c r="I4" s="3881" t="s">
        <v>474</v>
      </c>
      <c r="J4" s="3882"/>
      <c r="K4" s="818"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62" t="s">
        <v>473</v>
      </c>
      <c r="AC4" s="3862" t="s">
        <v>474</v>
      </c>
    </row>
    <row r="5" spans="1:29" ht="15">
      <c r="A5" s="485"/>
      <c r="B5" s="486"/>
      <c r="C5" s="3892" t="s">
        <v>2192</v>
      </c>
      <c r="D5" s="3893"/>
      <c r="E5" s="3905" t="s">
        <v>2193</v>
      </c>
      <c r="F5" s="3906"/>
      <c r="G5" s="3892" t="s">
        <v>2194</v>
      </c>
      <c r="H5" s="3893"/>
      <c r="I5" s="3892" t="s">
        <v>2195</v>
      </c>
      <c r="J5" s="3893"/>
      <c r="K5" s="819"/>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2196</v>
      </c>
      <c r="D6" s="3891"/>
      <c r="E6" s="3907" t="s">
        <v>2196</v>
      </c>
      <c r="F6" s="3908"/>
      <c r="G6" s="3890" t="s">
        <v>2196</v>
      </c>
      <c r="H6" s="3891"/>
      <c r="I6" s="3890" t="s">
        <v>2196</v>
      </c>
      <c r="J6" s="3891"/>
      <c r="K6" s="819"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65" t="s">
        <v>479</v>
      </c>
      <c r="Q7" s="3874"/>
      <c r="R7" s="1381" t="s">
        <v>10</v>
      </c>
      <c r="S7" s="1382">
        <f t="shared" ref="S7:S15" si="0">F7</f>
        <v>100</v>
      </c>
      <c r="T7" s="1381" t="s">
        <v>10</v>
      </c>
      <c r="U7" s="1382">
        <f t="shared" ref="U7:U15" si="1">H7</f>
        <v>100</v>
      </c>
      <c r="V7" s="1381" t="s">
        <v>10</v>
      </c>
      <c r="W7" s="1382">
        <f t="shared" ref="W7:W15"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5" t="s">
        <v>482</v>
      </c>
      <c r="Q8" s="3866"/>
      <c r="R8" s="1381" t="s">
        <v>10</v>
      </c>
      <c r="S8" s="1382">
        <f t="shared" si="0"/>
        <v>0</v>
      </c>
      <c r="T8" s="1381" t="s">
        <v>10</v>
      </c>
      <c r="U8" s="1382">
        <f t="shared" si="1"/>
        <v>0</v>
      </c>
      <c r="V8" s="1381" t="s">
        <v>10</v>
      </c>
      <c r="W8" s="1382">
        <f t="shared" si="2"/>
        <v>0</v>
      </c>
      <c r="X8" s="1383"/>
      <c r="Y8" s="3865" t="s">
        <v>482</v>
      </c>
      <c r="Z8" s="386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3"/>
      <c r="Q11" s="1050" t="str">
        <f t="shared" si="6"/>
        <v>容积率</v>
      </c>
      <c r="R11" s="1381" t="s">
        <v>8</v>
      </c>
      <c r="S11" s="1382" t="e">
        <f t="shared" si="0"/>
        <v>#N/A</v>
      </c>
      <c r="T11" s="1381" t="s">
        <v>8</v>
      </c>
      <c r="U11" s="1382" t="e">
        <f t="shared" si="1"/>
        <v>#N/A</v>
      </c>
      <c r="V11" s="1381" t="s">
        <v>8</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3"/>
      <c r="Q12" s="1050">
        <f t="shared" si="6"/>
        <v>111</v>
      </c>
      <c r="R12" s="1381" t="s">
        <v>8</v>
      </c>
      <c r="S12" s="1382">
        <f t="shared" si="0"/>
        <v>100</v>
      </c>
      <c r="T12" s="1381" t="s">
        <v>8</v>
      </c>
      <c r="U12" s="1382">
        <f t="shared" si="1"/>
        <v>100</v>
      </c>
      <c r="V12" s="1381" t="s">
        <v>8</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3"/>
      <c r="Q13" s="1050">
        <f t="shared" si="6"/>
        <v>111</v>
      </c>
      <c r="R13" s="1381" t="s">
        <v>8</v>
      </c>
      <c r="S13" s="1382">
        <f t="shared" si="0"/>
        <v>100</v>
      </c>
      <c r="T13" s="1381" t="s">
        <v>8</v>
      </c>
      <c r="U13" s="1382">
        <f t="shared" si="1"/>
        <v>100</v>
      </c>
      <c r="V13" s="1381" t="s">
        <v>8</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3"/>
      <c r="Q14" s="1050">
        <f t="shared" si="6"/>
        <v>111</v>
      </c>
      <c r="R14" s="1381" t="s">
        <v>8</v>
      </c>
      <c r="S14" s="1382">
        <f t="shared" si="0"/>
        <v>100</v>
      </c>
      <c r="T14" s="1381" t="s">
        <v>8</v>
      </c>
      <c r="U14" s="1382">
        <f t="shared" si="1"/>
        <v>100</v>
      </c>
      <c r="V14" s="1381" t="s">
        <v>8</v>
      </c>
      <c r="W14" s="1382">
        <f t="shared" si="2"/>
        <v>100</v>
      </c>
      <c r="X14" s="1383"/>
      <c r="Y14" s="382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5" t="s">
        <v>489</v>
      </c>
      <c r="Q15" s="1385" t="str">
        <f t="shared" si="6"/>
        <v>居住社区成熟度</v>
      </c>
      <c r="R15" s="1386" t="s">
        <v>8</v>
      </c>
      <c r="S15" s="1387">
        <f t="shared" si="0"/>
        <v>100</v>
      </c>
      <c r="T15" s="1386" t="s">
        <v>8</v>
      </c>
      <c r="U15" s="1387">
        <f t="shared" si="1"/>
        <v>100</v>
      </c>
      <c r="V15" s="1386" t="s">
        <v>8</v>
      </c>
      <c r="W15" s="1387">
        <f t="shared" si="2"/>
        <v>100</v>
      </c>
      <c r="X15" s="1380"/>
      <c r="Y15" s="387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6"/>
      <c r="Q17" s="1385" t="str">
        <f>B17</f>
        <v>交通便捷度</v>
      </c>
      <c r="R17" s="1386" t="s">
        <v>8</v>
      </c>
      <c r="S17" s="1387">
        <f>F17</f>
        <v>100</v>
      </c>
      <c r="T17" s="1386" t="s">
        <v>8</v>
      </c>
      <c r="U17" s="1387">
        <f>H17</f>
        <v>100</v>
      </c>
      <c r="V17" s="1386" t="s">
        <v>8</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6"/>
      <c r="Q19" s="1385" t="str">
        <f>B19</f>
        <v>公共配套设施</v>
      </c>
      <c r="R19" s="1386" t="s">
        <v>8</v>
      </c>
      <c r="S19" s="1387">
        <f>F19</f>
        <v>100</v>
      </c>
      <c r="T19" s="1386" t="s">
        <v>8</v>
      </c>
      <c r="U19" s="1387">
        <f>H19</f>
        <v>100</v>
      </c>
      <c r="V19" s="1386" t="s">
        <v>8</v>
      </c>
      <c r="W19" s="1387">
        <f>J19</f>
        <v>100</v>
      </c>
      <c r="X19" s="1380"/>
      <c r="Y19" s="387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6"/>
      <c r="Q21" s="2193" t="str">
        <f>B21</f>
        <v>基础设施水平</v>
      </c>
      <c r="R21" s="1386" t="s">
        <v>8</v>
      </c>
      <c r="S21" s="1387">
        <f>F21</f>
        <v>100</v>
      </c>
      <c r="T21" s="1386" t="s">
        <v>8</v>
      </c>
      <c r="U21" s="1387">
        <f>H21</f>
        <v>100</v>
      </c>
      <c r="V21" s="1386" t="s">
        <v>8</v>
      </c>
      <c r="W21" s="1387">
        <f>J21</f>
        <v>100</v>
      </c>
      <c r="X21" s="2195"/>
      <c r="Y21" s="387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6"/>
      <c r="Q22" s="2193"/>
      <c r="R22" s="1386"/>
      <c r="S22" s="1387"/>
      <c r="T22" s="1386"/>
      <c r="U22" s="1387"/>
      <c r="V22" s="1386"/>
      <c r="W22" s="1387"/>
      <c r="X22" s="2195"/>
      <c r="Y22" s="3876"/>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6"/>
      <c r="Q23" s="1385" t="str">
        <f>B23</f>
        <v>自然及人文环境</v>
      </c>
      <c r="R23" s="1386" t="s">
        <v>8</v>
      </c>
      <c r="S23" s="1387">
        <f>F23</f>
        <v>100</v>
      </c>
      <c r="T23" s="1386" t="s">
        <v>8</v>
      </c>
      <c r="U23" s="1387">
        <f>H23</f>
        <v>100</v>
      </c>
      <c r="V23" s="1386" t="s">
        <v>8</v>
      </c>
      <c r="W23" s="1387">
        <f>J23</f>
        <v>100</v>
      </c>
      <c r="X23" s="1380"/>
      <c r="Y23" s="387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6"/>
      <c r="Q25" s="1385" t="str">
        <f t="shared" ref="Q25:Q46" si="8">B25</f>
        <v>楼层-1</v>
      </c>
      <c r="R25" s="1386" t="s">
        <v>8</v>
      </c>
      <c r="S25" s="1387">
        <f>F25</f>
        <v>100</v>
      </c>
      <c r="T25" s="1386" t="s">
        <v>8</v>
      </c>
      <c r="U25" s="1387">
        <f>H25</f>
        <v>100</v>
      </c>
      <c r="V25" s="1386" t="s">
        <v>8</v>
      </c>
      <c r="W25" s="1387">
        <f>J25</f>
        <v>100</v>
      </c>
      <c r="X25" s="1380"/>
      <c r="Y25" s="387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6"/>
      <c r="Q26" s="1385" t="str">
        <f t="shared" si="8"/>
        <v>朝向</v>
      </c>
      <c r="R26" s="1386" t="s">
        <v>8</v>
      </c>
      <c r="S26" s="1387">
        <f>F26</f>
        <v>100</v>
      </c>
      <c r="T26" s="1386" t="s">
        <v>8</v>
      </c>
      <c r="U26" s="1387">
        <f>H26</f>
        <v>100</v>
      </c>
      <c r="V26" s="1386" t="s">
        <v>8</v>
      </c>
      <c r="W26" s="1387">
        <f>J26</f>
        <v>100</v>
      </c>
      <c r="X26" s="1380"/>
      <c r="Y26" s="387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6"/>
      <c r="Q27" s="1050" t="str">
        <f t="shared" si="8"/>
        <v>道路级别</v>
      </c>
      <c r="R27" s="1381" t="s">
        <v>8</v>
      </c>
      <c r="S27" s="1382">
        <f>F27</f>
        <v>100</v>
      </c>
      <c r="T27" s="1381" t="s">
        <v>8</v>
      </c>
      <c r="U27" s="1382">
        <f>H27</f>
        <v>100</v>
      </c>
      <c r="V27" s="1381" t="s">
        <v>8</v>
      </c>
      <c r="W27" s="1382">
        <f>J27</f>
        <v>100</v>
      </c>
      <c r="X27" s="1383"/>
      <c r="Y27" s="387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6"/>
      <c r="Q28" s="1385">
        <f t="shared" si="8"/>
        <v>111</v>
      </c>
      <c r="R28" s="1386" t="s">
        <v>8</v>
      </c>
      <c r="S28" s="1387">
        <f t="shared" ref="S28:S46" si="9">F28</f>
        <v>100</v>
      </c>
      <c r="T28" s="1386" t="s">
        <v>8</v>
      </c>
      <c r="U28" s="1387">
        <f t="shared" ref="U28:U46" si="10">H28</f>
        <v>100</v>
      </c>
      <c r="V28" s="1386" t="s">
        <v>8</v>
      </c>
      <c r="W28" s="1387">
        <f t="shared" ref="W28:W46" si="11">J28</f>
        <v>100</v>
      </c>
      <c r="X28" s="1380"/>
      <c r="Y28" s="387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6"/>
      <c r="Q29" s="1385">
        <f t="shared" si="8"/>
        <v>111</v>
      </c>
      <c r="R29" s="1386" t="s">
        <v>8</v>
      </c>
      <c r="S29" s="1387">
        <f t="shared" si="9"/>
        <v>100</v>
      </c>
      <c r="T29" s="1386" t="s">
        <v>8</v>
      </c>
      <c r="U29" s="1387">
        <f t="shared" si="10"/>
        <v>100</v>
      </c>
      <c r="V29" s="1386" t="s">
        <v>8</v>
      </c>
      <c r="W29" s="1387">
        <f t="shared" si="11"/>
        <v>100</v>
      </c>
      <c r="X29" s="1380"/>
      <c r="Y29" s="387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6"/>
      <c r="Q30" s="1385">
        <f t="shared" si="8"/>
        <v>111</v>
      </c>
      <c r="R30" s="1386" t="s">
        <v>8</v>
      </c>
      <c r="S30" s="1387">
        <f t="shared" si="9"/>
        <v>100</v>
      </c>
      <c r="T30" s="1386" t="s">
        <v>8</v>
      </c>
      <c r="U30" s="1387">
        <f t="shared" si="10"/>
        <v>100</v>
      </c>
      <c r="V30" s="1386" t="s">
        <v>8</v>
      </c>
      <c r="W30" s="1387">
        <f t="shared" si="11"/>
        <v>100</v>
      </c>
      <c r="X30" s="1380"/>
      <c r="Y30" s="387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6"/>
      <c r="Q31" s="1385">
        <f t="shared" si="8"/>
        <v>111</v>
      </c>
      <c r="R31" s="1386" t="s">
        <v>8</v>
      </c>
      <c r="S31" s="1387">
        <f t="shared" si="9"/>
        <v>100</v>
      </c>
      <c r="T31" s="1386" t="s">
        <v>8</v>
      </c>
      <c r="U31" s="1387">
        <f t="shared" si="10"/>
        <v>100</v>
      </c>
      <c r="V31" s="1386" t="s">
        <v>8</v>
      </c>
      <c r="W31" s="1387">
        <f t="shared" si="11"/>
        <v>100</v>
      </c>
      <c r="X31" s="1380"/>
      <c r="Y31" s="3876"/>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7" t="s">
        <v>499</v>
      </c>
      <c r="Q32" s="1385" t="str">
        <f t="shared" si="8"/>
        <v>建筑类型</v>
      </c>
      <c r="R32" s="1386" t="s">
        <v>8</v>
      </c>
      <c r="S32" s="1387">
        <f t="shared" si="9"/>
        <v>100</v>
      </c>
      <c r="T32" s="1386" t="s">
        <v>8</v>
      </c>
      <c r="U32" s="1387">
        <f t="shared" si="10"/>
        <v>100</v>
      </c>
      <c r="V32" s="1386" t="s">
        <v>8</v>
      </c>
      <c r="W32" s="1387">
        <f t="shared" si="11"/>
        <v>100</v>
      </c>
      <c r="X32" s="1380"/>
      <c r="Y32" s="387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8"/>
      <c r="Q33" s="1414" t="str">
        <f t="shared" si="8"/>
        <v>项目建筑规模</v>
      </c>
      <c r="R33" s="1390" t="s">
        <v>8</v>
      </c>
      <c r="S33" s="1391" t="e">
        <f t="shared" si="9"/>
        <v>#N/A</v>
      </c>
      <c r="T33" s="1390" t="s">
        <v>8</v>
      </c>
      <c r="U33" s="1391" t="e">
        <f t="shared" si="10"/>
        <v>#N/A</v>
      </c>
      <c r="V33" s="1390" t="s">
        <v>8</v>
      </c>
      <c r="W33" s="1391" t="e">
        <f t="shared" si="11"/>
        <v>#N/A</v>
      </c>
      <c r="X33" s="1392"/>
      <c r="Y33" s="387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8"/>
      <c r="Q34" s="1385" t="str">
        <f t="shared" si="8"/>
        <v>建筑结构</v>
      </c>
      <c r="R34" s="1386" t="s">
        <v>8</v>
      </c>
      <c r="S34" s="1387">
        <f t="shared" si="9"/>
        <v>100</v>
      </c>
      <c r="T34" s="1386" t="s">
        <v>8</v>
      </c>
      <c r="U34" s="1387">
        <f t="shared" si="10"/>
        <v>100</v>
      </c>
      <c r="V34" s="1386" t="s">
        <v>8</v>
      </c>
      <c r="W34" s="1387">
        <f t="shared" si="11"/>
        <v>100</v>
      </c>
      <c r="X34" s="1380"/>
      <c r="Y34" s="387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8"/>
      <c r="Q35" s="1385" t="str">
        <f t="shared" si="8"/>
        <v>建筑品质</v>
      </c>
      <c r="R35" s="1386" t="s">
        <v>8</v>
      </c>
      <c r="S35" s="1387">
        <f t="shared" si="9"/>
        <v>100</v>
      </c>
      <c r="T35" s="1386" t="s">
        <v>8</v>
      </c>
      <c r="U35" s="1387">
        <f t="shared" si="10"/>
        <v>100</v>
      </c>
      <c r="V35" s="1386" t="s">
        <v>8</v>
      </c>
      <c r="W35" s="1387">
        <f t="shared" si="11"/>
        <v>100</v>
      </c>
      <c r="X35" s="1380"/>
      <c r="Y35" s="387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8"/>
      <c r="Q36" s="1385" t="str">
        <f t="shared" si="8"/>
        <v>公共部分装修</v>
      </c>
      <c r="R36" s="1386" t="s">
        <v>8</v>
      </c>
      <c r="S36" s="1387">
        <f t="shared" si="9"/>
        <v>100</v>
      </c>
      <c r="T36" s="1386" t="s">
        <v>8</v>
      </c>
      <c r="U36" s="1387">
        <f t="shared" si="10"/>
        <v>100</v>
      </c>
      <c r="V36" s="1386" t="s">
        <v>8</v>
      </c>
      <c r="W36" s="1387">
        <f t="shared" si="11"/>
        <v>100</v>
      </c>
      <c r="X36" s="1380"/>
      <c r="Y36" s="387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8"/>
      <c r="Q37" s="1050" t="str">
        <f t="shared" si="8"/>
        <v>成新度</v>
      </c>
      <c r="R37" s="1381" t="s">
        <v>8</v>
      </c>
      <c r="S37" s="1382" t="e">
        <f t="shared" si="9"/>
        <v>#N/A</v>
      </c>
      <c r="T37" s="1381" t="s">
        <v>8</v>
      </c>
      <c r="U37" s="1382" t="e">
        <f t="shared" si="10"/>
        <v>#N/A</v>
      </c>
      <c r="V37" s="1381" t="s">
        <v>8</v>
      </c>
      <c r="W37" s="1382" t="e">
        <f t="shared" si="11"/>
        <v>#N/A</v>
      </c>
      <c r="X37" s="1383"/>
      <c r="Y37" s="387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8" t="s">
        <v>499</v>
      </c>
      <c r="Q38" s="1385" t="str">
        <f t="shared" si="8"/>
        <v>物业管理</v>
      </c>
      <c r="R38" s="1386" t="s">
        <v>8</v>
      </c>
      <c r="S38" s="1387">
        <f t="shared" si="9"/>
        <v>100</v>
      </c>
      <c r="T38" s="1386" t="s">
        <v>8</v>
      </c>
      <c r="U38" s="1387">
        <f t="shared" si="10"/>
        <v>100</v>
      </c>
      <c r="V38" s="1386" t="s">
        <v>8</v>
      </c>
      <c r="W38" s="1387">
        <f t="shared" si="11"/>
        <v>100</v>
      </c>
      <c r="X38" s="1380"/>
      <c r="Y38" s="387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8"/>
      <c r="Q39" s="1385" t="str">
        <f t="shared" si="8"/>
        <v>市政基础设施</v>
      </c>
      <c r="R39" s="1386" t="s">
        <v>8</v>
      </c>
      <c r="S39" s="1387">
        <f t="shared" si="9"/>
        <v>100</v>
      </c>
      <c r="T39" s="1386" t="s">
        <v>8</v>
      </c>
      <c r="U39" s="1387">
        <f t="shared" si="10"/>
        <v>100</v>
      </c>
      <c r="V39" s="1386" t="s">
        <v>8</v>
      </c>
      <c r="W39" s="1387">
        <f t="shared" si="11"/>
        <v>100</v>
      </c>
      <c r="X39" s="1380"/>
      <c r="Y39" s="387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8"/>
      <c r="Q40" s="1385" t="str">
        <f t="shared" si="8"/>
        <v>房型</v>
      </c>
      <c r="R40" s="1386" t="s">
        <v>8</v>
      </c>
      <c r="S40" s="1387">
        <f t="shared" si="9"/>
        <v>100</v>
      </c>
      <c r="T40" s="1386" t="s">
        <v>8</v>
      </c>
      <c r="U40" s="1387">
        <f t="shared" si="10"/>
        <v>100</v>
      </c>
      <c r="V40" s="1386" t="s">
        <v>8</v>
      </c>
      <c r="W40" s="1387">
        <f t="shared" si="11"/>
        <v>100</v>
      </c>
      <c r="X40" s="1380"/>
      <c r="Y40" s="387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8"/>
      <c r="Q41" s="1414" t="str">
        <f t="shared" si="8"/>
        <v>单套/主力户型建筑面积</v>
      </c>
      <c r="R41" s="1390" t="s">
        <v>8</v>
      </c>
      <c r="S41" s="1391">
        <f t="shared" si="9"/>
        <v>100</v>
      </c>
      <c r="T41" s="1390" t="s">
        <v>8</v>
      </c>
      <c r="U41" s="1391">
        <f t="shared" si="10"/>
        <v>100</v>
      </c>
      <c r="V41" s="1390" t="s">
        <v>8</v>
      </c>
      <c r="W41" s="1391">
        <f t="shared" si="11"/>
        <v>100</v>
      </c>
      <c r="X41" s="1392"/>
      <c r="Y41" s="387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8"/>
      <c r="Q42" s="1385" t="str">
        <f t="shared" si="8"/>
        <v>内部装修</v>
      </c>
      <c r="R42" s="1386" t="s">
        <v>8</v>
      </c>
      <c r="S42" s="1387">
        <f t="shared" si="9"/>
        <v>100</v>
      </c>
      <c r="T42" s="1386" t="s">
        <v>8</v>
      </c>
      <c r="U42" s="1387">
        <f t="shared" si="10"/>
        <v>100</v>
      </c>
      <c r="V42" s="1386" t="s">
        <v>8</v>
      </c>
      <c r="W42" s="1387">
        <f t="shared" si="11"/>
        <v>100</v>
      </c>
      <c r="X42" s="1380"/>
      <c r="Y42" s="387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8"/>
      <c r="Q43" s="1385" t="str">
        <f t="shared" si="8"/>
        <v>内部装修维护情况</v>
      </c>
      <c r="R43" s="1386" t="s">
        <v>8</v>
      </c>
      <c r="S43" s="1387">
        <f t="shared" si="9"/>
        <v>100</v>
      </c>
      <c r="T43" s="1386" t="s">
        <v>8</v>
      </c>
      <c r="U43" s="1387">
        <f t="shared" si="10"/>
        <v>100</v>
      </c>
      <c r="V43" s="1386" t="s">
        <v>8</v>
      </c>
      <c r="W43" s="1387">
        <f t="shared" si="11"/>
        <v>100</v>
      </c>
      <c r="X43" s="1380"/>
      <c r="Y43" s="387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8"/>
      <c r="Q44" s="1050">
        <f t="shared" si="8"/>
        <v>111</v>
      </c>
      <c r="R44" s="1381" t="s">
        <v>8</v>
      </c>
      <c r="S44" s="1382">
        <f t="shared" si="9"/>
        <v>100</v>
      </c>
      <c r="T44" s="1381" t="s">
        <v>8</v>
      </c>
      <c r="U44" s="1382">
        <f t="shared" si="10"/>
        <v>100</v>
      </c>
      <c r="V44" s="1381" t="s">
        <v>8</v>
      </c>
      <c r="W44" s="1382">
        <f t="shared" si="11"/>
        <v>100</v>
      </c>
      <c r="X44" s="1383"/>
      <c r="Y44" s="387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8"/>
      <c r="Q45" s="1385">
        <f t="shared" si="8"/>
        <v>111</v>
      </c>
      <c r="R45" s="1386" t="s">
        <v>8</v>
      </c>
      <c r="S45" s="1387">
        <f t="shared" si="9"/>
        <v>100</v>
      </c>
      <c r="T45" s="1386" t="s">
        <v>8</v>
      </c>
      <c r="U45" s="1387">
        <f t="shared" si="10"/>
        <v>100</v>
      </c>
      <c r="V45" s="1386" t="s">
        <v>8</v>
      </c>
      <c r="W45" s="1387">
        <f t="shared" si="11"/>
        <v>100</v>
      </c>
      <c r="X45" s="1380"/>
      <c r="Y45" s="387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6"/>
      <c r="Q46" s="1385">
        <f t="shared" si="8"/>
        <v>111</v>
      </c>
      <c r="R46" s="1386" t="s">
        <v>7</v>
      </c>
      <c r="S46" s="1387">
        <f t="shared" si="9"/>
        <v>100</v>
      </c>
      <c r="T46" s="1386" t="s">
        <v>7</v>
      </c>
      <c r="U46" s="1387">
        <f t="shared" si="10"/>
        <v>100</v>
      </c>
      <c r="V46" s="1386" t="s">
        <v>7</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3" t="str">
        <f>A47</f>
        <v>成交单价（元/平方米）</v>
      </c>
      <c r="Q47" s="3873"/>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3" t="str">
        <f>A48</f>
        <v>比较价格（元/平方米）</v>
      </c>
      <c r="Q48" s="3873"/>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9" t="str">
        <f>A49</f>
        <v>估价对象XX用房的比较价格（楼面单价，元/平方米）</v>
      </c>
      <c r="Q49" s="3880"/>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1" t="s">
        <v>471</v>
      </c>
      <c r="D4" s="3882"/>
      <c r="E4" s="3903" t="s">
        <v>472</v>
      </c>
      <c r="F4" s="3904"/>
      <c r="G4" s="3881" t="s">
        <v>473</v>
      </c>
      <c r="H4" s="3882"/>
      <c r="I4" s="3881" t="s">
        <v>474</v>
      </c>
      <c r="J4" s="3882"/>
      <c r="K4" s="484"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89" t="s">
        <v>473</v>
      </c>
      <c r="AC4" s="3862" t="s">
        <v>474</v>
      </c>
    </row>
    <row r="5" spans="1:29" ht="15">
      <c r="A5" s="485"/>
      <c r="B5" s="486"/>
      <c r="C5" s="3892" t="s">
        <v>2192</v>
      </c>
      <c r="D5" s="3893"/>
      <c r="E5" s="3905" t="s">
        <v>2193</v>
      </c>
      <c r="F5" s="3906"/>
      <c r="G5" s="3892" t="s">
        <v>2194</v>
      </c>
      <c r="H5" s="3893"/>
      <c r="I5" s="3892" t="s">
        <v>2195</v>
      </c>
      <c r="J5" s="3893"/>
      <c r="K5" s="484"/>
      <c r="L5" s="1856"/>
      <c r="M5" s="1857"/>
      <c r="N5" s="1857"/>
      <c r="O5" s="1857"/>
      <c r="P5" s="3885"/>
      <c r="Q5" s="3886"/>
      <c r="R5" s="3869"/>
      <c r="S5" s="3870"/>
      <c r="T5" s="3869"/>
      <c r="U5" s="3870"/>
      <c r="V5" s="3889"/>
      <c r="W5" s="3889"/>
      <c r="X5" s="1380"/>
      <c r="Y5" s="3869"/>
      <c r="Z5" s="3870"/>
      <c r="AA5" s="3863"/>
      <c r="AB5" s="3889"/>
      <c r="AC5" s="3863"/>
    </row>
    <row r="6" spans="1:29" ht="15.75" thickBot="1">
      <c r="A6" s="487"/>
      <c r="B6" s="488"/>
      <c r="C6" s="3890" t="s">
        <v>2196</v>
      </c>
      <c r="D6" s="3891"/>
      <c r="E6" s="3907" t="s">
        <v>2196</v>
      </c>
      <c r="F6" s="3908"/>
      <c r="G6" s="3890" t="s">
        <v>2196</v>
      </c>
      <c r="H6" s="3891"/>
      <c r="I6" s="3890" t="s">
        <v>2196</v>
      </c>
      <c r="J6" s="3891"/>
      <c r="K6" s="484" t="s">
        <v>477</v>
      </c>
      <c r="L6" s="1856"/>
      <c r="M6" s="1857"/>
      <c r="N6" s="1857"/>
      <c r="O6" s="1857"/>
      <c r="P6" s="3887"/>
      <c r="Q6" s="3888"/>
      <c r="R6" s="3869"/>
      <c r="S6" s="3870"/>
      <c r="T6" s="3871"/>
      <c r="U6" s="3872"/>
      <c r="V6" s="3889"/>
      <c r="W6" s="3889"/>
      <c r="X6" s="1380"/>
      <c r="Y6" s="3871"/>
      <c r="Z6" s="3872"/>
      <c r="AA6" s="3864"/>
      <c r="AB6" s="3889"/>
      <c r="AC6" s="3864"/>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65" t="s">
        <v>479</v>
      </c>
      <c r="Q7" s="3874"/>
      <c r="R7" s="1381" t="s">
        <v>5</v>
      </c>
      <c r="S7" s="1382">
        <f t="shared" ref="S7:S15" si="0">F7</f>
        <v>100</v>
      </c>
      <c r="T7" s="1381" t="s">
        <v>5</v>
      </c>
      <c r="U7" s="1382">
        <f t="shared" ref="U7:U15" si="1">H7</f>
        <v>100</v>
      </c>
      <c r="V7" s="1381" t="s">
        <v>5</v>
      </c>
      <c r="W7" s="1382">
        <f t="shared" ref="W7:W15"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5" t="s">
        <v>489</v>
      </c>
      <c r="Q15" s="1385" t="str">
        <f t="shared" si="6"/>
        <v>商业繁华度</v>
      </c>
      <c r="R15" s="1386" t="s">
        <v>5</v>
      </c>
      <c r="S15" s="1387">
        <f t="shared" si="0"/>
        <v>100</v>
      </c>
      <c r="T15" s="1386" t="s">
        <v>5</v>
      </c>
      <c r="U15" s="1387">
        <f t="shared" si="1"/>
        <v>100</v>
      </c>
      <c r="V15" s="1386" t="s">
        <v>5</v>
      </c>
      <c r="W15" s="1387">
        <f t="shared" si="2"/>
        <v>100</v>
      </c>
      <c r="X15" s="1380"/>
      <c r="Y15" s="387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6"/>
      <c r="Q22" s="2193"/>
      <c r="R22" s="1386"/>
      <c r="S22" s="1387"/>
      <c r="T22" s="1386"/>
      <c r="U22" s="1387"/>
      <c r="V22" s="1386"/>
      <c r="W22" s="1387"/>
      <c r="X22" s="2195"/>
      <c r="Y22" s="3876"/>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6"/>
      <c r="Q23" s="1385" t="str">
        <f>B23</f>
        <v>自然及人文环境</v>
      </c>
      <c r="R23" s="1386" t="s">
        <v>5</v>
      </c>
      <c r="S23" s="1387">
        <f>F23</f>
        <v>100</v>
      </c>
      <c r="T23" s="1386" t="s">
        <v>5</v>
      </c>
      <c r="U23" s="1387">
        <f>H23</f>
        <v>100</v>
      </c>
      <c r="V23" s="1386" t="s">
        <v>5</v>
      </c>
      <c r="W23" s="1387">
        <f>J23</f>
        <v>100</v>
      </c>
      <c r="X23" s="1380"/>
      <c r="Y23" s="387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6"/>
      <c r="Q25" s="1385" t="str">
        <f t="shared" ref="Q25:Q46" si="8">B25</f>
        <v>临街状况</v>
      </c>
      <c r="R25" s="1386" t="s">
        <v>5</v>
      </c>
      <c r="S25" s="1387">
        <f>F25</f>
        <v>100</v>
      </c>
      <c r="T25" s="1386" t="s">
        <v>5</v>
      </c>
      <c r="U25" s="1387">
        <f>H25</f>
        <v>100</v>
      </c>
      <c r="V25" s="1386" t="s">
        <v>5</v>
      </c>
      <c r="W25" s="1387">
        <f>J25</f>
        <v>100</v>
      </c>
      <c r="X25" s="1380"/>
      <c r="Y25" s="387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6"/>
      <c r="Q26" s="1385" t="str">
        <f t="shared" si="8"/>
        <v>平面位置/可视性</v>
      </c>
      <c r="R26" s="1386" t="s">
        <v>5</v>
      </c>
      <c r="S26" s="1387">
        <f>F26</f>
        <v>100</v>
      </c>
      <c r="T26" s="1386" t="s">
        <v>5</v>
      </c>
      <c r="U26" s="1387">
        <f>H26</f>
        <v>100</v>
      </c>
      <c r="V26" s="1386" t="s">
        <v>5</v>
      </c>
      <c r="W26" s="1387">
        <f>J26</f>
        <v>100</v>
      </c>
      <c r="X26" s="1380"/>
      <c r="Y26" s="387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6"/>
      <c r="Q27" s="1050" t="str">
        <f t="shared" si="8"/>
        <v>人流量</v>
      </c>
      <c r="R27" s="1381" t="s">
        <v>5</v>
      </c>
      <c r="S27" s="1382">
        <f>F27</f>
        <v>100</v>
      </c>
      <c r="T27" s="1381" t="s">
        <v>5</v>
      </c>
      <c r="U27" s="1382">
        <f>H27</f>
        <v>100</v>
      </c>
      <c r="V27" s="1381" t="s">
        <v>5</v>
      </c>
      <c r="W27" s="1382">
        <f>J27</f>
        <v>100</v>
      </c>
      <c r="X27" s="1383"/>
      <c r="Y27" s="387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6"/>
      <c r="Q29" s="1385">
        <f t="shared" si="8"/>
        <v>111</v>
      </c>
      <c r="R29" s="1386" t="s">
        <v>5</v>
      </c>
      <c r="S29" s="1387">
        <f t="shared" si="9"/>
        <v>100</v>
      </c>
      <c r="T29" s="1386" t="s">
        <v>5</v>
      </c>
      <c r="U29" s="1387">
        <f t="shared" si="10"/>
        <v>100</v>
      </c>
      <c r="V29" s="1386" t="s">
        <v>5</v>
      </c>
      <c r="W29" s="1387">
        <f t="shared" si="11"/>
        <v>100</v>
      </c>
      <c r="X29" s="1380"/>
      <c r="Y29" s="387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6"/>
      <c r="Q30" s="1385">
        <f t="shared" si="8"/>
        <v>111</v>
      </c>
      <c r="R30" s="1386" t="s">
        <v>5</v>
      </c>
      <c r="S30" s="1387">
        <f t="shared" si="9"/>
        <v>100</v>
      </c>
      <c r="T30" s="1386" t="s">
        <v>5</v>
      </c>
      <c r="U30" s="1387">
        <f t="shared" si="10"/>
        <v>100</v>
      </c>
      <c r="V30" s="1386" t="s">
        <v>5</v>
      </c>
      <c r="W30" s="1387">
        <f t="shared" si="11"/>
        <v>100</v>
      </c>
      <c r="X30" s="1380"/>
      <c r="Y30" s="387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6"/>
      <c r="Q31" s="1385">
        <f t="shared" si="8"/>
        <v>111</v>
      </c>
      <c r="R31" s="1386" t="s">
        <v>5</v>
      </c>
      <c r="S31" s="1387">
        <f t="shared" si="9"/>
        <v>100</v>
      </c>
      <c r="T31" s="1386" t="s">
        <v>5</v>
      </c>
      <c r="U31" s="1387">
        <f t="shared" si="10"/>
        <v>100</v>
      </c>
      <c r="V31" s="1386" t="s">
        <v>5</v>
      </c>
      <c r="W31" s="1387">
        <f t="shared" si="11"/>
        <v>100</v>
      </c>
      <c r="X31" s="1380"/>
      <c r="Y31" s="387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7" t="s">
        <v>499</v>
      </c>
      <c r="Q32" s="1385" t="str">
        <f t="shared" si="8"/>
        <v>商业类型</v>
      </c>
      <c r="R32" s="1386" t="s">
        <v>5</v>
      </c>
      <c r="S32" s="1387">
        <f t="shared" si="9"/>
        <v>100</v>
      </c>
      <c r="T32" s="1386" t="s">
        <v>5</v>
      </c>
      <c r="U32" s="1387">
        <f t="shared" si="10"/>
        <v>100</v>
      </c>
      <c r="V32" s="1386" t="s">
        <v>5</v>
      </c>
      <c r="W32" s="1387">
        <f t="shared" si="11"/>
        <v>100</v>
      </c>
      <c r="X32" s="1380"/>
      <c r="Y32" s="387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8"/>
      <c r="Q33" s="1414" t="str">
        <f t="shared" si="8"/>
        <v>项目建筑规模</v>
      </c>
      <c r="R33" s="1390" t="s">
        <v>5</v>
      </c>
      <c r="S33" s="1391" t="e">
        <f t="shared" si="9"/>
        <v>#N/A</v>
      </c>
      <c r="T33" s="1390" t="s">
        <v>5</v>
      </c>
      <c r="U33" s="1391" t="e">
        <f t="shared" si="10"/>
        <v>#N/A</v>
      </c>
      <c r="V33" s="1390" t="s">
        <v>5</v>
      </c>
      <c r="W33" s="1391" t="e">
        <f t="shared" si="11"/>
        <v>#N/A</v>
      </c>
      <c r="X33" s="1392"/>
      <c r="Y33" s="387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8"/>
      <c r="Q34" s="1385" t="str">
        <f t="shared" si="8"/>
        <v>建筑结构</v>
      </c>
      <c r="R34" s="1386" t="s">
        <v>5</v>
      </c>
      <c r="S34" s="1387">
        <f t="shared" si="9"/>
        <v>100</v>
      </c>
      <c r="T34" s="1386" t="s">
        <v>5</v>
      </c>
      <c r="U34" s="1387">
        <f t="shared" si="10"/>
        <v>100</v>
      </c>
      <c r="V34" s="1386" t="s">
        <v>5</v>
      </c>
      <c r="W34" s="1387">
        <f t="shared" si="11"/>
        <v>100</v>
      </c>
      <c r="X34" s="1380"/>
      <c r="Y34" s="387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8"/>
      <c r="Q35" s="1385" t="str">
        <f t="shared" si="8"/>
        <v>公共部分装修</v>
      </c>
      <c r="R35" s="1386" t="s">
        <v>5</v>
      </c>
      <c r="S35" s="1387">
        <f t="shared" si="9"/>
        <v>100</v>
      </c>
      <c r="T35" s="1386" t="s">
        <v>5</v>
      </c>
      <c r="U35" s="1387">
        <f t="shared" si="10"/>
        <v>100</v>
      </c>
      <c r="V35" s="1386" t="s">
        <v>5</v>
      </c>
      <c r="W35" s="1387">
        <f t="shared" si="11"/>
        <v>100</v>
      </c>
      <c r="X35" s="1380"/>
      <c r="Y35" s="387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8"/>
      <c r="Q36" s="1385" t="str">
        <f t="shared" si="8"/>
        <v>成新度</v>
      </c>
      <c r="R36" s="1386" t="s">
        <v>5</v>
      </c>
      <c r="S36" s="1387" t="e">
        <f t="shared" si="9"/>
        <v>#N/A</v>
      </c>
      <c r="T36" s="1386" t="s">
        <v>5</v>
      </c>
      <c r="U36" s="1387" t="e">
        <f t="shared" si="10"/>
        <v>#N/A</v>
      </c>
      <c r="V36" s="1386" t="s">
        <v>5</v>
      </c>
      <c r="W36" s="1387" t="e">
        <f t="shared" si="11"/>
        <v>#N/A</v>
      </c>
      <c r="X36" s="1380"/>
      <c r="Y36" s="387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8"/>
      <c r="Q37" s="1050" t="str">
        <f t="shared" si="8"/>
        <v>市政基础设施</v>
      </c>
      <c r="R37" s="1381" t="s">
        <v>5</v>
      </c>
      <c r="S37" s="1382">
        <f t="shared" si="9"/>
        <v>100</v>
      </c>
      <c r="T37" s="1381" t="s">
        <v>5</v>
      </c>
      <c r="U37" s="1382">
        <f t="shared" si="10"/>
        <v>100</v>
      </c>
      <c r="V37" s="1381" t="s">
        <v>5</v>
      </c>
      <c r="W37" s="1382">
        <f t="shared" si="11"/>
        <v>100</v>
      </c>
      <c r="X37" s="1383"/>
      <c r="Y37" s="387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8" t="s">
        <v>706</v>
      </c>
      <c r="Q38" s="1385" t="str">
        <f t="shared" si="8"/>
        <v>业态</v>
      </c>
      <c r="R38" s="1386" t="s">
        <v>5</v>
      </c>
      <c r="S38" s="1387">
        <f t="shared" si="9"/>
        <v>100</v>
      </c>
      <c r="T38" s="1386" t="s">
        <v>5</v>
      </c>
      <c r="U38" s="1387">
        <f t="shared" si="10"/>
        <v>100</v>
      </c>
      <c r="V38" s="1386" t="s">
        <v>5</v>
      </c>
      <c r="W38" s="1387">
        <f t="shared" si="11"/>
        <v>100</v>
      </c>
      <c r="X38" s="1380"/>
      <c r="Y38" s="387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8"/>
      <c r="Q39" s="1385" t="str">
        <f t="shared" si="8"/>
        <v>层高</v>
      </c>
      <c r="R39" s="1386" t="s">
        <v>5</v>
      </c>
      <c r="S39" s="1387">
        <f t="shared" si="9"/>
        <v>100</v>
      </c>
      <c r="T39" s="1386" t="s">
        <v>5</v>
      </c>
      <c r="U39" s="1387">
        <f t="shared" si="10"/>
        <v>100</v>
      </c>
      <c r="V39" s="1386" t="s">
        <v>5</v>
      </c>
      <c r="W39" s="1387">
        <f t="shared" si="11"/>
        <v>100</v>
      </c>
      <c r="X39" s="1380"/>
      <c r="Y39" s="387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8"/>
      <c r="Q40" s="1385" t="str">
        <f t="shared" si="8"/>
        <v>单套建筑面积</v>
      </c>
      <c r="R40" s="1386" t="s">
        <v>5</v>
      </c>
      <c r="S40" s="1387">
        <f t="shared" si="9"/>
        <v>100</v>
      </c>
      <c r="T40" s="1386" t="s">
        <v>5</v>
      </c>
      <c r="U40" s="1387">
        <f t="shared" si="10"/>
        <v>100</v>
      </c>
      <c r="V40" s="1386" t="s">
        <v>5</v>
      </c>
      <c r="W40" s="1387">
        <f t="shared" si="11"/>
        <v>100</v>
      </c>
      <c r="X40" s="1380"/>
      <c r="Y40" s="387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8"/>
      <c r="Q41" s="1414" t="str">
        <f t="shared" si="8"/>
        <v>进深比</v>
      </c>
      <c r="R41" s="1390" t="s">
        <v>5</v>
      </c>
      <c r="S41" s="1391">
        <f t="shared" si="9"/>
        <v>100</v>
      </c>
      <c r="T41" s="1390" t="s">
        <v>5</v>
      </c>
      <c r="U41" s="1391">
        <f t="shared" si="10"/>
        <v>100</v>
      </c>
      <c r="V41" s="1390" t="s">
        <v>5</v>
      </c>
      <c r="W41" s="1391">
        <f t="shared" si="11"/>
        <v>100</v>
      </c>
      <c r="X41" s="1392"/>
      <c r="Y41" s="387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8"/>
      <c r="Q42" s="1385" t="str">
        <f t="shared" si="8"/>
        <v>内部装修</v>
      </c>
      <c r="R42" s="1386" t="s">
        <v>5</v>
      </c>
      <c r="S42" s="1387">
        <f t="shared" si="9"/>
        <v>100</v>
      </c>
      <c r="T42" s="1386" t="s">
        <v>5</v>
      </c>
      <c r="U42" s="1387">
        <f t="shared" si="10"/>
        <v>100</v>
      </c>
      <c r="V42" s="1386" t="s">
        <v>5</v>
      </c>
      <c r="W42" s="1387">
        <f t="shared" si="11"/>
        <v>100</v>
      </c>
      <c r="X42" s="1380"/>
      <c r="Y42" s="387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8"/>
      <c r="Q43" s="1385" t="str">
        <f t="shared" si="8"/>
        <v>内部装修维护情况</v>
      </c>
      <c r="R43" s="1386" t="s">
        <v>5</v>
      </c>
      <c r="S43" s="1387">
        <f t="shared" si="9"/>
        <v>100</v>
      </c>
      <c r="T43" s="1386" t="s">
        <v>5</v>
      </c>
      <c r="U43" s="1387">
        <f t="shared" si="10"/>
        <v>100</v>
      </c>
      <c r="V43" s="1386" t="s">
        <v>5</v>
      </c>
      <c r="W43" s="1387">
        <f t="shared" si="11"/>
        <v>100</v>
      </c>
      <c r="X43" s="1380"/>
      <c r="Y43" s="387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8"/>
      <c r="Q44" s="1050">
        <f t="shared" si="8"/>
        <v>111</v>
      </c>
      <c r="R44" s="1381" t="s">
        <v>5</v>
      </c>
      <c r="S44" s="1382">
        <f t="shared" si="9"/>
        <v>100</v>
      </c>
      <c r="T44" s="1381" t="s">
        <v>5</v>
      </c>
      <c r="U44" s="1382">
        <f t="shared" si="10"/>
        <v>100</v>
      </c>
      <c r="V44" s="1381" t="s">
        <v>5</v>
      </c>
      <c r="W44" s="1382">
        <f t="shared" si="11"/>
        <v>100</v>
      </c>
      <c r="X44" s="1383"/>
      <c r="Y44" s="387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8"/>
      <c r="Q45" s="1385">
        <f t="shared" si="8"/>
        <v>111</v>
      </c>
      <c r="R45" s="1386" t="s">
        <v>5</v>
      </c>
      <c r="S45" s="1387">
        <f t="shared" si="9"/>
        <v>100</v>
      </c>
      <c r="T45" s="1386" t="s">
        <v>5</v>
      </c>
      <c r="U45" s="1387">
        <f t="shared" si="10"/>
        <v>100</v>
      </c>
      <c r="V45" s="1386" t="s">
        <v>5</v>
      </c>
      <c r="W45" s="1387">
        <f t="shared" si="11"/>
        <v>100</v>
      </c>
      <c r="X45" s="1380"/>
      <c r="Y45" s="387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6"/>
      <c r="Q46" s="1385">
        <f t="shared" si="8"/>
        <v>111</v>
      </c>
      <c r="R46" s="1386" t="s">
        <v>5</v>
      </c>
      <c r="S46" s="1387">
        <f t="shared" si="9"/>
        <v>100</v>
      </c>
      <c r="T46" s="1386" t="s">
        <v>5</v>
      </c>
      <c r="U46" s="1387">
        <f t="shared" si="10"/>
        <v>100</v>
      </c>
      <c r="V46" s="1386" t="s">
        <v>5</v>
      </c>
      <c r="W46" s="1387">
        <f t="shared" si="11"/>
        <v>100</v>
      </c>
      <c r="X46" s="1380"/>
      <c r="Y46" s="3986"/>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3" t="str">
        <f>A47</f>
        <v>成交单价（元/平方米）</v>
      </c>
      <c r="Q47" s="3873"/>
      <c r="R47" s="3985">
        <f>E47</f>
        <v>0</v>
      </c>
      <c r="S47" s="3985"/>
      <c r="T47" s="3985">
        <f>G47</f>
        <v>0</v>
      </c>
      <c r="U47" s="3985"/>
      <c r="V47" s="3985">
        <f>I47</f>
        <v>0</v>
      </c>
      <c r="W47" s="3985"/>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3" t="str">
        <f>A48</f>
        <v>比较价格（元/平方米）</v>
      </c>
      <c r="Q48" s="3873"/>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9" t="str">
        <f>A49</f>
        <v>估价对象XX用房的比较价格（楼面单价，元/平方米）</v>
      </c>
      <c r="Q49" s="3880"/>
      <c r="R49" s="3984" t="e">
        <f>IF(F1="售价",ROUND(IF(D48="简单平均",AVERAGE(R48:V48),R48*F48+T48*H48+V48*J48),0),ROUND(IF(D48="简单平均",AVERAGE(R48:V48),R48*F48+T48*H48+V48*J48),1))</f>
        <v>#DIV/0!</v>
      </c>
      <c r="S49" s="3984"/>
      <c r="T49" s="3984"/>
      <c r="U49" s="3984"/>
      <c r="V49" s="3984"/>
      <c r="W49" s="3984"/>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81" t="s">
        <v>471</v>
      </c>
      <c r="D4" s="3882"/>
      <c r="E4" s="3903" t="s">
        <v>472</v>
      </c>
      <c r="F4" s="3904"/>
      <c r="G4" s="3881" t="s">
        <v>473</v>
      </c>
      <c r="H4" s="3882"/>
      <c r="I4" s="3881" t="s">
        <v>474</v>
      </c>
      <c r="J4" s="3882"/>
      <c r="K4" s="484" t="s">
        <v>475</v>
      </c>
      <c r="L4" s="1856"/>
      <c r="M4" s="1857"/>
      <c r="N4" s="1857"/>
      <c r="O4" s="1857"/>
      <c r="P4" s="3987" t="s">
        <v>476</v>
      </c>
      <c r="Q4" s="3884"/>
      <c r="R4" s="3867" t="s">
        <v>472</v>
      </c>
      <c r="S4" s="3868"/>
      <c r="T4" s="3867" t="s">
        <v>473</v>
      </c>
      <c r="U4" s="3868"/>
      <c r="V4" s="3889" t="s">
        <v>474</v>
      </c>
      <c r="W4" s="3889"/>
      <c r="X4" s="1380"/>
      <c r="Y4" s="3867" t="s">
        <v>476</v>
      </c>
      <c r="Z4" s="3868"/>
      <c r="AA4" s="3862" t="s">
        <v>472</v>
      </c>
      <c r="AB4" s="3862" t="s">
        <v>473</v>
      </c>
      <c r="AC4" s="3862" t="s">
        <v>474</v>
      </c>
    </row>
    <row r="5" spans="1:29" ht="15">
      <c r="A5" s="485"/>
      <c r="B5" s="486"/>
      <c r="C5" s="3892" t="s">
        <v>2192</v>
      </c>
      <c r="D5" s="3893"/>
      <c r="E5" s="3905" t="s">
        <v>2193</v>
      </c>
      <c r="F5" s="3906"/>
      <c r="G5" s="3892" t="s">
        <v>2194</v>
      </c>
      <c r="H5" s="3893"/>
      <c r="I5" s="3892" t="s">
        <v>2195</v>
      </c>
      <c r="J5" s="3893"/>
      <c r="K5" s="484"/>
      <c r="L5" s="1856"/>
      <c r="M5" s="1857"/>
      <c r="N5" s="1857"/>
      <c r="O5" s="1857"/>
      <c r="P5" s="3988"/>
      <c r="Q5" s="3886"/>
      <c r="R5" s="3869"/>
      <c r="S5" s="3870"/>
      <c r="T5" s="3869"/>
      <c r="U5" s="3870"/>
      <c r="V5" s="3889"/>
      <c r="W5" s="3889"/>
      <c r="X5" s="1380"/>
      <c r="Y5" s="3869"/>
      <c r="Z5" s="3870"/>
      <c r="AA5" s="3863"/>
      <c r="AB5" s="3863"/>
      <c r="AC5" s="3863"/>
    </row>
    <row r="6" spans="1:29" ht="15.75" thickBot="1">
      <c r="A6" s="487"/>
      <c r="B6" s="488"/>
      <c r="C6" s="3890" t="s">
        <v>2196</v>
      </c>
      <c r="D6" s="3891"/>
      <c r="E6" s="3907" t="s">
        <v>2196</v>
      </c>
      <c r="F6" s="3908"/>
      <c r="G6" s="3890" t="s">
        <v>2196</v>
      </c>
      <c r="H6" s="3891"/>
      <c r="I6" s="3890" t="s">
        <v>2196</v>
      </c>
      <c r="J6" s="3891"/>
      <c r="K6" s="484" t="s">
        <v>477</v>
      </c>
      <c r="L6" s="1856"/>
      <c r="M6" s="1857"/>
      <c r="N6" s="1857"/>
      <c r="O6" s="1857"/>
      <c r="P6" s="3989"/>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74" t="s">
        <v>479</v>
      </c>
      <c r="Q7" s="3874"/>
      <c r="R7" s="1381" t="s">
        <v>5</v>
      </c>
      <c r="S7" s="1382">
        <f t="shared" ref="S7:S15" si="0">F7</f>
        <v>100</v>
      </c>
      <c r="T7" s="1381" t="s">
        <v>5</v>
      </c>
      <c r="U7" s="1382">
        <f t="shared" ref="U7:U15" si="1">H7</f>
        <v>100</v>
      </c>
      <c r="V7" s="1381" t="s">
        <v>5</v>
      </c>
      <c r="W7" s="1382">
        <f t="shared" ref="W7:W15"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4" t="s">
        <v>482</v>
      </c>
      <c r="Q8" s="3866"/>
      <c r="R8" s="1381" t="s">
        <v>5</v>
      </c>
      <c r="S8" s="1382">
        <f t="shared" si="0"/>
        <v>0</v>
      </c>
      <c r="T8" s="1381" t="s">
        <v>5</v>
      </c>
      <c r="U8" s="1382">
        <f t="shared" si="1"/>
        <v>0</v>
      </c>
      <c r="V8" s="1381" t="s">
        <v>5</v>
      </c>
      <c r="W8" s="1382">
        <f t="shared" si="2"/>
        <v>0</v>
      </c>
      <c r="X8" s="1383"/>
      <c r="Y8" s="3865" t="s">
        <v>482</v>
      </c>
      <c r="Z8" s="3866"/>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5" t="s">
        <v>489</v>
      </c>
      <c r="Q15" s="1385" t="str">
        <f t="shared" si="6"/>
        <v>办公集聚程度</v>
      </c>
      <c r="R15" s="1386" t="s">
        <v>5</v>
      </c>
      <c r="S15" s="1387">
        <f t="shared" si="0"/>
        <v>100</v>
      </c>
      <c r="T15" s="1386" t="s">
        <v>5</v>
      </c>
      <c r="U15" s="1387">
        <f t="shared" si="1"/>
        <v>100</v>
      </c>
      <c r="V15" s="1386" t="s">
        <v>5</v>
      </c>
      <c r="W15" s="1387">
        <f t="shared" si="2"/>
        <v>100</v>
      </c>
      <c r="X15" s="1380"/>
      <c r="Y15" s="387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6"/>
      <c r="Q16" s="1385"/>
      <c r="R16" s="1386"/>
      <c r="S16" s="1387"/>
      <c r="T16" s="1386"/>
      <c r="U16" s="1387"/>
      <c r="V16" s="1386"/>
      <c r="W16" s="1387"/>
      <c r="X16" s="1380"/>
      <c r="Y16" s="387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6"/>
      <c r="Q18" s="1385"/>
      <c r="R18" s="1386"/>
      <c r="S18" s="1387"/>
      <c r="T18" s="1386"/>
      <c r="U18" s="1387"/>
      <c r="V18" s="1386"/>
      <c r="W18" s="1387"/>
      <c r="X18" s="1380"/>
      <c r="Y18" s="3876"/>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6"/>
      <c r="Q20" s="1385"/>
      <c r="R20" s="1386"/>
      <c r="S20" s="1387"/>
      <c r="T20" s="1386"/>
      <c r="U20" s="1387"/>
      <c r="V20" s="1386"/>
      <c r="W20" s="1387"/>
      <c r="X20" s="1380"/>
      <c r="Y20" s="3876"/>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6"/>
      <c r="Q22" s="2193"/>
      <c r="R22" s="1386"/>
      <c r="S22" s="1387"/>
      <c r="T22" s="1386"/>
      <c r="U22" s="1387"/>
      <c r="V22" s="1386"/>
      <c r="W22" s="1387"/>
      <c r="X22" s="2195"/>
      <c r="Y22" s="3876"/>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6"/>
      <c r="Q23" s="1385" t="str">
        <f>B23</f>
        <v>环境质量</v>
      </c>
      <c r="R23" s="1386" t="s">
        <v>5</v>
      </c>
      <c r="S23" s="1387">
        <f>F23</f>
        <v>100</v>
      </c>
      <c r="T23" s="1386" t="s">
        <v>5</v>
      </c>
      <c r="U23" s="1387">
        <f>H23</f>
        <v>100</v>
      </c>
      <c r="V23" s="1386" t="s">
        <v>5</v>
      </c>
      <c r="W23" s="1387">
        <f>J23</f>
        <v>100</v>
      </c>
      <c r="X23" s="1380"/>
      <c r="Y23" s="387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6"/>
      <c r="Q24" s="1385"/>
      <c r="R24" s="1386"/>
      <c r="S24" s="1387"/>
      <c r="T24" s="1386"/>
      <c r="U24" s="1387"/>
      <c r="V24" s="1386"/>
      <c r="W24" s="1387"/>
      <c r="X24" s="1380"/>
      <c r="Y24" s="387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6"/>
      <c r="Q25" s="1385" t="str">
        <f>B25</f>
        <v>毗邻道路的类型与等级</v>
      </c>
      <c r="R25" s="1386" t="s">
        <v>5</v>
      </c>
      <c r="S25" s="1387">
        <f>F25</f>
        <v>100</v>
      </c>
      <c r="T25" s="1386" t="s">
        <v>5</v>
      </c>
      <c r="U25" s="1387">
        <f>H25</f>
        <v>100</v>
      </c>
      <c r="V25" s="1386" t="s">
        <v>5</v>
      </c>
      <c r="W25" s="1387">
        <f>J25</f>
        <v>100</v>
      </c>
      <c r="X25" s="1380"/>
      <c r="Y25" s="387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6"/>
      <c r="Q26" s="1385"/>
      <c r="R26" s="1386"/>
      <c r="S26" s="1387"/>
      <c r="T26" s="1386"/>
      <c r="U26" s="1387"/>
      <c r="V26" s="1386"/>
      <c r="W26" s="1387"/>
      <c r="X26" s="1380"/>
      <c r="Y26" s="387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6"/>
      <c r="Q27" s="1385" t="str">
        <f t="shared" ref="Q27:Q47" si="8">B27</f>
        <v>楼层</v>
      </c>
      <c r="R27" s="1386" t="s">
        <v>5</v>
      </c>
      <c r="S27" s="1387">
        <f>F27</f>
        <v>100</v>
      </c>
      <c r="T27" s="1386" t="s">
        <v>5</v>
      </c>
      <c r="U27" s="1387">
        <f>H27</f>
        <v>100</v>
      </c>
      <c r="V27" s="1386" t="s">
        <v>5</v>
      </c>
      <c r="W27" s="1387">
        <f>J27</f>
        <v>100</v>
      </c>
      <c r="X27" s="1380"/>
      <c r="Y27" s="387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6"/>
      <c r="Q28" s="1050" t="str">
        <f t="shared" si="8"/>
        <v>朝向</v>
      </c>
      <c r="R28" s="1381" t="s">
        <v>5</v>
      </c>
      <c r="S28" s="1382">
        <f>F28</f>
        <v>100</v>
      </c>
      <c r="T28" s="1381" t="s">
        <v>5</v>
      </c>
      <c r="U28" s="1382">
        <f>H28</f>
        <v>100</v>
      </c>
      <c r="V28" s="1381" t="s">
        <v>5</v>
      </c>
      <c r="W28" s="1382">
        <f>J28</f>
        <v>100</v>
      </c>
      <c r="X28" s="1383"/>
      <c r="Y28" s="387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6"/>
      <c r="Q29" s="1385">
        <f t="shared" si="8"/>
        <v>111</v>
      </c>
      <c r="R29" s="1386" t="s">
        <v>5</v>
      </c>
      <c r="S29" s="1387">
        <f t="shared" ref="S29:S47" si="9">F29</f>
        <v>100</v>
      </c>
      <c r="T29" s="1386" t="s">
        <v>5</v>
      </c>
      <c r="U29" s="1387">
        <f t="shared" ref="U29:U47" si="10">H29</f>
        <v>100</v>
      </c>
      <c r="V29" s="1386" t="s">
        <v>5</v>
      </c>
      <c r="W29" s="1387">
        <f t="shared" ref="W29:W47" si="11">J29</f>
        <v>100</v>
      </c>
      <c r="X29" s="1380"/>
      <c r="Y29" s="387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6"/>
      <c r="Q30" s="1385">
        <f t="shared" si="8"/>
        <v>111</v>
      </c>
      <c r="R30" s="1386" t="s">
        <v>5</v>
      </c>
      <c r="S30" s="1387">
        <f t="shared" si="9"/>
        <v>100</v>
      </c>
      <c r="T30" s="1386" t="s">
        <v>5</v>
      </c>
      <c r="U30" s="1387">
        <f t="shared" si="10"/>
        <v>100</v>
      </c>
      <c r="V30" s="1386" t="s">
        <v>5</v>
      </c>
      <c r="W30" s="1387">
        <f t="shared" si="11"/>
        <v>100</v>
      </c>
      <c r="X30" s="1380"/>
      <c r="Y30" s="387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6"/>
      <c r="Q31" s="1385">
        <f t="shared" si="8"/>
        <v>111</v>
      </c>
      <c r="R31" s="1386" t="s">
        <v>5</v>
      </c>
      <c r="S31" s="1387">
        <f t="shared" si="9"/>
        <v>100</v>
      </c>
      <c r="T31" s="1386" t="s">
        <v>5</v>
      </c>
      <c r="U31" s="1387">
        <f t="shared" si="10"/>
        <v>100</v>
      </c>
      <c r="V31" s="1386" t="s">
        <v>5</v>
      </c>
      <c r="W31" s="1387">
        <f t="shared" si="11"/>
        <v>100</v>
      </c>
      <c r="X31" s="1380"/>
      <c r="Y31" s="387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6"/>
      <c r="Q32" s="1385">
        <f t="shared" si="8"/>
        <v>111</v>
      </c>
      <c r="R32" s="1386" t="s">
        <v>5</v>
      </c>
      <c r="S32" s="1387">
        <f t="shared" si="9"/>
        <v>100</v>
      </c>
      <c r="T32" s="1386" t="s">
        <v>5</v>
      </c>
      <c r="U32" s="1387">
        <f t="shared" si="10"/>
        <v>100</v>
      </c>
      <c r="V32" s="1386" t="s">
        <v>5</v>
      </c>
      <c r="W32" s="1387">
        <f t="shared" si="11"/>
        <v>100</v>
      </c>
      <c r="X32" s="1380"/>
      <c r="Y32" s="387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7" t="s">
        <v>499</v>
      </c>
      <c r="Q33" s="1385" t="str">
        <f t="shared" si="8"/>
        <v>建筑类型</v>
      </c>
      <c r="R33" s="1386" t="s">
        <v>5</v>
      </c>
      <c r="S33" s="1387">
        <f t="shared" si="9"/>
        <v>100</v>
      </c>
      <c r="T33" s="1386" t="s">
        <v>5</v>
      </c>
      <c r="U33" s="1387">
        <f t="shared" si="10"/>
        <v>100</v>
      </c>
      <c r="V33" s="1386" t="s">
        <v>5</v>
      </c>
      <c r="W33" s="1387">
        <f t="shared" si="11"/>
        <v>100</v>
      </c>
      <c r="X33" s="1380"/>
      <c r="Y33" s="387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8"/>
      <c r="Q34" s="1414" t="str">
        <f t="shared" si="8"/>
        <v>项目建筑规模</v>
      </c>
      <c r="R34" s="1390" t="s">
        <v>5</v>
      </c>
      <c r="S34" s="1391" t="e">
        <f t="shared" si="9"/>
        <v>#N/A</v>
      </c>
      <c r="T34" s="1390" t="s">
        <v>5</v>
      </c>
      <c r="U34" s="1391" t="e">
        <f t="shared" si="10"/>
        <v>#N/A</v>
      </c>
      <c r="V34" s="1390" t="s">
        <v>5</v>
      </c>
      <c r="W34" s="1391" t="e">
        <f t="shared" si="11"/>
        <v>#N/A</v>
      </c>
      <c r="X34" s="1392"/>
      <c r="Y34" s="387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8"/>
      <c r="Q35" s="1385" t="str">
        <f t="shared" si="8"/>
        <v>建筑结构</v>
      </c>
      <c r="R35" s="1386" t="s">
        <v>5</v>
      </c>
      <c r="S35" s="1387">
        <f t="shared" si="9"/>
        <v>100</v>
      </c>
      <c r="T35" s="1386" t="s">
        <v>5</v>
      </c>
      <c r="U35" s="1387">
        <f t="shared" si="10"/>
        <v>100</v>
      </c>
      <c r="V35" s="1386" t="s">
        <v>5</v>
      </c>
      <c r="W35" s="1387">
        <f t="shared" si="11"/>
        <v>100</v>
      </c>
      <c r="X35" s="1380"/>
      <c r="Y35" s="387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8"/>
      <c r="Q36" s="1385" t="str">
        <f t="shared" si="8"/>
        <v>公共部分装修</v>
      </c>
      <c r="R36" s="1386" t="s">
        <v>5</v>
      </c>
      <c r="S36" s="1387">
        <f t="shared" si="9"/>
        <v>100</v>
      </c>
      <c r="T36" s="1386" t="s">
        <v>5</v>
      </c>
      <c r="U36" s="1387">
        <f t="shared" si="10"/>
        <v>100</v>
      </c>
      <c r="V36" s="1386" t="s">
        <v>5</v>
      </c>
      <c r="W36" s="1387">
        <f t="shared" si="11"/>
        <v>100</v>
      </c>
      <c r="X36" s="1380"/>
      <c r="Y36" s="387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8"/>
      <c r="Q37" s="1385" t="str">
        <f t="shared" si="8"/>
        <v>成新度</v>
      </c>
      <c r="R37" s="1386" t="s">
        <v>5</v>
      </c>
      <c r="S37" s="1387" t="e">
        <f t="shared" si="9"/>
        <v>#N/A</v>
      </c>
      <c r="T37" s="1386" t="s">
        <v>5</v>
      </c>
      <c r="U37" s="1387" t="e">
        <f t="shared" si="10"/>
        <v>#N/A</v>
      </c>
      <c r="V37" s="1386" t="s">
        <v>5</v>
      </c>
      <c r="W37" s="1387" t="e">
        <f t="shared" si="11"/>
        <v>#N/A</v>
      </c>
      <c r="X37" s="1380"/>
      <c r="Y37" s="387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8"/>
      <c r="Q38" s="1050" t="str">
        <f t="shared" si="8"/>
        <v>写字楼等级</v>
      </c>
      <c r="R38" s="1381" t="s">
        <v>5</v>
      </c>
      <c r="S38" s="1382">
        <f t="shared" si="9"/>
        <v>100</v>
      </c>
      <c r="T38" s="1381" t="s">
        <v>5</v>
      </c>
      <c r="U38" s="1382">
        <f t="shared" si="10"/>
        <v>100</v>
      </c>
      <c r="V38" s="1381" t="s">
        <v>5</v>
      </c>
      <c r="W38" s="1382">
        <f t="shared" si="11"/>
        <v>100</v>
      </c>
      <c r="X38" s="1383"/>
      <c r="Y38" s="387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8" t="s">
        <v>499</v>
      </c>
      <c r="Q39" s="1385" t="str">
        <f t="shared" si="8"/>
        <v>物业管理</v>
      </c>
      <c r="R39" s="1386" t="s">
        <v>5</v>
      </c>
      <c r="S39" s="1387">
        <f t="shared" si="9"/>
        <v>100</v>
      </c>
      <c r="T39" s="1386" t="s">
        <v>5</v>
      </c>
      <c r="U39" s="1387">
        <f t="shared" si="10"/>
        <v>100</v>
      </c>
      <c r="V39" s="1386" t="s">
        <v>5</v>
      </c>
      <c r="W39" s="1387">
        <f t="shared" si="11"/>
        <v>100</v>
      </c>
      <c r="X39" s="1380"/>
      <c r="Y39" s="387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8"/>
      <c r="Q40" s="1385" t="str">
        <f t="shared" si="8"/>
        <v>市政基础设施</v>
      </c>
      <c r="R40" s="1386" t="s">
        <v>5</v>
      </c>
      <c r="S40" s="1387">
        <f t="shared" si="9"/>
        <v>100</v>
      </c>
      <c r="T40" s="1386" t="s">
        <v>5</v>
      </c>
      <c r="U40" s="1387">
        <f t="shared" si="10"/>
        <v>100</v>
      </c>
      <c r="V40" s="1386" t="s">
        <v>5</v>
      </c>
      <c r="W40" s="1387">
        <f t="shared" si="11"/>
        <v>100</v>
      </c>
      <c r="X40" s="1380"/>
      <c r="Y40" s="387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8"/>
      <c r="Q41" s="1385" t="str">
        <f t="shared" si="8"/>
        <v>层高</v>
      </c>
      <c r="R41" s="1386" t="s">
        <v>5</v>
      </c>
      <c r="S41" s="1387">
        <f t="shared" si="9"/>
        <v>100</v>
      </c>
      <c r="T41" s="1386" t="s">
        <v>5</v>
      </c>
      <c r="U41" s="1387">
        <f t="shared" si="10"/>
        <v>100</v>
      </c>
      <c r="V41" s="1386" t="s">
        <v>5</v>
      </c>
      <c r="W41" s="1387">
        <f t="shared" si="11"/>
        <v>100</v>
      </c>
      <c r="X41" s="1380"/>
      <c r="Y41" s="387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8"/>
      <c r="Q42" s="1414" t="str">
        <f t="shared" si="8"/>
        <v>单套建筑面积</v>
      </c>
      <c r="R42" s="1390" t="s">
        <v>5</v>
      </c>
      <c r="S42" s="1391">
        <f t="shared" si="9"/>
        <v>100</v>
      </c>
      <c r="T42" s="1390" t="s">
        <v>5</v>
      </c>
      <c r="U42" s="1391">
        <f t="shared" si="10"/>
        <v>100</v>
      </c>
      <c r="V42" s="1390" t="s">
        <v>5</v>
      </c>
      <c r="W42" s="1391">
        <f t="shared" si="11"/>
        <v>100</v>
      </c>
      <c r="X42" s="1392"/>
      <c r="Y42" s="387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8"/>
      <c r="Q43" s="1385" t="str">
        <f t="shared" si="8"/>
        <v>内部装修</v>
      </c>
      <c r="R43" s="1386" t="s">
        <v>5</v>
      </c>
      <c r="S43" s="1387">
        <f t="shared" si="9"/>
        <v>100</v>
      </c>
      <c r="T43" s="1386" t="s">
        <v>5</v>
      </c>
      <c r="U43" s="1387">
        <f t="shared" si="10"/>
        <v>100</v>
      </c>
      <c r="V43" s="1386" t="s">
        <v>5</v>
      </c>
      <c r="W43" s="1387">
        <f t="shared" si="11"/>
        <v>100</v>
      </c>
      <c r="X43" s="1380"/>
      <c r="Y43" s="387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8"/>
      <c r="Q44" s="1385" t="str">
        <f t="shared" si="8"/>
        <v>内部装修维护情况</v>
      </c>
      <c r="R44" s="1386" t="s">
        <v>5</v>
      </c>
      <c r="S44" s="1387">
        <f t="shared" si="9"/>
        <v>100</v>
      </c>
      <c r="T44" s="1386" t="s">
        <v>5</v>
      </c>
      <c r="U44" s="1387">
        <f t="shared" si="10"/>
        <v>100</v>
      </c>
      <c r="V44" s="1386" t="s">
        <v>5</v>
      </c>
      <c r="W44" s="1387">
        <f t="shared" si="11"/>
        <v>100</v>
      </c>
      <c r="X44" s="1380"/>
      <c r="Y44" s="387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8"/>
      <c r="Q45" s="1050">
        <f t="shared" si="8"/>
        <v>111</v>
      </c>
      <c r="R45" s="1381" t="s">
        <v>5</v>
      </c>
      <c r="S45" s="1382">
        <f t="shared" si="9"/>
        <v>100</v>
      </c>
      <c r="T45" s="1381" t="s">
        <v>5</v>
      </c>
      <c r="U45" s="1382">
        <f t="shared" si="10"/>
        <v>100</v>
      </c>
      <c r="V45" s="1381" t="s">
        <v>5</v>
      </c>
      <c r="W45" s="1382">
        <f t="shared" si="11"/>
        <v>100</v>
      </c>
      <c r="X45" s="1383"/>
      <c r="Y45" s="387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8"/>
      <c r="Q46" s="1385">
        <f t="shared" si="8"/>
        <v>111</v>
      </c>
      <c r="R46" s="1386" t="s">
        <v>5</v>
      </c>
      <c r="S46" s="1387">
        <f t="shared" si="9"/>
        <v>100</v>
      </c>
      <c r="T46" s="1386" t="s">
        <v>5</v>
      </c>
      <c r="U46" s="1387">
        <f t="shared" si="10"/>
        <v>100</v>
      </c>
      <c r="V46" s="1386" t="s">
        <v>5</v>
      </c>
      <c r="W46" s="1387">
        <f t="shared" si="11"/>
        <v>100</v>
      </c>
      <c r="X46" s="1380"/>
      <c r="Y46" s="387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6"/>
      <c r="Q47" s="1385">
        <f t="shared" si="8"/>
        <v>111</v>
      </c>
      <c r="R47" s="1386" t="s">
        <v>5</v>
      </c>
      <c r="S47" s="1387">
        <f t="shared" si="9"/>
        <v>100</v>
      </c>
      <c r="T47" s="1386" t="s">
        <v>5</v>
      </c>
      <c r="U47" s="1387">
        <f t="shared" si="10"/>
        <v>100</v>
      </c>
      <c r="V47" s="1386" t="s">
        <v>5</v>
      </c>
      <c r="W47" s="1387">
        <f t="shared" si="11"/>
        <v>100</v>
      </c>
      <c r="X47" s="1380"/>
      <c r="Y47" s="3986"/>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0" t="str">
        <f>A48</f>
        <v>成交单价（元/平方米）</v>
      </c>
      <c r="Q48" s="3873"/>
      <c r="R48" s="3985">
        <f>E48</f>
        <v>0</v>
      </c>
      <c r="S48" s="3985"/>
      <c r="T48" s="3985">
        <f>G48</f>
        <v>0</v>
      </c>
      <c r="U48" s="3985"/>
      <c r="V48" s="3985">
        <f>I48</f>
        <v>0</v>
      </c>
      <c r="W48" s="3985"/>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0" t="str">
        <f>A49</f>
        <v>比较价格（元/平方米）</v>
      </c>
      <c r="Q49" s="3873"/>
      <c r="R49" s="3985" t="e">
        <f>IF(F1="售价",ROUND(PRODUCT(R48,AA7:AA47),0),ROUND(PRODUCT(R48,AA7:AA47),1))</f>
        <v>#DIV/0!</v>
      </c>
      <c r="S49" s="3985"/>
      <c r="T49" s="3985" t="e">
        <f>IF(F1="售价",ROUND(PRODUCT(T48,AB7:AB47),0),ROUND(PRODUCT(T48,AB7:AB47),1))</f>
        <v>#DIV/0!</v>
      </c>
      <c r="U49" s="3985"/>
      <c r="V49" s="3985" t="e">
        <f>IF(F1="售价",ROUND(PRODUCT(V48,AC7:AC47),0),ROUND(PRODUCT(V48,AC7:AC47),1))</f>
        <v>#DIV/0!</v>
      </c>
      <c r="W49" s="3985"/>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0" t="str">
        <f>A50</f>
        <v>估价对象XX用房的比较价格（楼面单价，元/平方米）</v>
      </c>
      <c r="Q50" s="3880"/>
      <c r="R50" s="3984" t="e">
        <f>IF(F1="售价",ROUND(IF(D49="简单平均",AVERAGE(R49:V49),R49*F49+T49*H49+V49*J49),0),ROUND(IF(D49="简单平均",AVERAGE(R49:V49),R49*F49+T49*H49+V49*J49),1))</f>
        <v>#DIV/0!</v>
      </c>
      <c r="S50" s="3984"/>
      <c r="T50" s="3984"/>
      <c r="U50" s="3984"/>
      <c r="V50" s="3984"/>
      <c r="W50" s="3984"/>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81" t="s">
        <v>471</v>
      </c>
      <c r="D4" s="3882"/>
      <c r="E4" s="3903" t="s">
        <v>472</v>
      </c>
      <c r="F4" s="3904"/>
      <c r="G4" s="3881" t="s">
        <v>473</v>
      </c>
      <c r="H4" s="3882"/>
      <c r="I4" s="3881" t="s">
        <v>474</v>
      </c>
      <c r="J4" s="3882"/>
      <c r="K4" s="484" t="s">
        <v>475</v>
      </c>
      <c r="L4" s="1856"/>
      <c r="M4" s="1857"/>
      <c r="N4" s="1857"/>
      <c r="O4" s="1857"/>
      <c r="P4" s="3883" t="s">
        <v>476</v>
      </c>
      <c r="Q4" s="3884"/>
      <c r="R4" s="3867" t="s">
        <v>472</v>
      </c>
      <c r="S4" s="3868"/>
      <c r="T4" s="3867" t="s">
        <v>473</v>
      </c>
      <c r="U4" s="3868"/>
      <c r="V4" s="3889" t="s">
        <v>474</v>
      </c>
      <c r="W4" s="3889"/>
      <c r="X4" s="1380"/>
      <c r="Y4" s="3867" t="s">
        <v>476</v>
      </c>
      <c r="Z4" s="3868"/>
      <c r="AA4" s="3862" t="s">
        <v>472</v>
      </c>
      <c r="AB4" s="3863" t="s">
        <v>473</v>
      </c>
      <c r="AC4" s="3862" t="s">
        <v>474</v>
      </c>
    </row>
    <row r="5" spans="1:29" ht="15">
      <c r="A5" s="485"/>
      <c r="B5" s="486"/>
      <c r="C5" s="3892" t="s">
        <v>2192</v>
      </c>
      <c r="D5" s="3893"/>
      <c r="E5" s="3905" t="s">
        <v>2193</v>
      </c>
      <c r="F5" s="3906"/>
      <c r="G5" s="3892" t="s">
        <v>2194</v>
      </c>
      <c r="H5" s="3893"/>
      <c r="I5" s="3892" t="s">
        <v>2195</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2196</v>
      </c>
      <c r="D6" s="3891"/>
      <c r="E6" s="3907" t="s">
        <v>2196</v>
      </c>
      <c r="F6" s="3908"/>
      <c r="G6" s="3890" t="s">
        <v>2196</v>
      </c>
      <c r="H6" s="3891"/>
      <c r="I6" s="3890" t="s">
        <v>2196</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65" t="s">
        <v>479</v>
      </c>
      <c r="Q7" s="3874"/>
      <c r="R7" s="1381" t="s">
        <v>5</v>
      </c>
      <c r="S7" s="1382">
        <f t="shared" ref="S7:S15" si="0">F7</f>
        <v>100</v>
      </c>
      <c r="T7" s="1381" t="s">
        <v>5</v>
      </c>
      <c r="U7" s="1382">
        <f t="shared" ref="U7:U15" si="1">H7</f>
        <v>100</v>
      </c>
      <c r="V7" s="1381" t="s">
        <v>5</v>
      </c>
      <c r="W7" s="1382">
        <f t="shared" ref="W7:W15"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3"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3"/>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3"/>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5" t="s">
        <v>489</v>
      </c>
      <c r="Q15" s="1385" t="str">
        <f t="shared" si="6"/>
        <v>产业集聚程度</v>
      </c>
      <c r="R15" s="1386" t="s">
        <v>5</v>
      </c>
      <c r="S15" s="1387">
        <f t="shared" si="0"/>
        <v>100</v>
      </c>
      <c r="T15" s="1386" t="s">
        <v>5</v>
      </c>
      <c r="U15" s="1387">
        <f t="shared" si="1"/>
        <v>100</v>
      </c>
      <c r="V15" s="1386" t="s">
        <v>5</v>
      </c>
      <c r="W15" s="1387">
        <f t="shared" si="2"/>
        <v>100</v>
      </c>
      <c r="X15" s="1380"/>
      <c r="Y15" s="387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6"/>
      <c r="Q16" s="1385"/>
      <c r="R16" s="1386"/>
      <c r="S16" s="1387"/>
      <c r="T16" s="1386"/>
      <c r="U16" s="1387"/>
      <c r="V16" s="1386"/>
      <c r="W16" s="1387"/>
      <c r="X16" s="1380"/>
      <c r="Y16" s="387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6"/>
      <c r="Q17" s="1385" t="str">
        <f>B17</f>
        <v>交通便捷度</v>
      </c>
      <c r="R17" s="1386" t="s">
        <v>5</v>
      </c>
      <c r="S17" s="1387">
        <f>F17</f>
        <v>100</v>
      </c>
      <c r="T17" s="1386" t="s">
        <v>5</v>
      </c>
      <c r="U17" s="1387">
        <f>H17</f>
        <v>100</v>
      </c>
      <c r="V17" s="1386" t="s">
        <v>5</v>
      </c>
      <c r="W17" s="1387">
        <f>J17</f>
        <v>100</v>
      </c>
      <c r="X17" s="1380"/>
      <c r="Y17" s="387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6"/>
      <c r="Q18" s="1385"/>
      <c r="R18" s="1386"/>
      <c r="S18" s="1387"/>
      <c r="T18" s="1386"/>
      <c r="U18" s="1387"/>
      <c r="V18" s="1386"/>
      <c r="W18" s="1387"/>
      <c r="X18" s="1380"/>
      <c r="Y18" s="3876"/>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6"/>
      <c r="Q19" s="1385" t="str">
        <f>B19</f>
        <v>公共配套设施</v>
      </c>
      <c r="R19" s="1386" t="s">
        <v>5</v>
      </c>
      <c r="S19" s="1387">
        <f>F19</f>
        <v>100</v>
      </c>
      <c r="T19" s="1386" t="s">
        <v>5</v>
      </c>
      <c r="U19" s="1387">
        <f>H19</f>
        <v>100</v>
      </c>
      <c r="V19" s="1386" t="s">
        <v>5</v>
      </c>
      <c r="W19" s="1387">
        <f>J19</f>
        <v>100</v>
      </c>
      <c r="X19" s="1380"/>
      <c r="Y19" s="387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6"/>
      <c r="Q20" s="1385"/>
      <c r="R20" s="1386"/>
      <c r="S20" s="1387"/>
      <c r="T20" s="1386"/>
      <c r="U20" s="1387"/>
      <c r="V20" s="1386"/>
      <c r="W20" s="1387"/>
      <c r="X20" s="1380"/>
      <c r="Y20" s="3876"/>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6"/>
      <c r="Q21" s="2193" t="str">
        <f>B21</f>
        <v>基础设施水平</v>
      </c>
      <c r="R21" s="1386" t="s">
        <v>5</v>
      </c>
      <c r="S21" s="1387">
        <f>F21</f>
        <v>100</v>
      </c>
      <c r="T21" s="1386" t="s">
        <v>5</v>
      </c>
      <c r="U21" s="1387">
        <f>H21</f>
        <v>100</v>
      </c>
      <c r="V21" s="1386" t="s">
        <v>5</v>
      </c>
      <c r="W21" s="1387">
        <f>J21</f>
        <v>100</v>
      </c>
      <c r="X21" s="2195"/>
      <c r="Y21" s="387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6"/>
      <c r="Q22" s="2193"/>
      <c r="R22" s="1386"/>
      <c r="S22" s="1387"/>
      <c r="T22" s="1386"/>
      <c r="U22" s="1387"/>
      <c r="V22" s="1386"/>
      <c r="W22" s="1387"/>
      <c r="X22" s="2195"/>
      <c r="Y22" s="3876"/>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6"/>
      <c r="Q23" s="1385" t="str">
        <f>B23</f>
        <v>环境质量</v>
      </c>
      <c r="R23" s="1386" t="s">
        <v>5</v>
      </c>
      <c r="S23" s="1387">
        <f>F23</f>
        <v>100</v>
      </c>
      <c r="T23" s="1386" t="s">
        <v>5</v>
      </c>
      <c r="U23" s="1387">
        <f>H23</f>
        <v>100</v>
      </c>
      <c r="V23" s="1386" t="s">
        <v>5</v>
      </c>
      <c r="W23" s="1387">
        <f>J23</f>
        <v>100</v>
      </c>
      <c r="X23" s="1380"/>
      <c r="Y23" s="387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6"/>
      <c r="Q24" s="1385"/>
      <c r="R24" s="1386"/>
      <c r="S24" s="1387"/>
      <c r="T24" s="1386"/>
      <c r="U24" s="1387"/>
      <c r="V24" s="1386"/>
      <c r="W24" s="1387"/>
      <c r="X24" s="1380"/>
      <c r="Y24" s="387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6"/>
      <c r="Q25" s="1385">
        <f>B25</f>
        <v>111</v>
      </c>
      <c r="R25" s="1386" t="s">
        <v>5</v>
      </c>
      <c r="S25" s="1387">
        <f>F25</f>
        <v>100</v>
      </c>
      <c r="T25" s="1386" t="s">
        <v>5</v>
      </c>
      <c r="U25" s="1387">
        <f>H25</f>
        <v>100</v>
      </c>
      <c r="V25" s="1386" t="s">
        <v>5</v>
      </c>
      <c r="W25" s="1387">
        <f>J25</f>
        <v>100</v>
      </c>
      <c r="X25" s="1380"/>
      <c r="Y25" s="387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6"/>
      <c r="Q26" s="1385">
        <f t="shared" ref="Q26:Q40" si="8">B26</f>
        <v>111</v>
      </c>
      <c r="R26" s="1386" t="s">
        <v>5</v>
      </c>
      <c r="S26" s="1387">
        <f>F26</f>
        <v>100</v>
      </c>
      <c r="T26" s="1386" t="s">
        <v>5</v>
      </c>
      <c r="U26" s="1387">
        <f>H26</f>
        <v>100</v>
      </c>
      <c r="V26" s="1386" t="s">
        <v>5</v>
      </c>
      <c r="W26" s="1387">
        <f>J26</f>
        <v>100</v>
      </c>
      <c r="X26" s="1380"/>
      <c r="Y26" s="387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6"/>
      <c r="Q27" s="1050">
        <f t="shared" si="8"/>
        <v>111</v>
      </c>
      <c r="R27" s="1381" t="s">
        <v>5</v>
      </c>
      <c r="S27" s="1382">
        <f>F27</f>
        <v>100</v>
      </c>
      <c r="T27" s="1381" t="s">
        <v>5</v>
      </c>
      <c r="U27" s="1382">
        <f>H27</f>
        <v>100</v>
      </c>
      <c r="V27" s="1381" t="s">
        <v>5</v>
      </c>
      <c r="W27" s="1382">
        <f>J27</f>
        <v>100</v>
      </c>
      <c r="X27" s="1383"/>
      <c r="Y27" s="387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6"/>
      <c r="Q28" s="1385">
        <f t="shared" si="8"/>
        <v>111</v>
      </c>
      <c r="R28" s="1386" t="s">
        <v>5</v>
      </c>
      <c r="S28" s="1387">
        <f t="shared" ref="S28:S40" si="9">F28</f>
        <v>100</v>
      </c>
      <c r="T28" s="1386" t="s">
        <v>5</v>
      </c>
      <c r="U28" s="1387">
        <f t="shared" ref="U28:U40" si="10">H28</f>
        <v>100</v>
      </c>
      <c r="V28" s="1386" t="s">
        <v>5</v>
      </c>
      <c r="W28" s="1387">
        <f t="shared" ref="W28:W40" si="11">J28</f>
        <v>100</v>
      </c>
      <c r="X28" s="1380"/>
      <c r="Y28" s="387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7" t="s">
        <v>499</v>
      </c>
      <c r="Q29" s="1385" t="str">
        <f t="shared" si="8"/>
        <v>建筑类型</v>
      </c>
      <c r="R29" s="1386" t="s">
        <v>5</v>
      </c>
      <c r="S29" s="1387">
        <f t="shared" si="9"/>
        <v>100</v>
      </c>
      <c r="T29" s="1386" t="s">
        <v>5</v>
      </c>
      <c r="U29" s="1387">
        <f t="shared" si="10"/>
        <v>100</v>
      </c>
      <c r="V29" s="1386" t="s">
        <v>5</v>
      </c>
      <c r="W29" s="1387">
        <f t="shared" si="11"/>
        <v>100</v>
      </c>
      <c r="X29" s="1380"/>
      <c r="Y29" s="387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8"/>
      <c r="Q30" s="1414" t="str">
        <f t="shared" si="8"/>
        <v>项目建筑规模</v>
      </c>
      <c r="R30" s="1390" t="s">
        <v>5</v>
      </c>
      <c r="S30" s="1391" t="e">
        <f t="shared" si="9"/>
        <v>#N/A</v>
      </c>
      <c r="T30" s="1390" t="s">
        <v>5</v>
      </c>
      <c r="U30" s="1391" t="e">
        <f t="shared" si="10"/>
        <v>#N/A</v>
      </c>
      <c r="V30" s="1390" t="s">
        <v>5</v>
      </c>
      <c r="W30" s="1391" t="e">
        <f t="shared" si="11"/>
        <v>#N/A</v>
      </c>
      <c r="X30" s="1392"/>
      <c r="Y30" s="387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8"/>
      <c r="Q31" s="1385" t="str">
        <f t="shared" si="8"/>
        <v>建筑结构</v>
      </c>
      <c r="R31" s="1386" t="s">
        <v>5</v>
      </c>
      <c r="S31" s="1387">
        <f t="shared" si="9"/>
        <v>100</v>
      </c>
      <c r="T31" s="1386" t="s">
        <v>5</v>
      </c>
      <c r="U31" s="1387">
        <f t="shared" si="10"/>
        <v>100</v>
      </c>
      <c r="V31" s="1386" t="s">
        <v>5</v>
      </c>
      <c r="W31" s="1387">
        <f t="shared" si="11"/>
        <v>100</v>
      </c>
      <c r="X31" s="1380"/>
      <c r="Y31" s="387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8"/>
      <c r="Q32" s="1385" t="str">
        <f t="shared" si="8"/>
        <v>公共部分装修</v>
      </c>
      <c r="R32" s="1386" t="s">
        <v>5</v>
      </c>
      <c r="S32" s="1387">
        <f t="shared" si="9"/>
        <v>100</v>
      </c>
      <c r="T32" s="1386" t="s">
        <v>5</v>
      </c>
      <c r="U32" s="1387">
        <f t="shared" si="10"/>
        <v>100</v>
      </c>
      <c r="V32" s="1386" t="s">
        <v>5</v>
      </c>
      <c r="W32" s="1387">
        <f t="shared" si="11"/>
        <v>100</v>
      </c>
      <c r="X32" s="1380"/>
      <c r="Y32" s="387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8"/>
      <c r="Q33" s="1385" t="str">
        <f t="shared" si="8"/>
        <v>成新度</v>
      </c>
      <c r="R33" s="1386" t="s">
        <v>5</v>
      </c>
      <c r="S33" s="1387" t="e">
        <f t="shared" si="9"/>
        <v>#N/A</v>
      </c>
      <c r="T33" s="1386" t="s">
        <v>5</v>
      </c>
      <c r="U33" s="1387" t="e">
        <f t="shared" si="10"/>
        <v>#N/A</v>
      </c>
      <c r="V33" s="1386" t="s">
        <v>5</v>
      </c>
      <c r="W33" s="1387" t="e">
        <f t="shared" si="11"/>
        <v>#N/A</v>
      </c>
      <c r="X33" s="1380"/>
      <c r="Y33" s="387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8"/>
      <c r="Q34" s="1050" t="str">
        <f t="shared" si="8"/>
        <v>物业管理</v>
      </c>
      <c r="R34" s="1381" t="s">
        <v>5</v>
      </c>
      <c r="S34" s="1382">
        <f t="shared" si="9"/>
        <v>100</v>
      </c>
      <c r="T34" s="1381" t="s">
        <v>5</v>
      </c>
      <c r="U34" s="1382">
        <f t="shared" si="10"/>
        <v>100</v>
      </c>
      <c r="V34" s="1381" t="s">
        <v>5</v>
      </c>
      <c r="W34" s="1382">
        <f t="shared" si="11"/>
        <v>100</v>
      </c>
      <c r="X34" s="1383"/>
      <c r="Y34" s="387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8" t="s">
        <v>499</v>
      </c>
      <c r="Q35" s="1385" t="str">
        <f t="shared" si="8"/>
        <v>市政基础设施</v>
      </c>
      <c r="R35" s="1386" t="s">
        <v>5</v>
      </c>
      <c r="S35" s="1387">
        <f t="shared" si="9"/>
        <v>100</v>
      </c>
      <c r="T35" s="1386" t="s">
        <v>5</v>
      </c>
      <c r="U35" s="1387">
        <f t="shared" si="10"/>
        <v>100</v>
      </c>
      <c r="V35" s="1386" t="s">
        <v>5</v>
      </c>
      <c r="W35" s="1387">
        <f t="shared" si="11"/>
        <v>100</v>
      </c>
      <c r="X35" s="1380"/>
      <c r="Y35" s="387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8"/>
      <c r="Q36" s="1385" t="str">
        <f t="shared" si="8"/>
        <v>内部装修</v>
      </c>
      <c r="R36" s="1386" t="s">
        <v>5</v>
      </c>
      <c r="S36" s="1387">
        <f t="shared" si="9"/>
        <v>100</v>
      </c>
      <c r="T36" s="1386" t="s">
        <v>5</v>
      </c>
      <c r="U36" s="1387">
        <f t="shared" si="10"/>
        <v>100</v>
      </c>
      <c r="V36" s="1386" t="s">
        <v>5</v>
      </c>
      <c r="W36" s="1387">
        <f t="shared" si="11"/>
        <v>100</v>
      </c>
      <c r="X36" s="1380"/>
      <c r="Y36" s="387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8"/>
      <c r="Q37" s="1385" t="str">
        <f t="shared" si="8"/>
        <v>内部装修状况</v>
      </c>
      <c r="R37" s="1386" t="s">
        <v>5</v>
      </c>
      <c r="S37" s="1387">
        <f t="shared" si="9"/>
        <v>100</v>
      </c>
      <c r="T37" s="1386" t="s">
        <v>5</v>
      </c>
      <c r="U37" s="1387">
        <f t="shared" si="10"/>
        <v>100</v>
      </c>
      <c r="V37" s="1386" t="s">
        <v>5</v>
      </c>
      <c r="W37" s="1387">
        <f t="shared" si="11"/>
        <v>100</v>
      </c>
      <c r="X37" s="1380"/>
      <c r="Y37" s="387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8"/>
      <c r="Q38" s="1414">
        <f t="shared" si="8"/>
        <v>111</v>
      </c>
      <c r="R38" s="1390" t="s">
        <v>5</v>
      </c>
      <c r="S38" s="1391">
        <f t="shared" si="9"/>
        <v>100</v>
      </c>
      <c r="T38" s="1390" t="s">
        <v>5</v>
      </c>
      <c r="U38" s="1391">
        <f t="shared" si="10"/>
        <v>100</v>
      </c>
      <c r="V38" s="1390" t="s">
        <v>5</v>
      </c>
      <c r="W38" s="1391">
        <f t="shared" si="11"/>
        <v>100</v>
      </c>
      <c r="X38" s="1392"/>
      <c r="Y38" s="387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8"/>
      <c r="Q39" s="1385">
        <f t="shared" si="8"/>
        <v>111</v>
      </c>
      <c r="R39" s="1386" t="s">
        <v>5</v>
      </c>
      <c r="S39" s="1387">
        <f t="shared" si="9"/>
        <v>100</v>
      </c>
      <c r="T39" s="1386" t="s">
        <v>5</v>
      </c>
      <c r="U39" s="1387">
        <f t="shared" si="10"/>
        <v>100</v>
      </c>
      <c r="V39" s="1386" t="s">
        <v>5</v>
      </c>
      <c r="W39" s="1387">
        <f t="shared" si="11"/>
        <v>100</v>
      </c>
      <c r="X39" s="1380"/>
      <c r="Y39" s="387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6"/>
      <c r="Q40" s="1385">
        <f t="shared" si="8"/>
        <v>111</v>
      </c>
      <c r="R40" s="1386" t="s">
        <v>5</v>
      </c>
      <c r="S40" s="1387">
        <f t="shared" si="9"/>
        <v>100</v>
      </c>
      <c r="T40" s="1386" t="s">
        <v>5</v>
      </c>
      <c r="U40" s="1387">
        <f t="shared" si="10"/>
        <v>100</v>
      </c>
      <c r="V40" s="1386" t="s">
        <v>5</v>
      </c>
      <c r="W40" s="1387">
        <f t="shared" si="11"/>
        <v>100</v>
      </c>
      <c r="X40" s="1380"/>
      <c r="Y40" s="3986"/>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3" t="str">
        <f>A41</f>
        <v>成交单价（元/平方米）</v>
      </c>
      <c r="Q41" s="3873"/>
      <c r="R41" s="3985">
        <f>E41</f>
        <v>0</v>
      </c>
      <c r="S41" s="3985"/>
      <c r="T41" s="3985">
        <f>G41</f>
        <v>0</v>
      </c>
      <c r="U41" s="3985"/>
      <c r="V41" s="3985">
        <f>I41</f>
        <v>0</v>
      </c>
      <c r="W41" s="3985"/>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3" t="str">
        <f>A42</f>
        <v>比较价格（元/平方米）</v>
      </c>
      <c r="Q42" s="3873"/>
      <c r="R42" s="3985" t="e">
        <f>IF(F1="售价",ROUND(PRODUCT(R41,AA7:AA40),0),ROUND(PRODUCT(R41,AA7:AA40),1))</f>
        <v>#DIV/0!</v>
      </c>
      <c r="S42" s="3985"/>
      <c r="T42" s="3985" t="e">
        <f>IF(F1="售价",ROUND(PRODUCT(T41,AB7:AB40),0),ROUND(PRODUCT(T41,AB7:AB40),1))</f>
        <v>#DIV/0!</v>
      </c>
      <c r="U42" s="3985"/>
      <c r="V42" s="3985" t="e">
        <f>IF(F1="售价",ROUND(PRODUCT(V41,AC7:AC40),0),ROUND(PRODUCT(V41,AC7:AC40),1))</f>
        <v>#DIV/0!</v>
      </c>
      <c r="W42" s="3985"/>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9" t="str">
        <f>A43</f>
        <v>估价对象XX用房的比较价格（楼面单价，元/平方米）</v>
      </c>
      <c r="Q43" s="3880"/>
      <c r="R43" s="3984" t="e">
        <f>IF(F1="售价",ROUND(IF(D42="简单平均",AVERAGE(R42:V42),R42*F42+T42*H42+V42*J42),0),ROUND(IF(D42="简单平均",AVERAGE(R42:V42),R42*F42+T42*H42+V42*J42),1))</f>
        <v>#DIV/0!</v>
      </c>
      <c r="S43" s="3984"/>
      <c r="T43" s="3984"/>
      <c r="U43" s="3984"/>
      <c r="V43" s="3984"/>
      <c r="W43" s="3984"/>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1" t="s">
        <v>738</v>
      </c>
      <c r="D4" s="3882"/>
      <c r="E4" s="3881" t="s">
        <v>739</v>
      </c>
      <c r="F4" s="3882"/>
      <c r="G4" s="3881" t="s">
        <v>740</v>
      </c>
      <c r="H4" s="3882"/>
      <c r="I4" s="3881" t="s">
        <v>741</v>
      </c>
      <c r="J4" s="3882"/>
      <c r="K4" s="484" t="s">
        <v>742</v>
      </c>
      <c r="L4" s="1856"/>
      <c r="M4" s="1857"/>
      <c r="N4" s="1857"/>
      <c r="O4" s="1857"/>
      <c r="P4" s="3883" t="s">
        <v>743</v>
      </c>
      <c r="Q4" s="3884"/>
      <c r="R4" s="3867" t="s">
        <v>739</v>
      </c>
      <c r="S4" s="3868"/>
      <c r="T4" s="3867" t="s">
        <v>740</v>
      </c>
      <c r="U4" s="3868"/>
      <c r="V4" s="3889" t="s">
        <v>741</v>
      </c>
      <c r="W4" s="3889"/>
      <c r="X4" s="1380"/>
      <c r="Y4" s="3867" t="s">
        <v>743</v>
      </c>
      <c r="Z4" s="3868"/>
      <c r="AA4" s="3862" t="s">
        <v>739</v>
      </c>
      <c r="AB4" s="3863" t="s">
        <v>740</v>
      </c>
      <c r="AC4" s="3862" t="s">
        <v>741</v>
      </c>
    </row>
    <row r="5" spans="1:29" ht="15">
      <c r="A5" s="485"/>
      <c r="B5" s="486"/>
      <c r="C5" s="3892" t="s">
        <v>2192</v>
      </c>
      <c r="D5" s="3893"/>
      <c r="E5" s="3892" t="s">
        <v>2193</v>
      </c>
      <c r="F5" s="3893"/>
      <c r="G5" s="3892" t="s">
        <v>2194</v>
      </c>
      <c r="H5" s="3893"/>
      <c r="I5" s="3892" t="s">
        <v>2195</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2196</v>
      </c>
      <c r="D6" s="3891"/>
      <c r="E6" s="3894" t="s">
        <v>2196</v>
      </c>
      <c r="F6" s="3895"/>
      <c r="G6" s="3890" t="s">
        <v>2196</v>
      </c>
      <c r="H6" s="3891"/>
      <c r="I6" s="3890" t="s">
        <v>2196</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65" t="s">
        <v>479</v>
      </c>
      <c r="Q7" s="3874"/>
      <c r="R7" s="1381" t="s">
        <v>5</v>
      </c>
      <c r="S7" s="1382">
        <f t="shared" ref="S7:S14" si="0">F7</f>
        <v>100</v>
      </c>
      <c r="T7" s="1381" t="s">
        <v>5</v>
      </c>
      <c r="U7" s="1382">
        <f t="shared" ref="U7:U14" si="1">H7</f>
        <v>100</v>
      </c>
      <c r="V7" s="1381" t="s">
        <v>5</v>
      </c>
      <c r="W7" s="1382">
        <f t="shared" ref="W7:W14"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3"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3"/>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5" t="s">
        <v>489</v>
      </c>
      <c r="Q14" s="1385" t="str">
        <f t="shared" si="6"/>
        <v>交通便捷度</v>
      </c>
      <c r="R14" s="1386" t="s">
        <v>5</v>
      </c>
      <c r="S14" s="1387">
        <f t="shared" si="0"/>
        <v>100</v>
      </c>
      <c r="T14" s="1386" t="s">
        <v>5</v>
      </c>
      <c r="U14" s="1387">
        <f t="shared" si="1"/>
        <v>100</v>
      </c>
      <c r="V14" s="1386" t="s">
        <v>5</v>
      </c>
      <c r="W14" s="1387">
        <f t="shared" si="2"/>
        <v>100</v>
      </c>
      <c r="X14" s="1380"/>
      <c r="Y14" s="387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6"/>
      <c r="Q15" s="1385"/>
      <c r="R15" s="1386"/>
      <c r="S15" s="1387"/>
      <c r="T15" s="1386"/>
      <c r="U15" s="1387"/>
      <c r="V15" s="1386"/>
      <c r="W15" s="1387"/>
      <c r="X15" s="1380"/>
      <c r="Y15" s="3876"/>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6"/>
      <c r="Q16" s="1385" t="str">
        <f>B16</f>
        <v>公共配套设施</v>
      </c>
      <c r="R16" s="1386" t="s">
        <v>5</v>
      </c>
      <c r="S16" s="1387">
        <f>F16</f>
        <v>100</v>
      </c>
      <c r="T16" s="1386" t="s">
        <v>5</v>
      </c>
      <c r="U16" s="1387">
        <f>H16</f>
        <v>100</v>
      </c>
      <c r="V16" s="1386" t="s">
        <v>5</v>
      </c>
      <c r="W16" s="1387">
        <f>J16</f>
        <v>100</v>
      </c>
      <c r="X16" s="1380"/>
      <c r="Y16" s="387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6"/>
      <c r="Q17" s="1385"/>
      <c r="R17" s="1386"/>
      <c r="S17" s="1387"/>
      <c r="T17" s="1386"/>
      <c r="U17" s="1387"/>
      <c r="V17" s="1386"/>
      <c r="W17" s="1387"/>
      <c r="X17" s="1380"/>
      <c r="Y17" s="3876"/>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6"/>
      <c r="Q18" s="2193" t="str">
        <f>B18</f>
        <v>基础设施水平</v>
      </c>
      <c r="R18" s="1386" t="s">
        <v>5</v>
      </c>
      <c r="S18" s="1387">
        <f>F18</f>
        <v>100</v>
      </c>
      <c r="T18" s="1386" t="s">
        <v>5</v>
      </c>
      <c r="U18" s="1387">
        <f>H18</f>
        <v>100</v>
      </c>
      <c r="V18" s="1386" t="s">
        <v>5</v>
      </c>
      <c r="W18" s="1387">
        <f>J18</f>
        <v>100</v>
      </c>
      <c r="X18" s="2195"/>
      <c r="Y18" s="387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6"/>
      <c r="Q19" s="2193"/>
      <c r="R19" s="1386"/>
      <c r="S19" s="1387"/>
      <c r="T19" s="1386"/>
      <c r="U19" s="1387"/>
      <c r="V19" s="1386"/>
      <c r="W19" s="1387"/>
      <c r="X19" s="2195"/>
      <c r="Y19" s="3876"/>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6"/>
      <c r="Q20" s="1385" t="str">
        <f>B20</f>
        <v>自然及人文环境</v>
      </c>
      <c r="R20" s="1386" t="s">
        <v>5</v>
      </c>
      <c r="S20" s="1387">
        <f>F20</f>
        <v>100</v>
      </c>
      <c r="T20" s="1386" t="s">
        <v>5</v>
      </c>
      <c r="U20" s="1387">
        <f>H20</f>
        <v>100</v>
      </c>
      <c r="V20" s="1386" t="s">
        <v>5</v>
      </c>
      <c r="W20" s="1387">
        <f>J20</f>
        <v>100</v>
      </c>
      <c r="X20" s="1380"/>
      <c r="Y20" s="387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6"/>
      <c r="Q21" s="1385"/>
      <c r="R21" s="1386"/>
      <c r="S21" s="1387"/>
      <c r="T21" s="1386"/>
      <c r="U21" s="1387"/>
      <c r="V21" s="1386"/>
      <c r="W21" s="1387"/>
      <c r="X21" s="1380"/>
      <c r="Y21" s="387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6"/>
      <c r="Q22" s="1385" t="str">
        <f>B22</f>
        <v>楼层</v>
      </c>
      <c r="R22" s="1386" t="s">
        <v>5</v>
      </c>
      <c r="S22" s="1387">
        <f>F22</f>
        <v>100</v>
      </c>
      <c r="T22" s="1386" t="s">
        <v>5</v>
      </c>
      <c r="U22" s="1387">
        <f>H22</f>
        <v>100</v>
      </c>
      <c r="V22" s="1386" t="s">
        <v>5</v>
      </c>
      <c r="W22" s="1387">
        <f>J22</f>
        <v>100</v>
      </c>
      <c r="X22" s="1380"/>
      <c r="Y22" s="387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6"/>
      <c r="Q23" s="1385">
        <f>B23</f>
        <v>111</v>
      </c>
      <c r="R23" s="1386" t="s">
        <v>5</v>
      </c>
      <c r="S23" s="1387">
        <f>F23</f>
        <v>100</v>
      </c>
      <c r="T23" s="1386" t="s">
        <v>5</v>
      </c>
      <c r="U23" s="1387">
        <f>H23</f>
        <v>100</v>
      </c>
      <c r="V23" s="1386" t="s">
        <v>5</v>
      </c>
      <c r="W23" s="1387">
        <f>J23</f>
        <v>100</v>
      </c>
      <c r="X23" s="1380"/>
      <c r="Y23" s="387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6"/>
      <c r="Q24" s="1385">
        <f t="shared" ref="Q24:Q36" si="8">B24</f>
        <v>111</v>
      </c>
      <c r="R24" s="1386" t="s">
        <v>5</v>
      </c>
      <c r="S24" s="1387">
        <f>F24</f>
        <v>100</v>
      </c>
      <c r="T24" s="1386" t="s">
        <v>5</v>
      </c>
      <c r="U24" s="1387">
        <f>H24</f>
        <v>100</v>
      </c>
      <c r="V24" s="1386" t="s">
        <v>5</v>
      </c>
      <c r="W24" s="1387">
        <f>J24</f>
        <v>100</v>
      </c>
      <c r="X24" s="1380"/>
      <c r="Y24" s="387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6"/>
      <c r="Q25" s="1050">
        <f t="shared" si="8"/>
        <v>111</v>
      </c>
      <c r="R25" s="1381" t="s">
        <v>5</v>
      </c>
      <c r="S25" s="1382">
        <f>F25</f>
        <v>100</v>
      </c>
      <c r="T25" s="1381" t="s">
        <v>5</v>
      </c>
      <c r="U25" s="1382">
        <f>H25</f>
        <v>100</v>
      </c>
      <c r="V25" s="1381" t="s">
        <v>5</v>
      </c>
      <c r="W25" s="1382">
        <f>J25</f>
        <v>100</v>
      </c>
      <c r="X25" s="1383"/>
      <c r="Y25" s="387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8"/>
      <c r="Q27" s="1414" t="str">
        <f t="shared" si="8"/>
        <v>项目停车位配比</v>
      </c>
      <c r="R27" s="1390" t="s">
        <v>5</v>
      </c>
      <c r="S27" s="1391">
        <f t="shared" si="9"/>
        <v>100</v>
      </c>
      <c r="T27" s="1390" t="s">
        <v>5</v>
      </c>
      <c r="U27" s="1391">
        <f t="shared" si="10"/>
        <v>100</v>
      </c>
      <c r="V27" s="1390" t="s">
        <v>5</v>
      </c>
      <c r="W27" s="1391">
        <f t="shared" si="11"/>
        <v>100</v>
      </c>
      <c r="X27" s="1392"/>
      <c r="Y27" s="387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8"/>
      <c r="Q28" s="1385" t="str">
        <f t="shared" si="8"/>
        <v>公共部分装修</v>
      </c>
      <c r="R28" s="1386" t="s">
        <v>5</v>
      </c>
      <c r="S28" s="1387">
        <f t="shared" si="9"/>
        <v>100</v>
      </c>
      <c r="T28" s="1386" t="s">
        <v>5</v>
      </c>
      <c r="U28" s="1387">
        <f t="shared" si="10"/>
        <v>100</v>
      </c>
      <c r="V28" s="1386" t="s">
        <v>5</v>
      </c>
      <c r="W28" s="1387">
        <f t="shared" si="11"/>
        <v>100</v>
      </c>
      <c r="X28" s="1380"/>
      <c r="Y28" s="387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8"/>
      <c r="Q29" s="1385" t="str">
        <f t="shared" si="8"/>
        <v>成新率</v>
      </c>
      <c r="R29" s="1386" t="s">
        <v>5</v>
      </c>
      <c r="S29" s="1387" t="e">
        <f t="shared" si="9"/>
        <v>#N/A</v>
      </c>
      <c r="T29" s="1386" t="s">
        <v>5</v>
      </c>
      <c r="U29" s="1387" t="e">
        <f t="shared" si="10"/>
        <v>#N/A</v>
      </c>
      <c r="V29" s="1386" t="s">
        <v>5</v>
      </c>
      <c r="W29" s="1387" t="e">
        <f t="shared" si="11"/>
        <v>#N/A</v>
      </c>
      <c r="X29" s="1380"/>
      <c r="Y29" s="387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8"/>
      <c r="Q30" s="1385" t="str">
        <f t="shared" si="8"/>
        <v>物业等级</v>
      </c>
      <c r="R30" s="1386" t="s">
        <v>5</v>
      </c>
      <c r="S30" s="1387">
        <f t="shared" si="9"/>
        <v>100</v>
      </c>
      <c r="T30" s="1386" t="s">
        <v>5</v>
      </c>
      <c r="U30" s="1387">
        <f t="shared" si="10"/>
        <v>100</v>
      </c>
      <c r="V30" s="1386" t="s">
        <v>5</v>
      </c>
      <c r="W30" s="1387">
        <f t="shared" si="11"/>
        <v>100</v>
      </c>
      <c r="X30" s="1380"/>
      <c r="Y30" s="387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8"/>
      <c r="Q31" s="1050" t="str">
        <f t="shared" si="8"/>
        <v>停车位面积</v>
      </c>
      <c r="R31" s="1381" t="s">
        <v>5</v>
      </c>
      <c r="S31" s="1382" t="e">
        <f t="shared" si="9"/>
        <v>#N/A</v>
      </c>
      <c r="T31" s="1381" t="s">
        <v>5</v>
      </c>
      <c r="U31" s="1382" t="e">
        <f t="shared" si="10"/>
        <v>#N/A</v>
      </c>
      <c r="V31" s="1381" t="s">
        <v>5</v>
      </c>
      <c r="W31" s="1382" t="e">
        <f t="shared" si="11"/>
        <v>#N/A</v>
      </c>
      <c r="X31" s="1383"/>
      <c r="Y31" s="387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8" t="s">
        <v>499</v>
      </c>
      <c r="Q32" s="1385" t="str">
        <f t="shared" si="8"/>
        <v>车位类型</v>
      </c>
      <c r="R32" s="1386" t="s">
        <v>5</v>
      </c>
      <c r="S32" s="1387">
        <f t="shared" si="9"/>
        <v>100</v>
      </c>
      <c r="T32" s="1386" t="s">
        <v>5</v>
      </c>
      <c r="U32" s="1387">
        <f t="shared" si="10"/>
        <v>100</v>
      </c>
      <c r="V32" s="1386" t="s">
        <v>5</v>
      </c>
      <c r="W32" s="1387">
        <f t="shared" si="11"/>
        <v>100</v>
      </c>
      <c r="X32" s="1380"/>
      <c r="Y32" s="387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8"/>
      <c r="Q33" s="1385" t="str">
        <f t="shared" si="8"/>
        <v>是否直接入户</v>
      </c>
      <c r="R33" s="1386" t="s">
        <v>5</v>
      </c>
      <c r="S33" s="1387">
        <f t="shared" si="9"/>
        <v>100</v>
      </c>
      <c r="T33" s="1386" t="s">
        <v>5</v>
      </c>
      <c r="U33" s="1387">
        <f t="shared" si="10"/>
        <v>100</v>
      </c>
      <c r="V33" s="1386" t="s">
        <v>5</v>
      </c>
      <c r="W33" s="1387">
        <f t="shared" si="11"/>
        <v>100</v>
      </c>
      <c r="X33" s="1380"/>
      <c r="Y33" s="387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8"/>
      <c r="Q34" s="1385">
        <f t="shared" si="8"/>
        <v>111</v>
      </c>
      <c r="R34" s="1386" t="s">
        <v>5</v>
      </c>
      <c r="S34" s="1387">
        <f t="shared" si="9"/>
        <v>100</v>
      </c>
      <c r="T34" s="1386" t="s">
        <v>5</v>
      </c>
      <c r="U34" s="1387">
        <f t="shared" si="10"/>
        <v>100</v>
      </c>
      <c r="V34" s="1386" t="s">
        <v>5</v>
      </c>
      <c r="W34" s="1387">
        <f t="shared" si="11"/>
        <v>100</v>
      </c>
      <c r="X34" s="1380"/>
      <c r="Y34" s="387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8"/>
      <c r="Q35" s="1414">
        <f t="shared" si="8"/>
        <v>111</v>
      </c>
      <c r="R35" s="1390" t="s">
        <v>5</v>
      </c>
      <c r="S35" s="1391">
        <f t="shared" si="9"/>
        <v>100</v>
      </c>
      <c r="T35" s="1390" t="s">
        <v>5</v>
      </c>
      <c r="U35" s="1391">
        <f t="shared" si="10"/>
        <v>100</v>
      </c>
      <c r="V35" s="1390" t="s">
        <v>5</v>
      </c>
      <c r="W35" s="1391">
        <f t="shared" si="11"/>
        <v>100</v>
      </c>
      <c r="X35" s="1392"/>
      <c r="Y35" s="387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8"/>
      <c r="Q36" s="1385">
        <f t="shared" si="8"/>
        <v>111</v>
      </c>
      <c r="R36" s="1386" t="s">
        <v>5</v>
      </c>
      <c r="S36" s="1387">
        <f t="shared" si="9"/>
        <v>100</v>
      </c>
      <c r="T36" s="1386" t="s">
        <v>5</v>
      </c>
      <c r="U36" s="1387">
        <f t="shared" si="10"/>
        <v>100</v>
      </c>
      <c r="V36" s="1386" t="s">
        <v>5</v>
      </c>
      <c r="W36" s="1387">
        <f t="shared" si="11"/>
        <v>100</v>
      </c>
      <c r="X36" s="1380"/>
      <c r="Y36" s="3878"/>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3" t="str">
        <f>A37</f>
        <v>成交单价</v>
      </c>
      <c r="Q37" s="3873"/>
      <c r="R37" s="3985">
        <f>E37</f>
        <v>0</v>
      </c>
      <c r="S37" s="3985"/>
      <c r="T37" s="3985">
        <f>G37</f>
        <v>0</v>
      </c>
      <c r="U37" s="3985"/>
      <c r="V37" s="3985">
        <f>I37</f>
        <v>0</v>
      </c>
      <c r="W37" s="3985"/>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3" t="str">
        <f>A38</f>
        <v>比较价格（元/平方米）</v>
      </c>
      <c r="Q38" s="3873"/>
      <c r="R38" s="3985" t="e">
        <f>IF(F1="售价",ROUND(PRODUCT(R37,AA7:AA36),0),ROUND(PRODUCT(R37,AA7:AA36),1))</f>
        <v>#DIV/0!</v>
      </c>
      <c r="S38" s="3985"/>
      <c r="T38" s="3985" t="e">
        <f>IF(F1="售价",ROUND(PRODUCT(T37,AB7:AB36),0),ROUND(PRODUCT(T37,AB7:AB36),1))</f>
        <v>#DIV/0!</v>
      </c>
      <c r="U38" s="3985"/>
      <c r="V38" s="3985" t="e">
        <f>IF(F1="售价",ROUND(PRODUCT(V37,AC7:AC36),0),ROUND(PRODUCT(V37,AC7:AC36),1))</f>
        <v>#DIV/0!</v>
      </c>
      <c r="W38" s="3985"/>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9" t="str">
        <f>A39</f>
        <v>估价对象XX用房的比较价格（楼面单价，元/平方米）</v>
      </c>
      <c r="Q39" s="3880"/>
      <c r="R39" s="3984" t="e">
        <f>IF(F1="售价",ROUND(IF(D38="简单平均",AVERAGE(R38:W38),R38*F38+T38*H38+V38*J38),0),ROUND(IF(D38="简单平均",AVERAGE(R38:V38),R38*F38+T38*H38+V38*J38),1))</f>
        <v>#DIV/0!</v>
      </c>
      <c r="S39" s="3984"/>
      <c r="T39" s="3984"/>
      <c r="U39" s="3984"/>
      <c r="V39" s="3984"/>
      <c r="W39" s="3984"/>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1" t="s">
        <v>738</v>
      </c>
      <c r="D4" s="3882"/>
      <c r="E4" s="3903" t="s">
        <v>739</v>
      </c>
      <c r="F4" s="3904"/>
      <c r="G4" s="3881" t="s">
        <v>740</v>
      </c>
      <c r="H4" s="3882"/>
      <c r="I4" s="3881" t="s">
        <v>741</v>
      </c>
      <c r="J4" s="3882"/>
      <c r="K4" s="484" t="s">
        <v>742</v>
      </c>
      <c r="L4" s="1856"/>
      <c r="M4" s="1857"/>
      <c r="N4" s="1857"/>
      <c r="O4" s="1857"/>
      <c r="P4" s="3883" t="s">
        <v>743</v>
      </c>
      <c r="Q4" s="3884"/>
      <c r="R4" s="3867" t="s">
        <v>739</v>
      </c>
      <c r="S4" s="3868"/>
      <c r="T4" s="3867" t="s">
        <v>740</v>
      </c>
      <c r="U4" s="3868"/>
      <c r="V4" s="3889" t="s">
        <v>741</v>
      </c>
      <c r="W4" s="3889"/>
      <c r="X4" s="1380"/>
      <c r="Y4" s="3867" t="s">
        <v>743</v>
      </c>
      <c r="Z4" s="3868"/>
      <c r="AA4" s="3862" t="s">
        <v>739</v>
      </c>
      <c r="AB4" s="3863" t="s">
        <v>740</v>
      </c>
      <c r="AC4" s="3862" t="s">
        <v>741</v>
      </c>
    </row>
    <row r="5" spans="1:29" ht="15">
      <c r="A5" s="485"/>
      <c r="B5" s="486"/>
      <c r="C5" s="3892" t="s">
        <v>2192</v>
      </c>
      <c r="D5" s="3893"/>
      <c r="E5" s="3905" t="s">
        <v>2193</v>
      </c>
      <c r="F5" s="3906"/>
      <c r="G5" s="3892" t="s">
        <v>2194</v>
      </c>
      <c r="H5" s="3893"/>
      <c r="I5" s="3892" t="s">
        <v>2195</v>
      </c>
      <c r="J5" s="3893"/>
      <c r="K5" s="484"/>
      <c r="L5" s="1856"/>
      <c r="M5" s="1857"/>
      <c r="N5" s="1857"/>
      <c r="O5" s="1857"/>
      <c r="P5" s="3885"/>
      <c r="Q5" s="3886"/>
      <c r="R5" s="3869"/>
      <c r="S5" s="3870"/>
      <c r="T5" s="3869"/>
      <c r="U5" s="3870"/>
      <c r="V5" s="3889"/>
      <c r="W5" s="3889"/>
      <c r="X5" s="1380"/>
      <c r="Y5" s="3869"/>
      <c r="Z5" s="3870"/>
      <c r="AA5" s="3863"/>
      <c r="AB5" s="3863"/>
      <c r="AC5" s="3863"/>
    </row>
    <row r="6" spans="1:29" ht="15.75" thickBot="1">
      <c r="A6" s="487"/>
      <c r="B6" s="488"/>
      <c r="C6" s="3890" t="s">
        <v>2196</v>
      </c>
      <c r="D6" s="3891"/>
      <c r="E6" s="3907" t="s">
        <v>2196</v>
      </c>
      <c r="F6" s="3908"/>
      <c r="G6" s="3890" t="s">
        <v>2196</v>
      </c>
      <c r="H6" s="3891"/>
      <c r="I6" s="3890" t="s">
        <v>2196</v>
      </c>
      <c r="J6" s="3891"/>
      <c r="K6" s="484" t="s">
        <v>477</v>
      </c>
      <c r="L6" s="1856"/>
      <c r="M6" s="1857"/>
      <c r="N6" s="1857"/>
      <c r="O6" s="1857"/>
      <c r="P6" s="3887"/>
      <c r="Q6" s="3888"/>
      <c r="R6" s="3869"/>
      <c r="S6" s="3870"/>
      <c r="T6" s="3871"/>
      <c r="U6" s="3872"/>
      <c r="V6" s="3889"/>
      <c r="W6" s="3889"/>
      <c r="X6" s="1380"/>
      <c r="Y6" s="3871"/>
      <c r="Z6" s="3872"/>
      <c r="AA6" s="3864"/>
      <c r="AB6" s="3864"/>
      <c r="AC6" s="3864"/>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65" t="s">
        <v>479</v>
      </c>
      <c r="Q7" s="3874"/>
      <c r="R7" s="1381" t="s">
        <v>5</v>
      </c>
      <c r="S7" s="1382">
        <f t="shared" ref="S7:S14" si="0">F7</f>
        <v>100</v>
      </c>
      <c r="T7" s="1381" t="s">
        <v>5</v>
      </c>
      <c r="U7" s="1382">
        <f t="shared" ref="U7:U14" si="1">H7</f>
        <v>100</v>
      </c>
      <c r="V7" s="1381" t="s">
        <v>5</v>
      </c>
      <c r="W7" s="1382">
        <f t="shared" ref="W7:W14" si="2">J7</f>
        <v>100</v>
      </c>
      <c r="X7" s="1383"/>
      <c r="Y7" s="3865" t="s">
        <v>479</v>
      </c>
      <c r="Z7" s="3866"/>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5" t="s">
        <v>482</v>
      </c>
      <c r="Q8" s="3866"/>
      <c r="R8" s="1381" t="s">
        <v>5</v>
      </c>
      <c r="S8" s="1382">
        <f t="shared" si="0"/>
        <v>0</v>
      </c>
      <c r="T8" s="1381" t="s">
        <v>5</v>
      </c>
      <c r="U8" s="1382">
        <f t="shared" si="1"/>
        <v>0</v>
      </c>
      <c r="V8" s="1381" t="s">
        <v>5</v>
      </c>
      <c r="W8" s="1382">
        <f t="shared" si="2"/>
        <v>0</v>
      </c>
      <c r="X8" s="1383"/>
      <c r="Y8" s="3865" t="s">
        <v>482</v>
      </c>
      <c r="Z8" s="3866"/>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3"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3"/>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3"/>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3"/>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3"/>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5" t="s">
        <v>489</v>
      </c>
      <c r="Q14" s="1385" t="str">
        <f t="shared" si="6"/>
        <v>交通便捷度</v>
      </c>
      <c r="R14" s="1386" t="s">
        <v>5</v>
      </c>
      <c r="S14" s="1387">
        <f t="shared" si="0"/>
        <v>100</v>
      </c>
      <c r="T14" s="1386" t="s">
        <v>5</v>
      </c>
      <c r="U14" s="1387">
        <f t="shared" si="1"/>
        <v>100</v>
      </c>
      <c r="V14" s="1386" t="s">
        <v>5</v>
      </c>
      <c r="W14" s="1387">
        <f t="shared" si="2"/>
        <v>100</v>
      </c>
      <c r="X14" s="1380"/>
      <c r="Y14" s="387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6"/>
      <c r="Q15" s="1385"/>
      <c r="R15" s="1386"/>
      <c r="S15" s="1387"/>
      <c r="T15" s="1386"/>
      <c r="U15" s="1387"/>
      <c r="V15" s="1386"/>
      <c r="W15" s="1387"/>
      <c r="X15" s="1380"/>
      <c r="Y15" s="3876"/>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6"/>
      <c r="Q16" s="1385" t="str">
        <f>B16</f>
        <v>公共配套设施</v>
      </c>
      <c r="R16" s="1386" t="s">
        <v>5</v>
      </c>
      <c r="S16" s="1387">
        <f>F16</f>
        <v>100</v>
      </c>
      <c r="T16" s="1386" t="s">
        <v>5</v>
      </c>
      <c r="U16" s="1387">
        <f>H16</f>
        <v>100</v>
      </c>
      <c r="V16" s="1386" t="s">
        <v>5</v>
      </c>
      <c r="W16" s="1387">
        <f>J16</f>
        <v>100</v>
      </c>
      <c r="X16" s="1380"/>
      <c r="Y16" s="387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6"/>
      <c r="Q17" s="1385"/>
      <c r="R17" s="1386"/>
      <c r="S17" s="1387"/>
      <c r="T17" s="1386"/>
      <c r="U17" s="1387"/>
      <c r="V17" s="1386"/>
      <c r="W17" s="1387"/>
      <c r="X17" s="1380"/>
      <c r="Y17" s="3876"/>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6"/>
      <c r="Q18" s="2193" t="str">
        <f>B18</f>
        <v>基础设施水平</v>
      </c>
      <c r="R18" s="1386" t="s">
        <v>5</v>
      </c>
      <c r="S18" s="1387">
        <f>F18</f>
        <v>100</v>
      </c>
      <c r="T18" s="1386" t="s">
        <v>5</v>
      </c>
      <c r="U18" s="1387">
        <f>H18</f>
        <v>100</v>
      </c>
      <c r="V18" s="1386" t="s">
        <v>5</v>
      </c>
      <c r="W18" s="1387">
        <f>J18</f>
        <v>100</v>
      </c>
      <c r="X18" s="2195"/>
      <c r="Y18" s="387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6"/>
      <c r="Q19" s="2193"/>
      <c r="R19" s="1386"/>
      <c r="S19" s="1387"/>
      <c r="T19" s="1386"/>
      <c r="U19" s="1387"/>
      <c r="V19" s="1386"/>
      <c r="W19" s="1387"/>
      <c r="X19" s="2195"/>
      <c r="Y19" s="3876"/>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6"/>
      <c r="Q20" s="1385" t="str">
        <f>B20</f>
        <v>自然及人文环境</v>
      </c>
      <c r="R20" s="1386" t="s">
        <v>5</v>
      </c>
      <c r="S20" s="1387">
        <f>F20</f>
        <v>100</v>
      </c>
      <c r="T20" s="1386" t="s">
        <v>5</v>
      </c>
      <c r="U20" s="1387">
        <f>H20</f>
        <v>100</v>
      </c>
      <c r="V20" s="1386" t="s">
        <v>5</v>
      </c>
      <c r="W20" s="1387">
        <f>J20</f>
        <v>100</v>
      </c>
      <c r="X20" s="1380"/>
      <c r="Y20" s="387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6"/>
      <c r="Q21" s="1385"/>
      <c r="R21" s="1386"/>
      <c r="S21" s="1387"/>
      <c r="T21" s="1386"/>
      <c r="U21" s="1387"/>
      <c r="V21" s="1386"/>
      <c r="W21" s="1387"/>
      <c r="X21" s="1380"/>
      <c r="Y21" s="387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6"/>
      <c r="Q22" s="1385" t="str">
        <f>B22</f>
        <v>楼层</v>
      </c>
      <c r="R22" s="1386" t="s">
        <v>5</v>
      </c>
      <c r="S22" s="1387">
        <f>F22</f>
        <v>100</v>
      </c>
      <c r="T22" s="1386" t="s">
        <v>5</v>
      </c>
      <c r="U22" s="1387">
        <f>H22</f>
        <v>100</v>
      </c>
      <c r="V22" s="1386" t="s">
        <v>5</v>
      </c>
      <c r="W22" s="1387">
        <f>J22</f>
        <v>100</v>
      </c>
      <c r="X22" s="1380"/>
      <c r="Y22" s="387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6"/>
      <c r="Q23" s="1385">
        <f>B23</f>
        <v>111</v>
      </c>
      <c r="R23" s="1386" t="s">
        <v>5</v>
      </c>
      <c r="S23" s="1387">
        <f>F23</f>
        <v>100</v>
      </c>
      <c r="T23" s="1386" t="s">
        <v>5</v>
      </c>
      <c r="U23" s="1387">
        <f>H23</f>
        <v>100</v>
      </c>
      <c r="V23" s="1386" t="s">
        <v>5</v>
      </c>
      <c r="W23" s="1387">
        <f>J23</f>
        <v>100</v>
      </c>
      <c r="X23" s="1380"/>
      <c r="Y23" s="387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6"/>
      <c r="Q24" s="1385">
        <f t="shared" ref="Q24:Q34" si="8">B24</f>
        <v>111</v>
      </c>
      <c r="R24" s="1386" t="s">
        <v>5</v>
      </c>
      <c r="S24" s="1387">
        <f>F24</f>
        <v>100</v>
      </c>
      <c r="T24" s="1386" t="s">
        <v>5</v>
      </c>
      <c r="U24" s="1387">
        <f>H24</f>
        <v>100</v>
      </c>
      <c r="V24" s="1386" t="s">
        <v>5</v>
      </c>
      <c r="W24" s="1387">
        <f>J24</f>
        <v>100</v>
      </c>
      <c r="X24" s="1380"/>
      <c r="Y24" s="387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6"/>
      <c r="Q25" s="1050">
        <f t="shared" si="8"/>
        <v>111</v>
      </c>
      <c r="R25" s="1381" t="s">
        <v>5</v>
      </c>
      <c r="S25" s="1382">
        <f>F25</f>
        <v>100</v>
      </c>
      <c r="T25" s="1381" t="s">
        <v>5</v>
      </c>
      <c r="U25" s="1382">
        <f>H25</f>
        <v>100</v>
      </c>
      <c r="V25" s="1381" t="s">
        <v>5</v>
      </c>
      <c r="W25" s="1382">
        <f>J25</f>
        <v>100</v>
      </c>
      <c r="X25" s="1383"/>
      <c r="Y25" s="387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8"/>
      <c r="Q27" s="1414" t="str">
        <f t="shared" si="8"/>
        <v>成新率</v>
      </c>
      <c r="R27" s="1390" t="s">
        <v>5</v>
      </c>
      <c r="S27" s="1391" t="e">
        <f t="shared" si="9"/>
        <v>#N/A</v>
      </c>
      <c r="T27" s="1390" t="s">
        <v>5</v>
      </c>
      <c r="U27" s="1391" t="e">
        <f t="shared" si="10"/>
        <v>#N/A</v>
      </c>
      <c r="V27" s="1390" t="s">
        <v>5</v>
      </c>
      <c r="W27" s="1391" t="e">
        <f t="shared" si="11"/>
        <v>#N/A</v>
      </c>
      <c r="X27" s="1392"/>
      <c r="Y27" s="387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8"/>
      <c r="Q28" s="1385" t="str">
        <f t="shared" si="8"/>
        <v>物业等级</v>
      </c>
      <c r="R28" s="1386" t="s">
        <v>5</v>
      </c>
      <c r="S28" s="1387">
        <f t="shared" si="9"/>
        <v>100</v>
      </c>
      <c r="T28" s="1386" t="s">
        <v>5</v>
      </c>
      <c r="U28" s="1387">
        <f t="shared" si="10"/>
        <v>100</v>
      </c>
      <c r="V28" s="1386" t="s">
        <v>5</v>
      </c>
      <c r="W28" s="1387">
        <f t="shared" si="11"/>
        <v>100</v>
      </c>
      <c r="X28" s="1380"/>
      <c r="Y28" s="387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8"/>
      <c r="Q29" s="1385" t="str">
        <f t="shared" si="8"/>
        <v>有无电梯</v>
      </c>
      <c r="R29" s="1386" t="s">
        <v>5</v>
      </c>
      <c r="S29" s="1387">
        <f t="shared" si="9"/>
        <v>100</v>
      </c>
      <c r="T29" s="1386" t="s">
        <v>5</v>
      </c>
      <c r="U29" s="1387">
        <f t="shared" si="10"/>
        <v>100</v>
      </c>
      <c r="V29" s="1386" t="s">
        <v>5</v>
      </c>
      <c r="W29" s="1387">
        <f t="shared" si="11"/>
        <v>100</v>
      </c>
      <c r="X29" s="1380"/>
      <c r="Y29" s="387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8"/>
      <c r="Q30" s="1385" t="str">
        <f t="shared" si="8"/>
        <v>建筑面积</v>
      </c>
      <c r="R30" s="1386" t="s">
        <v>5</v>
      </c>
      <c r="S30" s="1387" t="e">
        <f t="shared" si="9"/>
        <v>#N/A</v>
      </c>
      <c r="T30" s="1386" t="s">
        <v>5</v>
      </c>
      <c r="U30" s="1387" t="e">
        <f t="shared" si="10"/>
        <v>#N/A</v>
      </c>
      <c r="V30" s="1386" t="s">
        <v>5</v>
      </c>
      <c r="W30" s="1387" t="e">
        <f t="shared" si="11"/>
        <v>#N/A</v>
      </c>
      <c r="X30" s="1380"/>
      <c r="Y30" s="387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8"/>
      <c r="Q31" s="1050" t="str">
        <f t="shared" si="8"/>
        <v>是否封闭</v>
      </c>
      <c r="R31" s="1381" t="s">
        <v>5</v>
      </c>
      <c r="S31" s="1382">
        <f t="shared" si="9"/>
        <v>100</v>
      </c>
      <c r="T31" s="1381" t="s">
        <v>5</v>
      </c>
      <c r="U31" s="1382">
        <f t="shared" si="10"/>
        <v>100</v>
      </c>
      <c r="V31" s="1381" t="s">
        <v>5</v>
      </c>
      <c r="W31" s="1382">
        <f t="shared" si="11"/>
        <v>100</v>
      </c>
      <c r="X31" s="1383"/>
      <c r="Y31" s="387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8" t="s">
        <v>499</v>
      </c>
      <c r="Q32" s="1385">
        <f t="shared" si="8"/>
        <v>111</v>
      </c>
      <c r="R32" s="1386" t="s">
        <v>5</v>
      </c>
      <c r="S32" s="1387">
        <f t="shared" si="9"/>
        <v>100</v>
      </c>
      <c r="T32" s="1386" t="s">
        <v>5</v>
      </c>
      <c r="U32" s="1387">
        <f t="shared" si="10"/>
        <v>100</v>
      </c>
      <c r="V32" s="1386" t="s">
        <v>5</v>
      </c>
      <c r="W32" s="1387">
        <f t="shared" si="11"/>
        <v>100</v>
      </c>
      <c r="X32" s="1380"/>
      <c r="Y32" s="387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8"/>
      <c r="Q33" s="1385">
        <f t="shared" si="8"/>
        <v>111</v>
      </c>
      <c r="R33" s="1386" t="s">
        <v>5</v>
      </c>
      <c r="S33" s="1387">
        <f t="shared" si="9"/>
        <v>100</v>
      </c>
      <c r="T33" s="1386" t="s">
        <v>5</v>
      </c>
      <c r="U33" s="1387">
        <f t="shared" si="10"/>
        <v>100</v>
      </c>
      <c r="V33" s="1386" t="s">
        <v>5</v>
      </c>
      <c r="W33" s="1387">
        <f t="shared" si="11"/>
        <v>100</v>
      </c>
      <c r="X33" s="1380"/>
      <c r="Y33" s="387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8"/>
      <c r="Q34" s="1385">
        <f t="shared" si="8"/>
        <v>111</v>
      </c>
      <c r="R34" s="1386" t="s">
        <v>5</v>
      </c>
      <c r="S34" s="1387">
        <f t="shared" si="9"/>
        <v>100</v>
      </c>
      <c r="T34" s="1386" t="s">
        <v>5</v>
      </c>
      <c r="U34" s="1387">
        <f t="shared" si="10"/>
        <v>100</v>
      </c>
      <c r="V34" s="1386" t="s">
        <v>5</v>
      </c>
      <c r="W34" s="1387">
        <f t="shared" si="11"/>
        <v>100</v>
      </c>
      <c r="X34" s="1380"/>
      <c r="Y34" s="3878"/>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3" t="str">
        <f>A35</f>
        <v>成交单价（元/平方米）</v>
      </c>
      <c r="Q35" s="3873"/>
      <c r="R35" s="3985">
        <f>E35</f>
        <v>0</v>
      </c>
      <c r="S35" s="3985"/>
      <c r="T35" s="3985">
        <f>G35</f>
        <v>0</v>
      </c>
      <c r="U35" s="3985"/>
      <c r="V35" s="3985">
        <f>I35</f>
        <v>0</v>
      </c>
      <c r="W35" s="3985"/>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3" t="str">
        <f>A36</f>
        <v>比较价格（元/平方米）</v>
      </c>
      <c r="Q36" s="3873"/>
      <c r="R36" s="3985" t="e">
        <f>IF(F1="售价",ROUND(PRODUCT(R35,AA7:AA34),0),ROUND(PRODUCT(R35,AA7:AA34),1))</f>
        <v>#DIV/0!</v>
      </c>
      <c r="S36" s="3985"/>
      <c r="T36" s="3985" t="e">
        <f>IF(F1="售价",ROUND(PRODUCT(T35,AB7:AB34),0),ROUND(PRODUCT(T35,AB7:AB34),1))</f>
        <v>#DIV/0!</v>
      </c>
      <c r="U36" s="3985"/>
      <c r="V36" s="3985" t="e">
        <f>IF(F1="售价",ROUND(PRODUCT(V35,AC7:AC34),0),ROUND(PRODUCT(V35,AC7:AC34),1))</f>
        <v>#DIV/0!</v>
      </c>
      <c r="W36" s="3985"/>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9" t="str">
        <f>A37</f>
        <v>估价对象XX用房的比较价格（楼面单价，元/平方米）</v>
      </c>
      <c r="Q37" s="3880"/>
      <c r="R37" s="3984" t="e">
        <f>IF(F1="售价",ROUND(IF(D36="简单平均",AVERAGE(R36:W36),R36*F36+T36*H36+V36*J36),0),ROUND(IF(D36="简单平均",AVERAGE(R36:V36),R36*F36+T36*H36+V36*J36),1))</f>
        <v>#DIV/0!</v>
      </c>
      <c r="S37" s="3984"/>
      <c r="T37" s="3984"/>
      <c r="U37" s="3984"/>
      <c r="V37" s="3984"/>
      <c r="W37" s="3984"/>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4" t="s">
        <v>1661</v>
      </c>
      <c r="D1" s="3995"/>
      <c r="E1" s="3995"/>
      <c r="F1" s="3995"/>
      <c r="G1" s="3995"/>
      <c r="H1" s="3995"/>
      <c r="I1" s="3995"/>
      <c r="J1" s="3995"/>
      <c r="K1" s="3995"/>
      <c r="L1" s="3995"/>
      <c r="M1" s="3995"/>
      <c r="N1" s="3995"/>
      <c r="O1" s="3995"/>
      <c r="P1" s="3995"/>
      <c r="Q1" s="3995"/>
      <c r="R1" s="3995"/>
      <c r="S1" s="3996"/>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1" t="s">
        <v>14</v>
      </c>
      <c r="D22" s="3992"/>
      <c r="E22" s="3992"/>
      <c r="F22" s="3992"/>
      <c r="G22" s="3992"/>
      <c r="H22" s="3992"/>
      <c r="I22" s="3992"/>
      <c r="J22" s="3992"/>
      <c r="K22" s="3992"/>
      <c r="L22" s="3992"/>
      <c r="M22" s="3992"/>
      <c r="N22" s="3992"/>
      <c r="O22" s="3992"/>
      <c r="P22" s="3992"/>
      <c r="Q22" s="3993"/>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IF(C1&gt;C13,0,MATCH(C1,C$13:C$115,-1))+IF(SUMIF(C13:C115,C1,D13:D115)=0,13,12)</f>
        <v>73</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45797</v>
      </c>
      <c r="D13" s="2465">
        <v>3</v>
      </c>
      <c r="E13" s="2465">
        <f>D13</f>
        <v>3</v>
      </c>
      <c r="F13" s="2465">
        <f>D13</f>
        <v>3</v>
      </c>
      <c r="G13" s="2465">
        <f>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45586</v>
      </c>
      <c r="D14" s="2469">
        <v>3.1</v>
      </c>
      <c r="E14" s="2469">
        <f>D14</f>
        <v>3.1</v>
      </c>
      <c r="F14" s="2469">
        <f>D14</f>
        <v>3.1</v>
      </c>
      <c r="G14" s="2469">
        <f>D14</f>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45495</v>
      </c>
      <c r="D15" s="2469">
        <v>3.35</v>
      </c>
      <c r="E15" s="2469">
        <f>D15</f>
        <v>3.35</v>
      </c>
      <c r="F15" s="2469">
        <f>D15</f>
        <v>3.35</v>
      </c>
      <c r="G15" s="2469">
        <f>D15</f>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45342</v>
      </c>
      <c r="D16" s="2469">
        <v>3.45</v>
      </c>
      <c r="E16" s="2469">
        <f>D16</f>
        <v>3.45</v>
      </c>
      <c r="F16" s="2469">
        <f>D16</f>
        <v>3.45</v>
      </c>
      <c r="G16" s="2469">
        <f>D16</f>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45159</v>
      </c>
      <c r="D17" s="2469">
        <v>3.45</v>
      </c>
      <c r="E17" s="2469">
        <f>D17</f>
        <v>3.45</v>
      </c>
      <c r="F17" s="2469">
        <f>D17</f>
        <v>3.45</v>
      </c>
      <c r="G17" s="2469">
        <f>D17</f>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45097</v>
      </c>
      <c r="D18" s="2469">
        <v>3.55</v>
      </c>
      <c r="E18" s="2469">
        <f>D18</f>
        <v>3.55</v>
      </c>
      <c r="F18" s="2469">
        <f>D18</f>
        <v>3.55</v>
      </c>
      <c r="G18" s="2469">
        <f>D18</f>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4.25">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6" t="s">
        <v>1556</v>
      </c>
      <c r="B1" s="3686"/>
      <c r="C1" s="3686"/>
      <c r="D1" s="3686"/>
      <c r="E1" s="3686"/>
      <c r="F1" s="3686"/>
      <c r="G1" s="3686"/>
      <c r="H1" s="3686"/>
      <c r="I1" s="3686"/>
      <c r="J1" s="3686"/>
      <c r="K1" s="3686"/>
      <c r="L1" s="3686"/>
      <c r="M1" s="3686"/>
      <c r="N1" s="3686"/>
      <c r="O1" s="3686"/>
      <c r="P1" s="3686"/>
      <c r="Q1" s="3686"/>
      <c r="R1" s="3686"/>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7" t="s">
        <v>1547</v>
      </c>
      <c r="B3" s="3687" t="s">
        <v>2013</v>
      </c>
      <c r="C3" s="3688" t="s">
        <v>1548</v>
      </c>
      <c r="D3" s="3687" t="s">
        <v>2017</v>
      </c>
      <c r="E3" s="3690" t="s">
        <v>1549</v>
      </c>
      <c r="F3" s="3690"/>
      <c r="G3" s="3690"/>
      <c r="H3" s="3690" t="s">
        <v>1550</v>
      </c>
      <c r="I3" s="3690"/>
      <c r="J3" s="3690"/>
      <c r="K3" s="3688" t="s">
        <v>1551</v>
      </c>
      <c r="L3" s="3688" t="s">
        <v>1552</v>
      </c>
      <c r="M3" s="3687" t="s">
        <v>2014</v>
      </c>
      <c r="N3" s="3689" t="str">
        <f>"（分摊）"&amp;项目基本情况!A17&amp;"国有建设用地使用权面积/㎡"</f>
        <v>（分摊）出让国有建设用地使用权面积/㎡</v>
      </c>
      <c r="O3" s="3687" t="s">
        <v>1581</v>
      </c>
      <c r="P3" s="3688" t="s">
        <v>1561</v>
      </c>
      <c r="Q3" s="3688" t="s">
        <v>1582</v>
      </c>
      <c r="R3" s="3688" t="s">
        <v>1553</v>
      </c>
    </row>
    <row r="4" spans="1:18" ht="36.75" customHeight="1">
      <c r="A4" s="3687"/>
      <c r="B4" s="3687"/>
      <c r="C4" s="3688"/>
      <c r="D4" s="3687"/>
      <c r="E4" s="2254" t="s">
        <v>1560</v>
      </c>
      <c r="F4" s="2254" t="s">
        <v>2026</v>
      </c>
      <c r="G4" s="2254" t="s">
        <v>1554</v>
      </c>
      <c r="H4" s="2254" t="s">
        <v>1555</v>
      </c>
      <c r="I4" s="2254" t="s">
        <v>2027</v>
      </c>
      <c r="J4" s="2254" t="s">
        <v>1554</v>
      </c>
      <c r="K4" s="3688"/>
      <c r="L4" s="3688"/>
      <c r="M4" s="3687"/>
      <c r="N4" s="3689"/>
      <c r="O4" s="3687"/>
      <c r="P4" s="3688"/>
      <c r="Q4" s="3688"/>
      <c r="R4" s="3688"/>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1600" t="str">
        <f>结果表!O39</f>
        <v>——</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1600" t="str">
        <f>结果表!O40</f>
        <v>——</v>
      </c>
    </row>
    <row r="8" spans="1:18">
      <c r="A8" s="3683">
        <f>IF(项目基本情况!B9="市场价格","——",项目基本情况!E9)</f>
        <v>0</v>
      </c>
      <c r="B8" s="3684"/>
      <c r="C8" s="3684"/>
      <c r="D8" s="3684"/>
      <c r="E8" s="3684"/>
      <c r="F8" s="3684"/>
      <c r="G8" s="3684"/>
      <c r="H8" s="3684"/>
      <c r="I8" s="3684"/>
      <c r="J8" s="3684"/>
      <c r="K8" s="3684"/>
      <c r="L8" s="3684"/>
      <c r="M8" s="3684"/>
      <c r="N8" s="3684"/>
      <c r="O8" s="3684"/>
      <c r="P8" s="3684"/>
      <c r="Q8" s="3685"/>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1" t="s">
        <v>1583</v>
      </c>
      <c r="B1" s="3691"/>
      <c r="C1" s="3691"/>
      <c r="D1" s="3691"/>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4" t="s">
        <v>1584</v>
      </c>
      <c r="B5" s="3694"/>
      <c r="C5" s="3694"/>
      <c r="D5" s="3694"/>
    </row>
    <row r="6" spans="1:4">
      <c r="A6" s="3691" t="s">
        <v>1562</v>
      </c>
      <c r="B6" s="3691"/>
      <c r="C6" s="3691"/>
      <c r="D6" s="3691"/>
    </row>
    <row r="7" spans="1:4" ht="33" customHeight="1">
      <c r="A7" s="3691" t="s">
        <v>1857</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1"/>
      <c r="C8" s="3691"/>
      <c r="D8" s="3691"/>
    </row>
    <row r="9" spans="1:4" ht="33.75" customHeight="1">
      <c r="A9" s="3691" t="str">
        <f>IF(项目基本情况!B8="抵押","3.抵押双方在办理抵押登记手续时，应使用本公司出具的正式《土地估价报告》，特提请报告使用者注意。","——")</f>
        <v>——</v>
      </c>
      <c r="B9" s="3691"/>
      <c r="C9" s="3691"/>
      <c r="D9" s="3691"/>
    </row>
    <row r="10" spans="1:4">
      <c r="A10" s="3691" t="str">
        <f>IF(项目基本情况!B8="抵押","4.估价师所知悉的法定优先受偿款情况为：","——")</f>
        <v>——</v>
      </c>
      <c r="B10" s="3691"/>
      <c r="C10" s="3691"/>
      <c r="D10" s="3691"/>
    </row>
    <row r="11" spans="1:4" ht="37.5" customHeight="1">
      <c r="A11" s="3693" t="str">
        <f>IF(项目基本情况!B8="抵押","（1）"&amp;CONCATENATE(项目基本情况!L24,项目基本情况!L25,项目基本情况!L26),"——")</f>
        <v>——</v>
      </c>
      <c r="B11" s="3693"/>
      <c r="C11" s="3693"/>
      <c r="D11" s="3693"/>
    </row>
    <row r="12" spans="1:4" ht="168" customHeight="1">
      <c r="A12" s="3694" t="s">
        <v>1586</v>
      </c>
      <c r="B12" s="3694"/>
      <c r="C12" s="3694"/>
      <c r="D12" s="3694"/>
    </row>
    <row r="13" spans="1:4">
      <c r="A13" s="3692" t="s">
        <v>2028</v>
      </c>
      <c r="B13" s="3692"/>
      <c r="C13" s="3692"/>
      <c r="D13" s="3692"/>
    </row>
    <row r="14" spans="1:4">
      <c r="A14" s="3693" t="str">
        <f>IF(项目基本情况!B8="抵押","综上，"&amp;结果表!K47,"——")</f>
        <v>——</v>
      </c>
      <c r="B14" s="3693"/>
      <c r="C14" s="3693"/>
      <c r="D14" s="3693"/>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1984</v>
      </c>
      <c r="B17" s="3691"/>
      <c r="C17" s="3691"/>
      <c r="D17" s="3691"/>
    </row>
    <row r="18" spans="1:4">
      <c r="A18" s="3691" t="s">
        <v>1976</v>
      </c>
      <c r="B18" s="3691"/>
      <c r="C18" s="3691"/>
      <c r="D18" s="369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1" t="s">
        <v>1981</v>
      </c>
      <c r="B23" s="3691"/>
      <c r="C23" s="3691"/>
      <c r="D23" s="369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45797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2751</v>
      </c>
    </row>
    <row r="8" spans="1:23">
      <c r="A8" s="6" t="s">
        <v>75</v>
      </c>
      <c r="B8" s="6" t="s">
        <v>76</v>
      </c>
      <c r="C8" s="1368" t="s">
        <v>1244</v>
      </c>
      <c r="F8" s="7" t="s">
        <v>121</v>
      </c>
      <c r="H8" s="3337" t="s">
        <v>2745</v>
      </c>
      <c r="I8" s="7" t="s">
        <v>2752</v>
      </c>
    </row>
    <row r="9" spans="1:23">
      <c r="A9" s="6" t="s">
        <v>77</v>
      </c>
      <c r="B9" s="6" t="s">
        <v>122</v>
      </c>
      <c r="C9" s="1368" t="s">
        <v>1245</v>
      </c>
      <c r="F9" s="7" t="s">
        <v>78</v>
      </c>
      <c r="H9" s="7"/>
      <c r="I9" s="7" t="s">
        <v>2753</v>
      </c>
    </row>
    <row r="10" spans="1:23">
      <c r="A10" s="6" t="s">
        <v>79</v>
      </c>
      <c r="B10" s="6" t="s">
        <v>123</v>
      </c>
      <c r="C10" s="1368" t="s">
        <v>1246</v>
      </c>
      <c r="F10" s="3337" t="s">
        <v>2744</v>
      </c>
      <c r="I10" s="7" t="s">
        <v>2754</v>
      </c>
    </row>
    <row r="11" spans="1:23">
      <c r="A11" s="6" t="s">
        <v>80</v>
      </c>
      <c r="B11" s="6" t="s">
        <v>124</v>
      </c>
      <c r="C11" s="1368" t="s">
        <v>1247</v>
      </c>
      <c r="I11" s="7" t="s">
        <v>2755</v>
      </c>
    </row>
    <row r="12" spans="1:23">
      <c r="A12" s="6" t="s">
        <v>81</v>
      </c>
      <c r="B12" s="6" t="s">
        <v>125</v>
      </c>
      <c r="C12" s="1368" t="s">
        <v>1248</v>
      </c>
      <c r="I12" s="7" t="s">
        <v>2756</v>
      </c>
    </row>
    <row r="13" spans="1:23">
      <c r="A13" s="6" t="s">
        <v>82</v>
      </c>
      <c r="B13" s="6" t="s">
        <v>126</v>
      </c>
      <c r="C13" s="1368" t="s">
        <v>1249</v>
      </c>
      <c r="I13" s="7" t="s">
        <v>2757</v>
      </c>
    </row>
    <row r="14" spans="1:23">
      <c r="A14" s="6" t="s">
        <v>83</v>
      </c>
      <c r="B14" s="6" t="s">
        <v>127</v>
      </c>
      <c r="C14" s="1371" t="s">
        <v>1421</v>
      </c>
      <c r="I14" s="7" t="s">
        <v>2758</v>
      </c>
    </row>
    <row r="15" spans="1:23">
      <c r="A15" s="6" t="s">
        <v>84</v>
      </c>
      <c r="B15" s="6" t="s">
        <v>1214</v>
      </c>
      <c r="C15" s="1371"/>
      <c r="I15" s="7" t="s">
        <v>2759</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2025-05-20T02:15:22Z</dcterms:modified>
</cp:coreProperties>
</file>