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745" yWindow="60" windowWidth="14100" windowHeight="12300" tabRatio="875" firstSheet="6"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r:id="rId19"/>
    <sheet name="比较法-住宅、综合" sheetId="39" r:id="rId20"/>
    <sheet name="比较法-工业" sheetId="40"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r:id="rId29"/>
    <sheet name="基准地价（汇总）" sheetId="67" r:id="rId30"/>
    <sheet name="收益还原法" sheetId="44" r:id="rId31"/>
    <sheet name="不动产收益法" sheetId="15" r:id="rId32"/>
    <sheet name="不动产收益法-酒店模型" sheetId="68" r:id="rId33"/>
    <sheet name="成本逼近法" sheetId="11" r:id="rId34"/>
    <sheet name="不动产比较法-住宅" sheetId="21" r:id="rId35"/>
    <sheet name="不动产比较法-商业" sheetId="33" r:id="rId36"/>
    <sheet name="不动产比较法-办公" sheetId="34" r:id="rId37"/>
    <sheet name="不动产比较法-工业" sheetId="37" r:id="rId38"/>
    <sheet name="不动产比较法-车位" sheetId="35" r:id="rId39"/>
    <sheet name="不动产比较法-仓储" sheetId="36" r:id="rId40"/>
    <sheet name="典型户型修正" sheetId="31" r:id="rId41"/>
    <sheet name="存贷款利率" sheetId="65" r:id="rId42"/>
  </sheets>
  <externalReferences>
    <externalReference r:id="rId43"/>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D77" i="9" l="1"/>
  <c r="E27" i="49" l="1"/>
  <c r="G14" i="65" l="1"/>
  <c r="F14" i="65"/>
  <c r="E14" i="65"/>
  <c r="AP35" i="70" l="1"/>
  <c r="AP36" i="70" s="1"/>
  <c r="AP37" i="70" s="1"/>
  <c r="AP38" i="70" s="1"/>
  <c r="AP39" i="70" s="1"/>
  <c r="AP40" i="70" s="1"/>
  <c r="AP41" i="70" s="1"/>
  <c r="AP42" i="70" s="1"/>
  <c r="AP43" i="70" s="1"/>
  <c r="AP44" i="70" s="1"/>
  <c r="AP45" i="70" s="1"/>
  <c r="AP46" i="70" s="1"/>
  <c r="AP47" i="70" s="1"/>
  <c r="AP48" i="70" s="1"/>
  <c r="AP49" i="70" s="1"/>
  <c r="AP50" i="70" s="1"/>
  <c r="AP51" i="70" s="1"/>
  <c r="AP52" i="70" s="1"/>
  <c r="AO35" i="70"/>
  <c r="AO36" i="70" s="1"/>
  <c r="AO37" i="70" s="1"/>
  <c r="AO38" i="70" s="1"/>
  <c r="AO39" i="70" s="1"/>
  <c r="AO40" i="70" s="1"/>
  <c r="AO41" i="70" s="1"/>
  <c r="AO42" i="70" s="1"/>
  <c r="AO43" i="70" s="1"/>
  <c r="AO44" i="70" s="1"/>
  <c r="AO45" i="70" s="1"/>
  <c r="AO46" i="70" s="1"/>
  <c r="AO47" i="70" s="1"/>
  <c r="AO48" i="70" s="1"/>
  <c r="AO49" i="70" s="1"/>
  <c r="AO50" i="70" s="1"/>
  <c r="AO51" i="70" s="1"/>
  <c r="AO52" i="70" s="1"/>
  <c r="AN35" i="70"/>
  <c r="AN36" i="70" s="1"/>
  <c r="AN37" i="70" s="1"/>
  <c r="AN38" i="70" s="1"/>
  <c r="AN39" i="70" s="1"/>
  <c r="AN40" i="70" s="1"/>
  <c r="AN41" i="70" s="1"/>
  <c r="AN42" i="70" s="1"/>
  <c r="AN43" i="70" s="1"/>
  <c r="AN44" i="70" s="1"/>
  <c r="AN45" i="70" s="1"/>
  <c r="AN46" i="70" s="1"/>
  <c r="AN47" i="70" s="1"/>
  <c r="AN48" i="70" s="1"/>
  <c r="AN49" i="70" s="1"/>
  <c r="AN50" i="70" s="1"/>
  <c r="AN51" i="70" s="1"/>
  <c r="AN52" i="70" s="1"/>
  <c r="AR34" i="70"/>
  <c r="AP34" i="70"/>
  <c r="AO34" i="70"/>
  <c r="AN34" i="70"/>
  <c r="AR6" i="70"/>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7" i="70"/>
  <c r="AM8" i="70" s="1"/>
  <c r="AM9" i="70" s="1"/>
  <c r="AM10" i="70" s="1"/>
  <c r="AM11" i="70" s="1"/>
  <c r="AM12" i="70" s="1"/>
  <c r="AM13" i="70" s="1"/>
  <c r="AM14" i="70" s="1"/>
  <c r="AM15" i="70" s="1"/>
  <c r="AM16" i="70" s="1"/>
  <c r="AM17" i="70" s="1"/>
  <c r="AM18" i="70" s="1"/>
  <c r="AM19" i="70" s="1"/>
  <c r="AM20" i="70" s="1"/>
  <c r="AM21" i="70" s="1"/>
  <c r="AM22" i="70" s="1"/>
  <c r="AM23" i="70" s="1"/>
  <c r="AM24" i="70" s="1"/>
  <c r="AM6" i="70"/>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D35"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AR7" i="70" s="1"/>
  <c r="AC7" i="70"/>
  <c r="AB7" i="70"/>
  <c r="AA7" i="70"/>
  <c r="AD7" i="70" s="1"/>
  <c r="Z7" i="70"/>
  <c r="Y7" i="70"/>
  <c r="O7" i="70"/>
  <c r="N7" i="70"/>
  <c r="M7" i="70"/>
  <c r="P7" i="70" s="1"/>
  <c r="L7" i="70"/>
  <c r="K7" i="70"/>
  <c r="I7" i="70"/>
  <c r="AR35" i="70" l="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D56" i="69"/>
  <c r="D58" i="69" s="1"/>
  <c r="D62" i="69" s="1"/>
  <c r="C62" i="69" s="1"/>
  <c r="G15" i="65"/>
  <c r="F15" i="65"/>
  <c r="E15" i="65"/>
  <c r="AB36" i="70" l="1"/>
  <c r="AA36" i="70"/>
  <c r="Z36" i="70"/>
  <c r="N36" i="70"/>
  <c r="M36" i="70"/>
  <c r="P36" i="70" s="1"/>
  <c r="L36" i="70"/>
  <c r="I36" i="70"/>
  <c r="AB37" i="70"/>
  <c r="AA37" i="70"/>
  <c r="Z37" i="70"/>
  <c r="N37" i="70"/>
  <c r="M37" i="70"/>
  <c r="L37" i="70"/>
  <c r="I37" i="70"/>
  <c r="AD37" i="70" s="1"/>
  <c r="AC8" i="70"/>
  <c r="AB8" i="70"/>
  <c r="AA8" i="70"/>
  <c r="AD8" i="70" s="1"/>
  <c r="Z8" i="70"/>
  <c r="Y8" i="70"/>
  <c r="O8" i="70"/>
  <c r="N8" i="70"/>
  <c r="M8" i="70"/>
  <c r="P8" i="70" s="1"/>
  <c r="L8" i="70"/>
  <c r="K8" i="70"/>
  <c r="I8" i="70"/>
  <c r="AR9" i="70" s="1"/>
  <c r="AR10" i="70" s="1"/>
  <c r="AR11" i="70" s="1"/>
  <c r="AR12" i="70" s="1"/>
  <c r="AR13" i="70" s="1"/>
  <c r="AR14" i="70" s="1"/>
  <c r="AR15" i="70" s="1"/>
  <c r="AR16" i="70" s="1"/>
  <c r="AR17" i="70" s="1"/>
  <c r="AR18" i="70" s="1"/>
  <c r="AR19" i="70" s="1"/>
  <c r="AR20" i="70" s="1"/>
  <c r="AR21" i="70" s="1"/>
  <c r="AR22" i="70" s="1"/>
  <c r="AR23" i="70" s="1"/>
  <c r="AR24" i="70" s="1"/>
  <c r="AC9" i="70"/>
  <c r="AB9" i="70"/>
  <c r="AA9" i="70"/>
  <c r="AD9" i="70" s="1"/>
  <c r="Z9" i="70"/>
  <c r="Y9" i="70"/>
  <c r="O9" i="70"/>
  <c r="N9" i="70"/>
  <c r="M9" i="70"/>
  <c r="P9" i="70" s="1"/>
  <c r="L9" i="70"/>
  <c r="K9" i="70"/>
  <c r="I9" i="70"/>
  <c r="AD36" i="70" l="1"/>
  <c r="AR37" i="70"/>
  <c r="AR38" i="70" s="1"/>
  <c r="AR39" i="70" s="1"/>
  <c r="AR40" i="70" s="1"/>
  <c r="AR41" i="70" s="1"/>
  <c r="AR42" i="70" s="1"/>
  <c r="AR43" i="70" s="1"/>
  <c r="AR44" i="70" s="1"/>
  <c r="AR45" i="70" s="1"/>
  <c r="AR46" i="70" s="1"/>
  <c r="AR47" i="70" s="1"/>
  <c r="AR48" i="70" s="1"/>
  <c r="AR49" i="70" s="1"/>
  <c r="AR50" i="70" s="1"/>
  <c r="AR51" i="70" s="1"/>
  <c r="AR52" i="70" s="1"/>
  <c r="P37" i="70"/>
  <c r="T34" i="70"/>
  <c r="T33" i="70"/>
  <c r="T35" i="70"/>
  <c r="U35" i="70"/>
  <c r="AI35" i="70" s="1"/>
  <c r="U33" i="70"/>
  <c r="AI33" i="70" s="1"/>
  <c r="U34" i="70"/>
  <c r="AI34" i="70" s="1"/>
  <c r="S35" i="70"/>
  <c r="AG35" i="70" s="1"/>
  <c r="S33" i="70"/>
  <c r="AG33" i="70" s="1"/>
  <c r="S34" i="70"/>
  <c r="AG34" i="70" s="1"/>
  <c r="G16" i="65"/>
  <c r="F16" i="65"/>
  <c r="E16" i="65"/>
  <c r="G13" i="65"/>
  <c r="F13" i="65"/>
  <c r="E13" i="65"/>
  <c r="G17" i="65"/>
  <c r="F17" i="65"/>
  <c r="E17" i="65"/>
  <c r="W34" i="70" l="1"/>
  <c r="AK34" i="70" s="1"/>
  <c r="AH34" i="70"/>
  <c r="W35" i="70"/>
  <c r="AK35" i="70" s="1"/>
  <c r="AH35" i="70"/>
  <c r="W33" i="70"/>
  <c r="AK33" i="70" s="1"/>
  <c r="AH33" i="70"/>
  <c r="AB38" i="70"/>
  <c r="AA38" i="70"/>
  <c r="Z38" i="70"/>
  <c r="N38" i="70"/>
  <c r="M38" i="70"/>
  <c r="P38" i="70" s="1"/>
  <c r="L38" i="70"/>
  <c r="I38" i="70"/>
  <c r="AD38" i="70" s="1"/>
  <c r="AC10" i="70"/>
  <c r="AB10" i="70"/>
  <c r="AA10" i="70"/>
  <c r="AD10" i="70" s="1"/>
  <c r="Z10" i="70"/>
  <c r="Y10" i="70"/>
  <c r="O10" i="70"/>
  <c r="N10" i="70"/>
  <c r="M10" i="70"/>
  <c r="P10" i="70" s="1"/>
  <c r="L10" i="70"/>
  <c r="K10" i="70"/>
  <c r="I10" i="70"/>
  <c r="AB40" i="70" l="1"/>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Z3" i="70" s="1"/>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AD39" i="70" s="1"/>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R5" i="70" l="1"/>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6" i="70" l="1"/>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C15" i="69" s="1"/>
  <c r="F11" i="69"/>
  <c r="C18" i="69" s="1"/>
  <c r="D7" i="69"/>
  <c r="D6" i="69"/>
  <c r="D5" i="69"/>
  <c r="G24" i="69" l="1"/>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64" s="1"/>
  <c r="C55" i="10"/>
  <c r="C54" i="10"/>
  <c r="B49" i="63"/>
  <c r="B44" i="63"/>
  <c r="B40" i="63"/>
  <c r="B30" i="63"/>
  <c r="B27" i="63"/>
  <c r="B25" i="63"/>
  <c r="A11" i="51"/>
  <c r="B10" i="63" s="1"/>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E29" i="59" s="1"/>
  <c r="O29" i="59"/>
  <c r="C29" i="59" s="1"/>
  <c r="N29" i="59"/>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B52"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c r="S45" i="59" s="1"/>
  <c r="D42" i="59"/>
  <c r="Q41" i="59"/>
  <c r="P41" i="59"/>
  <c r="O41" i="59"/>
  <c r="N41" i="59"/>
  <c r="Q40" i="59"/>
  <c r="AB40" i="59"/>
  <c r="P40" i="59"/>
  <c r="O40" i="59"/>
  <c r="Y40" i="59" s="1"/>
  <c r="Z40" i="59" s="1"/>
  <c r="N40" i="59"/>
  <c r="X40" i="59"/>
  <c r="Q39" i="59"/>
  <c r="AB39" i="59" s="1"/>
  <c r="P39" i="59"/>
  <c r="O39" i="59"/>
  <c r="N39" i="59"/>
  <c r="X39" i="59" s="1"/>
  <c r="Q38" i="59"/>
  <c r="AB38" i="59" s="1"/>
  <c r="F39" i="59"/>
  <c r="P38" i="59"/>
  <c r="E39" i="59"/>
  <c r="E40" i="59" s="1"/>
  <c r="E41" i="59"/>
  <c r="U41" i="59" s="1"/>
  <c r="O38" i="59"/>
  <c r="Y38" i="59" s="1"/>
  <c r="Z38" i="59" s="1"/>
  <c r="N38" i="59"/>
  <c r="D38" i="59"/>
  <c r="Q37" i="59"/>
  <c r="AB37" i="59" s="1"/>
  <c r="P37" i="59"/>
  <c r="O37" i="59"/>
  <c r="Y37" i="59" s="1"/>
  <c r="Z37" i="59" s="1"/>
  <c r="N37" i="59"/>
  <c r="Q36" i="59"/>
  <c r="AB36" i="59" s="1"/>
  <c r="P36" i="59"/>
  <c r="O36" i="59"/>
  <c r="Y36" i="59" s="1"/>
  <c r="Z36" i="59" s="1"/>
  <c r="N36" i="59"/>
  <c r="X36" i="59" s="1"/>
  <c r="Q35" i="59"/>
  <c r="AB35" i="59" s="1"/>
  <c r="P35" i="59"/>
  <c r="O35" i="59"/>
  <c r="Y35" i="59" s="1"/>
  <c r="Z35" i="59" s="1"/>
  <c r="N35" i="59"/>
  <c r="X35" i="59" s="1"/>
  <c r="Q34" i="59"/>
  <c r="AB34" i="59" s="1"/>
  <c r="P34" i="59"/>
  <c r="O34" i="59"/>
  <c r="Y34" i="59" s="1"/>
  <c r="Z34" i="59" s="1"/>
  <c r="C35" i="59"/>
  <c r="N34" i="59"/>
  <c r="X34" i="59" s="1"/>
  <c r="B35" i="59"/>
  <c r="B36" i="59" s="1"/>
  <c r="B37" i="59" s="1"/>
  <c r="S37" i="59" s="1"/>
  <c r="D34" i="59"/>
  <c r="Q33" i="59"/>
  <c r="AB33" i="59" s="1"/>
  <c r="P33" i="59"/>
  <c r="AA33" i="59" s="1"/>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Q30" i="59"/>
  <c r="AB30" i="59" s="1"/>
  <c r="F31" i="59"/>
  <c r="P30" i="59"/>
  <c r="AA30" i="59" s="1"/>
  <c r="O30" i="59"/>
  <c r="N30" i="59"/>
  <c r="D30" i="59"/>
  <c r="AA3" i="59"/>
  <c r="AA27" i="59"/>
  <c r="AA29" i="59"/>
  <c r="AB3" i="59"/>
  <c r="AB27" i="59"/>
  <c r="E31" i="59"/>
  <c r="E32" i="59"/>
  <c r="E33" i="59" s="1"/>
  <c r="U33" i="59" s="1"/>
  <c r="B53" i="59"/>
  <c r="S53" i="59" s="1"/>
  <c r="E52" i="59"/>
  <c r="E53" i="59" s="1"/>
  <c r="U53" i="59"/>
  <c r="S69" i="59"/>
  <c r="AA40" i="59"/>
  <c r="F32" i="59"/>
  <c r="F33" i="59"/>
  <c r="V33" i="59" s="1"/>
  <c r="F40" i="59"/>
  <c r="F41" i="59" s="1"/>
  <c r="V41" i="59" s="1"/>
  <c r="F48" i="59"/>
  <c r="F49" i="59" s="1"/>
  <c r="V49" i="59" s="1"/>
  <c r="F57" i="59"/>
  <c r="V57" i="59"/>
  <c r="F60" i="59"/>
  <c r="F61" i="59" s="1"/>
  <c r="V61" i="59" s="1"/>
  <c r="F64" i="59"/>
  <c r="F65" i="59" s="1"/>
  <c r="V65" i="59" s="1"/>
  <c r="C44" i="59"/>
  <c r="C45" i="59" s="1"/>
  <c r="D43" i="59"/>
  <c r="D47" i="59"/>
  <c r="C52" i="59"/>
  <c r="C53" i="59" s="1"/>
  <c r="D51" i="59"/>
  <c r="C56" i="59"/>
  <c r="D55" i="59"/>
  <c r="C60" i="59"/>
  <c r="D60" i="59" s="1"/>
  <c r="D59" i="59"/>
  <c r="C64" i="59"/>
  <c r="D63" i="59"/>
  <c r="C36" i="59"/>
  <c r="C37" i="59" s="1"/>
  <c r="D35" i="59"/>
  <c r="Q68" i="59"/>
  <c r="T69" i="59"/>
  <c r="O69" i="59"/>
  <c r="D69" i="59"/>
  <c r="C68" i="59"/>
  <c r="D68" i="59" s="1"/>
  <c r="P69" i="59"/>
  <c r="U69" i="59"/>
  <c r="Q69" i="59"/>
  <c r="C72" i="59"/>
  <c r="C71" i="59" s="1"/>
  <c r="D71" i="59" s="1"/>
  <c r="E72" i="59"/>
  <c r="E71" i="59"/>
  <c r="D73" i="59"/>
  <c r="C76" i="59"/>
  <c r="D76" i="59" s="1"/>
  <c r="D77" i="59"/>
  <c r="C80" i="59"/>
  <c r="D80" i="59" s="1"/>
  <c r="E80" i="59"/>
  <c r="E79" i="59"/>
  <c r="D81" i="59"/>
  <c r="C84" i="59"/>
  <c r="C88" i="59"/>
  <c r="U16" i="4"/>
  <c r="S16" i="4"/>
  <c r="Q16" i="4"/>
  <c r="O16" i="4"/>
  <c r="M16" i="4"/>
  <c r="K16" i="4"/>
  <c r="D88" i="59"/>
  <c r="C87" i="59"/>
  <c r="D87" i="59" s="1"/>
  <c r="C79" i="59"/>
  <c r="D79" i="59"/>
  <c r="D72" i="59"/>
  <c r="C67" i="59"/>
  <c r="O66" i="59" s="1"/>
  <c r="O68" i="59"/>
  <c r="D84" i="59"/>
  <c r="C83" i="59"/>
  <c r="D83" i="59" s="1"/>
  <c r="C75" i="59"/>
  <c r="D75" i="59"/>
  <c r="D36" i="59"/>
  <c r="C65" i="59"/>
  <c r="D64" i="59"/>
  <c r="C61" i="59"/>
  <c r="T61" i="59" s="1"/>
  <c r="C57" i="59"/>
  <c r="D57" i="59" s="1"/>
  <c r="D56" i="59"/>
  <c r="D52" i="59"/>
  <c r="D61" i="59"/>
  <c r="T57" i="59"/>
  <c r="T65" i="59"/>
  <c r="D65" i="59"/>
  <c r="D67"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s="1"/>
  <c r="C21" i="37"/>
  <c r="E77" i="37"/>
  <c r="F77" i="37" s="1"/>
  <c r="G77" i="37" s="1"/>
  <c r="D77" i="37"/>
  <c r="Z21" i="34"/>
  <c r="Q21" i="34"/>
  <c r="C21" i="34"/>
  <c r="D84" i="34"/>
  <c r="F21" i="34"/>
  <c r="S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S21" i="21"/>
  <c r="S31" i="39"/>
  <c r="C31" i="39"/>
  <c r="B57" i="46"/>
  <c r="B77" i="46"/>
  <c r="E66" i="36"/>
  <c r="H18" i="35"/>
  <c r="J18" i="35"/>
  <c r="H21" i="37"/>
  <c r="J21" i="37"/>
  <c r="E84" i="34"/>
  <c r="F84" i="34"/>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G63" i="3" s="1"/>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A45" i="3" s="1"/>
  <c r="BB45" i="3"/>
  <c r="AX45" i="3"/>
  <c r="AW45" i="3"/>
  <c r="AV45" i="3"/>
  <c r="AC45" i="3"/>
  <c r="G45" i="3" s="1"/>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L180" i="3" s="1"/>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A159" i="3" s="1"/>
  <c r="AZ159" i="3" s="1"/>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c r="R27" i="31"/>
  <c r="R28" i="31"/>
  <c r="S28" i="31"/>
  <c r="R29" i="31"/>
  <c r="R30" i="31"/>
  <c r="S30" i="31"/>
  <c r="R31" i="31"/>
  <c r="R32" i="31"/>
  <c r="S32" i="31" s="1"/>
  <c r="R33" i="31"/>
  <c r="R34" i="31"/>
  <c r="S34" i="31"/>
  <c r="R35" i="31"/>
  <c r="R36" i="31"/>
  <c r="S36" i="31"/>
  <c r="R37" i="31"/>
  <c r="R38" i="31"/>
  <c r="S38" i="31"/>
  <c r="R39" i="31"/>
  <c r="R40" i="31"/>
  <c r="S40" i="31" s="1"/>
  <c r="R41" i="31"/>
  <c r="R42" i="31"/>
  <c r="S42" i="31"/>
  <c r="R43" i="31"/>
  <c r="R44" i="31"/>
  <c r="S44" i="31"/>
  <c r="R45" i="31"/>
  <c r="R46" i="31"/>
  <c r="S46" i="31"/>
  <c r="R47" i="31"/>
  <c r="R48" i="31"/>
  <c r="S48" i="31" s="1"/>
  <c r="R49" i="31"/>
  <c r="R50" i="31"/>
  <c r="S50" i="31"/>
  <c r="R51" i="31"/>
  <c r="R52" i="31"/>
  <c r="S52" i="31"/>
  <c r="R53" i="31"/>
  <c r="R54" i="31"/>
  <c r="S54" i="31"/>
  <c r="R55" i="31"/>
  <c r="R56" i="31"/>
  <c r="S56" i="31" s="1"/>
  <c r="R57" i="31"/>
  <c r="R58" i="31"/>
  <c r="S58" i="31"/>
  <c r="R59" i="31"/>
  <c r="R60" i="31"/>
  <c r="S60" i="31"/>
  <c r="R61" i="31"/>
  <c r="R62" i="31"/>
  <c r="S62" i="31"/>
  <c r="R63" i="31"/>
  <c r="R64" i="31"/>
  <c r="S64" i="31" s="1"/>
  <c r="R65" i="31"/>
  <c r="R66" i="31"/>
  <c r="S66" i="31"/>
  <c r="R67" i="31"/>
  <c r="R68" i="31"/>
  <c r="S68" i="31"/>
  <c r="R69" i="31"/>
  <c r="R70" i="31"/>
  <c r="S70" i="31"/>
  <c r="R71" i="31"/>
  <c r="R72" i="31"/>
  <c r="S72" i="31" s="1"/>
  <c r="R73" i="31"/>
  <c r="R74" i="31"/>
  <c r="S74" i="31"/>
  <c r="R75" i="31"/>
  <c r="R76" i="31"/>
  <c r="S76" i="31"/>
  <c r="R77" i="31"/>
  <c r="R78" i="31"/>
  <c r="S78" i="31"/>
  <c r="R79" i="31"/>
  <c r="R80" i="31"/>
  <c r="S80" i="31" s="1"/>
  <c r="R81" i="31"/>
  <c r="R82" i="31"/>
  <c r="S82" i="31"/>
  <c r="R83" i="31"/>
  <c r="R84" i="31"/>
  <c r="S84" i="31"/>
  <c r="R85" i="31"/>
  <c r="R86" i="31"/>
  <c r="S86" i="31"/>
  <c r="R87" i="31"/>
  <c r="R88" i="31"/>
  <c r="S88" i="31" s="1"/>
  <c r="R89" i="31"/>
  <c r="R90" i="31"/>
  <c r="S90" i="31"/>
  <c r="R91" i="31"/>
  <c r="R92" i="31"/>
  <c r="S92" i="31"/>
  <c r="R93" i="31"/>
  <c r="R94" i="31"/>
  <c r="S94" i="31"/>
  <c r="R95" i="31"/>
  <c r="R96" i="31"/>
  <c r="S96" i="31" s="1"/>
  <c r="R97" i="31"/>
  <c r="R98" i="31"/>
  <c r="S98" i="31"/>
  <c r="R99" i="31"/>
  <c r="R100" i="31"/>
  <c r="S100" i="31"/>
  <c r="R101" i="31"/>
  <c r="R102" i="31"/>
  <c r="S102" i="31"/>
  <c r="R103" i="31"/>
  <c r="R104" i="31"/>
  <c r="S104" i="31" s="1"/>
  <c r="R105" i="31"/>
  <c r="R106" i="31"/>
  <c r="S106" i="31"/>
  <c r="R107" i="31"/>
  <c r="R108" i="31"/>
  <c r="S108" i="31"/>
  <c r="R109" i="31"/>
  <c r="R110" i="31"/>
  <c r="S110" i="31"/>
  <c r="R111" i="31"/>
  <c r="R112" i="31"/>
  <c r="S112" i="31" s="1"/>
  <c r="R113" i="31"/>
  <c r="R114" i="31"/>
  <c r="S114" i="31"/>
  <c r="R115" i="31"/>
  <c r="R116" i="31"/>
  <c r="S116" i="31"/>
  <c r="R117" i="31"/>
  <c r="R118" i="31"/>
  <c r="S118" i="31"/>
  <c r="R119" i="31"/>
  <c r="R120" i="31"/>
  <c r="S120" i="31" s="1"/>
  <c r="R121" i="31"/>
  <c r="R122" i="31"/>
  <c r="S122" i="31"/>
  <c r="R123" i="31"/>
  <c r="R124" i="31"/>
  <c r="S124" i="31"/>
  <c r="R125" i="31"/>
  <c r="R126" i="31"/>
  <c r="S126" i="31"/>
  <c r="R127" i="31"/>
  <c r="R128" i="31"/>
  <c r="S128" i="31" s="1"/>
  <c r="R129" i="31"/>
  <c r="R130" i="31"/>
  <c r="S130" i="31"/>
  <c r="R131" i="31"/>
  <c r="R132" i="31"/>
  <c r="S132" i="31"/>
  <c r="R133" i="31"/>
  <c r="R134" i="31"/>
  <c r="S134" i="31"/>
  <c r="R135" i="31"/>
  <c r="R136" i="31"/>
  <c r="S136" i="31" s="1"/>
  <c r="R137" i="31"/>
  <c r="R138" i="31"/>
  <c r="S138" i="31"/>
  <c r="R139" i="31"/>
  <c r="R140" i="31"/>
  <c r="S140" i="31"/>
  <c r="R141" i="31"/>
  <c r="R142" i="31"/>
  <c r="S142" i="31"/>
  <c r="R143" i="31"/>
  <c r="R144" i="31"/>
  <c r="S144" i="31" s="1"/>
  <c r="R145" i="31"/>
  <c r="R146" i="31"/>
  <c r="S146" i="31"/>
  <c r="R147" i="31"/>
  <c r="R148" i="31"/>
  <c r="S148" i="31"/>
  <c r="R149" i="31"/>
  <c r="R150" i="31"/>
  <c r="S150" i="31"/>
  <c r="R151" i="31"/>
  <c r="R152" i="31"/>
  <c r="S152" i="31" s="1"/>
  <c r="R153" i="31"/>
  <c r="R154" i="31"/>
  <c r="S154" i="31"/>
  <c r="R155" i="31"/>
  <c r="R156" i="31"/>
  <c r="S156" i="31"/>
  <c r="R157" i="31"/>
  <c r="R158" i="31"/>
  <c r="S158" i="31"/>
  <c r="R159" i="31"/>
  <c r="R160" i="31"/>
  <c r="S160" i="31" s="1"/>
  <c r="R161" i="31"/>
  <c r="R162" i="31"/>
  <c r="S162" i="31"/>
  <c r="R163" i="31"/>
  <c r="R164" i="31"/>
  <c r="S164" i="31"/>
  <c r="R165" i="31"/>
  <c r="R166" i="31"/>
  <c r="S166" i="31"/>
  <c r="R167" i="31"/>
  <c r="R168" i="31"/>
  <c r="S168" i="31" s="1"/>
  <c r="R169" i="31"/>
  <c r="R170" i="31"/>
  <c r="S170" i="31"/>
  <c r="R171" i="31"/>
  <c r="R172" i="31"/>
  <c r="S172" i="31"/>
  <c r="R173" i="31"/>
  <c r="R174" i="31"/>
  <c r="S174" i="31"/>
  <c r="R175" i="31"/>
  <c r="R176" i="31"/>
  <c r="S176" i="31" s="1"/>
  <c r="R177" i="31"/>
  <c r="R178" i="31"/>
  <c r="S178" i="31"/>
  <c r="R179" i="31"/>
  <c r="R180" i="31"/>
  <c r="S180" i="31"/>
  <c r="R181" i="31"/>
  <c r="R182" i="31"/>
  <c r="S182" i="31"/>
  <c r="R183" i="31"/>
  <c r="R184" i="31"/>
  <c r="S184" i="31" s="1"/>
  <c r="R185" i="31"/>
  <c r="R186" i="31"/>
  <c r="S186" i="31"/>
  <c r="R187" i="31"/>
  <c r="R188" i="31"/>
  <c r="S188" i="31"/>
  <c r="R189" i="31"/>
  <c r="R190" i="31"/>
  <c r="S190" i="31"/>
  <c r="R191" i="31"/>
  <c r="R192" i="31"/>
  <c r="S192" i="31" s="1"/>
  <c r="R193" i="31"/>
  <c r="R194" i="31"/>
  <c r="S194" i="31"/>
  <c r="R195" i="31"/>
  <c r="R196" i="31"/>
  <c r="S196" i="31"/>
  <c r="R197" i="31"/>
  <c r="R198" i="31"/>
  <c r="S198" i="31"/>
  <c r="R199" i="31"/>
  <c r="R200" i="31"/>
  <c r="S200" i="31" s="1"/>
  <c r="R201" i="31"/>
  <c r="R202" i="31"/>
  <c r="S202" i="31"/>
  <c r="R203" i="31"/>
  <c r="R204" i="31"/>
  <c r="S204" i="31"/>
  <c r="R205" i="31"/>
  <c r="R206" i="31"/>
  <c r="S206" i="31"/>
  <c r="R207" i="31"/>
  <c r="R208" i="31"/>
  <c r="S208" i="31" s="1"/>
  <c r="R209" i="31"/>
  <c r="R210" i="31"/>
  <c r="S210" i="31"/>
  <c r="R211" i="31"/>
  <c r="R212" i="31"/>
  <c r="S212" i="31"/>
  <c r="R213" i="31"/>
  <c r="R214" i="31"/>
  <c r="S214" i="31"/>
  <c r="R215" i="31"/>
  <c r="R216" i="31"/>
  <c r="S216" i="31" s="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c r="R441" i="31"/>
  <c r="R442" i="31"/>
  <c r="S442" i="31"/>
  <c r="R443" i="31"/>
  <c r="R444" i="31"/>
  <c r="S444" i="31" s="1"/>
  <c r="R445" i="31"/>
  <c r="R446" i="31"/>
  <c r="S446" i="31" s="1"/>
  <c r="R447" i="31"/>
  <c r="R448" i="31"/>
  <c r="S448" i="31"/>
  <c r="R449" i="31"/>
  <c r="R450" i="31"/>
  <c r="S450" i="31"/>
  <c r="R451" i="31"/>
  <c r="R452" i="31"/>
  <c r="S452" i="31"/>
  <c r="R453" i="31"/>
  <c r="R454" i="31"/>
  <c r="S454" i="31" s="1"/>
  <c r="R455" i="31"/>
  <c r="R456" i="31"/>
  <c r="S456" i="31"/>
  <c r="R457" i="31"/>
  <c r="R458" i="31"/>
  <c r="S458" i="31"/>
  <c r="R459" i="31"/>
  <c r="R460" i="31"/>
  <c r="S460" i="31" s="1"/>
  <c r="R461" i="31"/>
  <c r="R462" i="31"/>
  <c r="S462" i="31" s="1"/>
  <c r="R463" i="31"/>
  <c r="R464" i="31"/>
  <c r="S464" i="3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c r="R503" i="31"/>
  <c r="R504" i="31"/>
  <c r="S504" i="31" s="1"/>
  <c r="R505" i="31"/>
  <c r="R506" i="31"/>
  <c r="S506" i="31"/>
  <c r="R507" i="31"/>
  <c r="R508" i="31"/>
  <c r="S508" i="31"/>
  <c r="R509" i="31"/>
  <c r="R510" i="31"/>
  <c r="S510" i="31"/>
  <c r="R511" i="31"/>
  <c r="R512" i="31"/>
  <c r="S512" i="31" s="1"/>
  <c r="R513" i="31"/>
  <c r="R514" i="31"/>
  <c r="S514" i="3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c r="I54" i="33"/>
  <c r="J54" i="33" s="1"/>
  <c r="G54" i="33"/>
  <c r="E54" i="33"/>
  <c r="F54" i="33"/>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c r="D113" i="33"/>
  <c r="F37" i="33"/>
  <c r="AA37" i="33" s="1"/>
  <c r="D111" i="33"/>
  <c r="E111" i="33"/>
  <c r="F111" i="33"/>
  <c r="G111" i="33" s="1"/>
  <c r="H111" i="33" s="1"/>
  <c r="I111" i="33" s="1"/>
  <c r="J111" i="33" s="1"/>
  <c r="K111" i="33" s="1"/>
  <c r="L111" i="33" s="1"/>
  <c r="M111" i="33" s="1"/>
  <c r="S515" i="31"/>
  <c r="S517" i="31"/>
  <c r="S519" i="31"/>
  <c r="S521" i="31"/>
  <c r="S523" i="31"/>
  <c r="F41" i="21"/>
  <c r="J41" i="21"/>
  <c r="AC41" i="21"/>
  <c r="H41" i="21"/>
  <c r="U41" i="21" s="1"/>
  <c r="D82" i="39"/>
  <c r="E82" i="39" s="1"/>
  <c r="F82" i="39"/>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c r="J16" i="36"/>
  <c r="D62" i="36"/>
  <c r="E62" i="36" s="1"/>
  <c r="B59" i="36"/>
  <c r="B57" i="36"/>
  <c r="J12" i="36"/>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H9" i="36"/>
  <c r="AB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J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c r="C21" i="20"/>
  <c r="B99" i="46" s="1"/>
  <c r="B76" i="46"/>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s="1"/>
  <c r="F32" i="21"/>
  <c r="F38" i="21"/>
  <c r="S38" i="21"/>
  <c r="F36" i="21"/>
  <c r="S36" i="21" s="1"/>
  <c r="F39" i="21"/>
  <c r="AA39" i="21"/>
  <c r="J40" i="21"/>
  <c r="W40" i="21" s="1"/>
  <c r="H35" i="21"/>
  <c r="AB35" i="21" s="1"/>
  <c r="J8" i="21"/>
  <c r="AC8" i="21" s="1"/>
  <c r="J9" i="21"/>
  <c r="AC9" i="21" s="1"/>
  <c r="H8" i="21"/>
  <c r="H9" i="21"/>
  <c r="AB9" i="21"/>
  <c r="H10" i="21"/>
  <c r="U10" i="21" s="1"/>
  <c r="H39" i="21"/>
  <c r="AB39" i="21"/>
  <c r="J34" i="21"/>
  <c r="W34" i="21" s="1"/>
  <c r="H36" i="21"/>
  <c r="U36" i="21"/>
  <c r="F35" i="21"/>
  <c r="AA35" i="21" s="1"/>
  <c r="J33" i="21"/>
  <c r="W33" i="21"/>
  <c r="H33" i="21"/>
  <c r="U33" i="21" s="1"/>
  <c r="F33" i="21"/>
  <c r="J10" i="21"/>
  <c r="AC10" i="21"/>
  <c r="H26" i="21"/>
  <c r="F19" i="21"/>
  <c r="AA19" i="21"/>
  <c r="H19" i="21"/>
  <c r="AB19" i="21" s="1"/>
  <c r="J19" i="21"/>
  <c r="W19" i="21"/>
  <c r="J12" i="21"/>
  <c r="H12" i="21"/>
  <c r="U12" i="21" s="1"/>
  <c r="J26" i="21"/>
  <c r="W26" i="21"/>
  <c r="F26" i="21"/>
  <c r="AA26" i="21" s="1"/>
  <c r="AB41" i="21"/>
  <c r="S41" i="21"/>
  <c r="AA41" i="21"/>
  <c r="W41" i="21"/>
  <c r="S10" i="39"/>
  <c r="U30" i="37"/>
  <c r="E103" i="37"/>
  <c r="F103" i="37" s="1"/>
  <c r="G103" i="37" s="1"/>
  <c r="H103" i="37" s="1"/>
  <c r="I103" i="37" s="1"/>
  <c r="J103" i="37" s="1"/>
  <c r="K103" i="37" s="1"/>
  <c r="L103" i="37" s="1"/>
  <c r="M103" i="37" s="1"/>
  <c r="F39" i="37"/>
  <c r="S39" i="37"/>
  <c r="W39" i="37"/>
  <c r="F29" i="36"/>
  <c r="AA29" i="36"/>
  <c r="F16" i="36"/>
  <c r="AA16" i="36" s="1"/>
  <c r="U22" i="36"/>
  <c r="W23" i="36"/>
  <c r="W22" i="36"/>
  <c r="U26" i="36"/>
  <c r="AC31" i="36"/>
  <c r="J33" i="36"/>
  <c r="W33" i="36"/>
  <c r="AC27" i="35"/>
  <c r="U31" i="35"/>
  <c r="W36" i="35"/>
  <c r="W24" i="35"/>
  <c r="S31" i="35"/>
  <c r="W31" i="35"/>
  <c r="F36" i="34"/>
  <c r="S36" i="34" s="1"/>
  <c r="W9" i="34"/>
  <c r="S34" i="34"/>
  <c r="W39" i="34"/>
  <c r="H39" i="33"/>
  <c r="AB39" i="33"/>
  <c r="F26" i="33"/>
  <c r="AA26" i="33" s="1"/>
  <c r="U33" i="33"/>
  <c r="W38" i="33"/>
  <c r="S40" i="33"/>
  <c r="S33" i="33"/>
  <c r="W33" i="33"/>
  <c r="U38" i="33"/>
  <c r="S8" i="21"/>
  <c r="H39" i="37"/>
  <c r="AB39" i="37"/>
  <c r="AB27" i="35"/>
  <c r="W10" i="40"/>
  <c r="U11" i="40"/>
  <c r="U36" i="40"/>
  <c r="S40" i="39"/>
  <c r="F11" i="21"/>
  <c r="S11" i="21"/>
  <c r="AC40" i="21"/>
  <c r="AA38" i="21"/>
  <c r="AB36" i="21"/>
  <c r="AC35" i="21"/>
  <c r="C29" i="39"/>
  <c r="C23" i="39"/>
  <c r="U36" i="39"/>
  <c r="H32" i="33"/>
  <c r="AB32" i="33"/>
  <c r="H11" i="21"/>
  <c r="U11" i="21" s="1"/>
  <c r="J11" i="21"/>
  <c r="W11" i="21"/>
  <c r="F85" i="40"/>
  <c r="G85" i="40" s="1"/>
  <c r="U9" i="21"/>
  <c r="J27" i="36"/>
  <c r="W27" i="36" s="1"/>
  <c r="J34" i="36"/>
  <c r="W34" i="36"/>
  <c r="J30" i="35"/>
  <c r="W30" i="35" s="1"/>
  <c r="F22" i="35"/>
  <c r="AA22" i="35"/>
  <c r="H10" i="35"/>
  <c r="U10" i="35" s="1"/>
  <c r="AC24" i="36"/>
  <c r="U29" i="36"/>
  <c r="U24" i="36"/>
  <c r="E85" i="36"/>
  <c r="F85" i="36" s="1"/>
  <c r="G85" i="36" s="1"/>
  <c r="H85" i="36" s="1"/>
  <c r="I85" i="36" s="1"/>
  <c r="J85" i="36" s="1"/>
  <c r="K85" i="36" s="1"/>
  <c r="L85" i="36" s="1"/>
  <c r="M85" i="36" s="1"/>
  <c r="J29" i="36"/>
  <c r="AC29" i="36" s="1"/>
  <c r="F12" i="36"/>
  <c r="S12" i="36"/>
  <c r="F24" i="36"/>
  <c r="AA24" i="36" s="1"/>
  <c r="F34" i="36"/>
  <c r="S34" i="36"/>
  <c r="AB8" i="36"/>
  <c r="H16" i="35"/>
  <c r="U16" i="35"/>
  <c r="H33" i="35"/>
  <c r="AB33" i="35" s="1"/>
  <c r="W8" i="35"/>
  <c r="AC8" i="35"/>
  <c r="F35" i="37"/>
  <c r="E101" i="37"/>
  <c r="F101" i="37" s="1"/>
  <c r="G101" i="37" s="1"/>
  <c r="H101" i="37" s="1"/>
  <c r="I101" i="37" s="1"/>
  <c r="J101" i="37" s="1"/>
  <c r="K101" i="37" s="1"/>
  <c r="L101" i="37" s="1"/>
  <c r="M101" i="37" s="1"/>
  <c r="J34" i="37"/>
  <c r="W34" i="37"/>
  <c r="AA39" i="37"/>
  <c r="H43" i="34"/>
  <c r="U42" i="34"/>
  <c r="E114" i="34"/>
  <c r="H36" i="34"/>
  <c r="U36" i="34" s="1"/>
  <c r="F37" i="34"/>
  <c r="AA37" i="34"/>
  <c r="F33" i="34"/>
  <c r="S33" i="34" s="1"/>
  <c r="AA28" i="34"/>
  <c r="F19" i="34"/>
  <c r="AA19" i="34"/>
  <c r="J10" i="34"/>
  <c r="AC10" i="34" s="1"/>
  <c r="U9" i="34"/>
  <c r="W8" i="34"/>
  <c r="J28" i="34"/>
  <c r="W28" i="34" s="1"/>
  <c r="S38" i="33"/>
  <c r="E113" i="33"/>
  <c r="F113" i="33" s="1"/>
  <c r="G113" i="33" s="1"/>
  <c r="H113" i="33" s="1"/>
  <c r="I113" i="33" s="1"/>
  <c r="J113" i="33" s="1"/>
  <c r="K113" i="33" s="1"/>
  <c r="L113" i="33" s="1"/>
  <c r="M113" i="33" s="1"/>
  <c r="F36" i="33"/>
  <c r="S36" i="33" s="1"/>
  <c r="F19" i="33"/>
  <c r="S19" i="33"/>
  <c r="J19" i="33"/>
  <c r="S10" i="21"/>
  <c r="W40" i="33"/>
  <c r="F125" i="21"/>
  <c r="G125" i="21"/>
  <c r="AB30" i="36"/>
  <c r="AC34" i="36"/>
  <c r="S22" i="35"/>
  <c r="H29" i="35"/>
  <c r="U34" i="37"/>
  <c r="S34" i="37"/>
  <c r="AA34" i="37"/>
  <c r="AC43" i="34"/>
  <c r="AB42" i="34"/>
  <c r="AB40" i="34"/>
  <c r="W36" i="34"/>
  <c r="J19" i="34"/>
  <c r="AC19" i="34" s="1"/>
  <c r="H37" i="33"/>
  <c r="AB37" i="33"/>
  <c r="S37" i="33"/>
  <c r="W43" i="34"/>
  <c r="AC42" i="34"/>
  <c r="W42" i="34"/>
  <c r="AA42" i="34"/>
  <c r="S42" i="34"/>
  <c r="AC38" i="34"/>
  <c r="W38" i="34"/>
  <c r="AA38" i="34"/>
  <c r="S38" i="34"/>
  <c r="J37" i="33"/>
  <c r="W37" i="33"/>
  <c r="J42" i="21"/>
  <c r="AC42" i="21" s="1"/>
  <c r="J44" i="34"/>
  <c r="AC44" i="34" s="1"/>
  <c r="F44" i="34"/>
  <c r="S44" i="34" s="1"/>
  <c r="J10" i="35"/>
  <c r="W10" i="35" s="1"/>
  <c r="AL5" i="3"/>
  <c r="BQ13" i="3"/>
  <c r="BL572" i="3"/>
  <c r="J14" i="21"/>
  <c r="F14" i="21"/>
  <c r="AA14" i="21"/>
  <c r="H14" i="21"/>
  <c r="U14" i="21"/>
  <c r="H28" i="21"/>
  <c r="AB28" i="21"/>
  <c r="F28" i="21"/>
  <c r="J28" i="21"/>
  <c r="AC28" i="21" s="1"/>
  <c r="H30" i="21"/>
  <c r="U30" i="21" s="1"/>
  <c r="F30" i="21"/>
  <c r="S30" i="21" s="1"/>
  <c r="J30" i="21"/>
  <c r="W30" i="21" s="1"/>
  <c r="J44" i="21"/>
  <c r="AC44" i="21"/>
  <c r="H44" i="21"/>
  <c r="U44" i="21"/>
  <c r="F44" i="21"/>
  <c r="AA44" i="21" s="1"/>
  <c r="H46" i="21"/>
  <c r="AB46" i="21"/>
  <c r="J46" i="21"/>
  <c r="W46" i="21" s="1"/>
  <c r="F46" i="21"/>
  <c r="AA46" i="2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U30" i="33"/>
  <c r="J36" i="37"/>
  <c r="AC36" i="37" s="1"/>
  <c r="G105" i="37"/>
  <c r="AB28" i="36"/>
  <c r="AB31" i="21"/>
  <c r="S46" i="21"/>
  <c r="U46" i="21"/>
  <c r="AC30" i="21"/>
  <c r="S28" i="21"/>
  <c r="AA28" i="21"/>
  <c r="AB14" i="21"/>
  <c r="W14" i="21"/>
  <c r="AC14" i="21"/>
  <c r="W42" i="21"/>
  <c r="S46" i="33"/>
  <c r="U36" i="37"/>
  <c r="AC13" i="36"/>
  <c r="AB45"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BA551" i="3"/>
  <c r="AZ551" i="3" s="1"/>
  <c r="BA545" i="3"/>
  <c r="AZ545" i="3" s="1"/>
  <c r="BA543" i="3"/>
  <c r="BA541" i="3"/>
  <c r="AZ541" i="3" s="1"/>
  <c r="BA531" i="3"/>
  <c r="BA521" i="3"/>
  <c r="BA509" i="3"/>
  <c r="BA505" i="3"/>
  <c r="BA501" i="3"/>
  <c r="AZ501" i="3" s="1"/>
  <c r="BA493" i="3"/>
  <c r="AZ493" i="3"/>
  <c r="BA487" i="3"/>
  <c r="BA19" i="3"/>
  <c r="BA566" i="3"/>
  <c r="BA562" i="3"/>
  <c r="BA560" i="3"/>
  <c r="BA558" i="3"/>
  <c r="AZ558" i="3" s="1"/>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AZ540" i="3" s="1"/>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s="1"/>
  <c r="F37" i="37"/>
  <c r="AA37" i="37"/>
  <c r="U23" i="37"/>
  <c r="AC41" i="34"/>
  <c r="F123" i="33"/>
  <c r="G123" i="33"/>
  <c r="H123" i="33" s="1"/>
  <c r="I123" i="33" s="1"/>
  <c r="J123" i="33" s="1"/>
  <c r="K123" i="33" s="1"/>
  <c r="L123" i="33" s="1"/>
  <c r="M123" i="33" s="1"/>
  <c r="H42" i="33"/>
  <c r="U42" i="33"/>
  <c r="J43" i="33"/>
  <c r="AC43" i="33" s="1"/>
  <c r="G79" i="37"/>
  <c r="J23" i="37"/>
  <c r="W23" i="37" s="1"/>
  <c r="F17" i="37"/>
  <c r="AA17" i="37" s="1"/>
  <c r="AB43" i="33"/>
  <c r="D3" i="21"/>
  <c r="AC33" i="36"/>
  <c r="AC12" i="35"/>
  <c r="W23" i="35"/>
  <c r="U39" i="37"/>
  <c r="AC8" i="37"/>
  <c r="S25" i="37"/>
  <c r="AC36" i="34"/>
  <c r="AB8" i="34"/>
  <c r="AC37" i="33"/>
  <c r="AA13" i="33"/>
  <c r="AC45" i="33"/>
  <c r="U19" i="21"/>
  <c r="AC33" i="21"/>
  <c r="AA36" i="21"/>
  <c r="S39" i="33"/>
  <c r="F43" i="33"/>
  <c r="AA43" i="33"/>
  <c r="AA23" i="37"/>
  <c r="AB44" i="33"/>
  <c r="G107" i="37"/>
  <c r="H107" i="37"/>
  <c r="I107" i="37" s="1"/>
  <c r="J107" i="37" s="1"/>
  <c r="K107" i="37" s="1"/>
  <c r="L107" i="37" s="1"/>
  <c r="M107" i="37" s="1"/>
  <c r="AA9" i="21"/>
  <c r="F37" i="21"/>
  <c r="S37" i="21"/>
  <c r="J37" i="21"/>
  <c r="W37" i="21" s="1"/>
  <c r="H19" i="34"/>
  <c r="AB19" i="34"/>
  <c r="J10" i="37"/>
  <c r="AC10" i="37" s="1"/>
  <c r="F36" i="35"/>
  <c r="S36" i="35"/>
  <c r="J9" i="37"/>
  <c r="W9" i="37" s="1"/>
  <c r="H9" i="37"/>
  <c r="U9" i="37"/>
  <c r="F9" i="37"/>
  <c r="S9" i="37" s="1"/>
  <c r="F11" i="37"/>
  <c r="S11" i="37"/>
  <c r="J12" i="37"/>
  <c r="AC12" i="37" s="1"/>
  <c r="H12" i="37"/>
  <c r="AB12" i="37"/>
  <c r="F12" i="37"/>
  <c r="AA12" i="37" s="1"/>
  <c r="H15" i="37"/>
  <c r="U15" i="37"/>
  <c r="E94" i="37"/>
  <c r="F94" i="37" s="1"/>
  <c r="G94" i="37" s="1"/>
  <c r="H94" i="37" s="1"/>
  <c r="I94" i="37" s="1"/>
  <c r="J94" i="37" s="1"/>
  <c r="K94" i="37" s="1"/>
  <c r="L94" i="37" s="1"/>
  <c r="M94" i="37" s="1"/>
  <c r="F31" i="37"/>
  <c r="S31" i="37"/>
  <c r="H31" i="37"/>
  <c r="U31" i="37" s="1"/>
  <c r="AB31" i="37"/>
  <c r="J15" i="37"/>
  <c r="W15" i="37" s="1"/>
  <c r="U12" i="37"/>
  <c r="J11" i="37"/>
  <c r="W11" i="37" s="1"/>
  <c r="E89" i="40"/>
  <c r="F89" i="40" s="1"/>
  <c r="G89" i="40" s="1"/>
  <c r="F21" i="40"/>
  <c r="S21" i="40" s="1"/>
  <c r="J21" i="40"/>
  <c r="AC21" i="40"/>
  <c r="S27" i="31"/>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AZ322" i="3" s="1"/>
  <c r="G323" i="3"/>
  <c r="BL324" i="3"/>
  <c r="BA326" i="3"/>
  <c r="AZ326" i="3"/>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AZ114" i="3" s="1"/>
  <c r="BL115" i="3"/>
  <c r="AZ115" i="3" s="1"/>
  <c r="G116" i="3"/>
  <c r="BA118" i="3"/>
  <c r="BL119" i="3"/>
  <c r="AZ119" i="3"/>
  <c r="G120" i="3"/>
  <c r="BA122" i="3"/>
  <c r="BL123" i="3"/>
  <c r="AZ123" i="3" s="1"/>
  <c r="G124" i="3"/>
  <c r="BA126" i="3"/>
  <c r="BL127" i="3"/>
  <c r="G128" i="3"/>
  <c r="BA130" i="3"/>
  <c r="AZ130" i="3" s="1"/>
  <c r="BL131" i="3"/>
  <c r="AZ131" i="3"/>
  <c r="G132" i="3"/>
  <c r="BA134" i="3"/>
  <c r="BL135" i="3"/>
  <c r="AZ135" i="3" s="1"/>
  <c r="G136" i="3"/>
  <c r="BA138" i="3"/>
  <c r="BL139" i="3"/>
  <c r="AZ139" i="3"/>
  <c r="G140" i="3"/>
  <c r="BA142" i="3"/>
  <c r="BL143" i="3"/>
  <c r="G144" i="3"/>
  <c r="BA146" i="3"/>
  <c r="AZ146" i="3" s="1"/>
  <c r="BL147" i="3"/>
  <c r="AZ147" i="3" s="1"/>
  <c r="G148" i="3"/>
  <c r="BA150" i="3"/>
  <c r="BL151" i="3"/>
  <c r="AZ151" i="3" s="1"/>
  <c r="BA153" i="3"/>
  <c r="BL154" i="3"/>
  <c r="G155" i="3"/>
  <c r="BA157" i="3"/>
  <c r="AZ157" i="3"/>
  <c r="BL158" i="3"/>
  <c r="G159" i="3"/>
  <c r="BA161" i="3"/>
  <c r="BL162" i="3"/>
  <c r="G163" i="3"/>
  <c r="BA165" i="3"/>
  <c r="BL166" i="3"/>
  <c r="G167" i="3"/>
  <c r="BA169" i="3"/>
  <c r="AZ169" i="3"/>
  <c r="BL170" i="3"/>
  <c r="G171" i="3"/>
  <c r="BA173" i="3"/>
  <c r="BL174" i="3"/>
  <c r="AZ174" i="3" s="1"/>
  <c r="G175" i="3"/>
  <c r="BA178" i="3"/>
  <c r="AZ178" i="3"/>
  <c r="BL179" i="3"/>
  <c r="G180" i="3"/>
  <c r="AZ31" i="3"/>
  <c r="AZ35" i="3"/>
  <c r="AZ47" i="3"/>
  <c r="AZ51"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AZ78" i="3"/>
  <c r="AZ82" i="3"/>
  <c r="G491" i="3"/>
  <c r="BA298" i="3"/>
  <c r="AZ298" i="3"/>
  <c r="BA299" i="3"/>
  <c r="AZ299" i="3" s="1"/>
  <c r="BL299" i="3"/>
  <c r="G300" i="3"/>
  <c r="G303" i="3"/>
  <c r="BL304" i="3"/>
  <c r="BA306" i="3"/>
  <c r="AZ306" i="3"/>
  <c r="BA307" i="3"/>
  <c r="BL307" i="3"/>
  <c r="G308" i="3"/>
  <c r="G319" i="3"/>
  <c r="BL320" i="3"/>
  <c r="BA322" i="3"/>
  <c r="BA323" i="3"/>
  <c r="BL323" i="3"/>
  <c r="G324" i="3"/>
  <c r="G327" i="3"/>
  <c r="BL328" i="3"/>
  <c r="BA330" i="3"/>
  <c r="AZ330" i="3" s="1"/>
  <c r="BA331" i="3"/>
  <c r="AZ331" i="3" s="1"/>
  <c r="BL331" i="3"/>
  <c r="G332" i="3"/>
  <c r="G335" i="3"/>
  <c r="BL336" i="3"/>
  <c r="BA338" i="3"/>
  <c r="AZ338" i="3" s="1"/>
  <c r="BA339" i="3"/>
  <c r="AZ339" i="3" s="1"/>
  <c r="BL339" i="3"/>
  <c r="G340" i="3"/>
  <c r="G343" i="3"/>
  <c r="BL344" i="3"/>
  <c r="BA346" i="3"/>
  <c r="AZ346" i="3" s="1"/>
  <c r="BA347" i="3"/>
  <c r="BL347" i="3"/>
  <c r="G348" i="3"/>
  <c r="G351" i="3"/>
  <c r="BL352" i="3"/>
  <c r="BA354" i="3"/>
  <c r="BA355" i="3"/>
  <c r="BL355" i="3"/>
  <c r="G356" i="3"/>
  <c r="AZ127" i="3"/>
  <c r="AZ143" i="3"/>
  <c r="BA358" i="3"/>
  <c r="AZ358" i="3" s="1"/>
  <c r="BA359" i="3"/>
  <c r="BL359" i="3"/>
  <c r="G360" i="3"/>
  <c r="G361" i="3"/>
  <c r="BL362" i="3"/>
  <c r="BA364" i="3"/>
  <c r="BA365" i="3"/>
  <c r="AZ365" i="3"/>
  <c r="BL365" i="3"/>
  <c r="G366" i="3"/>
  <c r="G369" i="3"/>
  <c r="BL370" i="3"/>
  <c r="BA372" i="3"/>
  <c r="BA373" i="3"/>
  <c r="BL373" i="3"/>
  <c r="AZ373" i="3"/>
  <c r="G374" i="3"/>
  <c r="G377" i="3"/>
  <c r="BL378" i="3"/>
  <c r="BA380" i="3"/>
  <c r="AZ380" i="3" s="1"/>
  <c r="BA381" i="3"/>
  <c r="AZ381" i="3" s="1"/>
  <c r="BL381" i="3"/>
  <c r="G382" i="3"/>
  <c r="G385" i="3"/>
  <c r="AZ162" i="3"/>
  <c r="AZ166" i="3"/>
  <c r="AZ170" i="3"/>
  <c r="AZ203" i="3"/>
  <c r="G523" i="3"/>
  <c r="BL297" i="3"/>
  <c r="AZ297" i="3"/>
  <c r="G298" i="3"/>
  <c r="BA300" i="3"/>
  <c r="BL301" i="3"/>
  <c r="AZ301" i="3"/>
  <c r="G302" i="3"/>
  <c r="BA304" i="3"/>
  <c r="BL305" i="3"/>
  <c r="AZ305" i="3" s="1"/>
  <c r="G306" i="3"/>
  <c r="BA308" i="3"/>
  <c r="AZ308" i="3" s="1"/>
  <c r="BL309" i="3"/>
  <c r="G310" i="3"/>
  <c r="BA310" i="3"/>
  <c r="BL311" i="3"/>
  <c r="G312" i="3"/>
  <c r="BA312" i="3"/>
  <c r="AZ312" i="3" s="1"/>
  <c r="BL313" i="3"/>
  <c r="G314" i="3"/>
  <c r="BA314" i="3"/>
  <c r="BL315" i="3"/>
  <c r="G316" i="3"/>
  <c r="BA316" i="3"/>
  <c r="AZ316" i="3" s="1"/>
  <c r="BL317" i="3"/>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BL341" i="3"/>
  <c r="AZ341" i="3" s="1"/>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AZ353" i="3"/>
  <c r="AZ363" i="3"/>
  <c r="G368" i="3"/>
  <c r="BA370" i="3"/>
  <c r="BL371" i="3"/>
  <c r="G372" i="3"/>
  <c r="BA374" i="3"/>
  <c r="AZ374" i="3" s="1"/>
  <c r="BL375" i="3"/>
  <c r="G376" i="3"/>
  <c r="BA378" i="3"/>
  <c r="AZ378" i="3" s="1"/>
  <c r="BL379" i="3"/>
  <c r="AZ379" i="3"/>
  <c r="G380" i="3"/>
  <c r="BA382" i="3"/>
  <c r="BL383" i="3"/>
  <c r="AZ383" i="3" s="1"/>
  <c r="G384" i="3"/>
  <c r="AZ311" i="3"/>
  <c r="AZ315" i="3"/>
  <c r="AZ347"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W25" i="35"/>
  <c r="AZ300" i="3"/>
  <c r="AZ354" i="3"/>
  <c r="H13" i="39"/>
  <c r="AB13" i="39" s="1"/>
  <c r="F13" i="39"/>
  <c r="J13" i="39"/>
  <c r="AC13" i="39" s="1"/>
  <c r="AA36" i="35"/>
  <c r="H11" i="37"/>
  <c r="AB11" i="37"/>
  <c r="W37" i="37"/>
  <c r="AA30" i="33"/>
  <c r="AA36" i="37"/>
  <c r="S42" i="33"/>
  <c r="U32" i="33"/>
  <c r="AB17" i="37"/>
  <c r="AZ508" i="3"/>
  <c r="AC29" i="33"/>
  <c r="AA45" i="33"/>
  <c r="AC11"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H35" i="37"/>
  <c r="AB35" i="37" s="1"/>
  <c r="S26" i="21"/>
  <c r="AB12" i="21"/>
  <c r="H32" i="21"/>
  <c r="U32" i="21" s="1"/>
  <c r="AB26" i="21"/>
  <c r="U26" i="21"/>
  <c r="AA33" i="21"/>
  <c r="S33" i="21"/>
  <c r="U39" i="21"/>
  <c r="W9" i="21"/>
  <c r="J32" i="21"/>
  <c r="AC32" i="21" s="1"/>
  <c r="AC5" i="3"/>
  <c r="F17" i="21"/>
  <c r="S17" i="21" s="1"/>
  <c r="H17" i="21"/>
  <c r="AB17" i="21"/>
  <c r="J17" i="21"/>
  <c r="AC17" i="21" s="1"/>
  <c r="H37" i="21"/>
  <c r="U37" i="2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c r="J32" i="33"/>
  <c r="AC32" i="33" s="1"/>
  <c r="F35" i="33"/>
  <c r="AA35" i="33"/>
  <c r="AB39" i="34"/>
  <c r="F11" i="34"/>
  <c r="S11" i="34"/>
  <c r="E80" i="34"/>
  <c r="F80" i="34" s="1"/>
  <c r="H17" i="34"/>
  <c r="AB17" i="34"/>
  <c r="AC27" i="34"/>
  <c r="W27" i="34"/>
  <c r="AB28" i="35"/>
  <c r="U28" i="35"/>
  <c r="J13" i="33"/>
  <c r="W13" i="33" s="1"/>
  <c r="H13" i="33"/>
  <c r="U13" i="33"/>
  <c r="H29" i="33"/>
  <c r="AB29" i="33" s="1"/>
  <c r="F29" i="33"/>
  <c r="AA29" i="33"/>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AB46" i="34" s="1"/>
  <c r="F46" i="34"/>
  <c r="AA46" i="34"/>
  <c r="J46" i="34"/>
  <c r="AC46" i="34" s="1"/>
  <c r="H11" i="35"/>
  <c r="J11" i="35"/>
  <c r="AC11" i="35" s="1"/>
  <c r="F96" i="37"/>
  <c r="H32" i="37"/>
  <c r="AB32" i="37"/>
  <c r="F19" i="39"/>
  <c r="S19" i="39" s="1"/>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c r="K94" i="35" s="1"/>
  <c r="L94" i="35" s="1"/>
  <c r="M94" i="35" s="1"/>
  <c r="J32" i="35"/>
  <c r="AC32" i="35" s="1"/>
  <c r="H11" i="36"/>
  <c r="AB11" i="36"/>
  <c r="F11" i="36"/>
  <c r="S11" i="36" s="1"/>
  <c r="W16" i="36"/>
  <c r="AC16" i="36"/>
  <c r="E78" i="36"/>
  <c r="F78" i="36" s="1"/>
  <c r="G78" i="36" s="1"/>
  <c r="H78" i="36" s="1"/>
  <c r="I78" i="36"/>
  <c r="J78" i="36" s="1"/>
  <c r="K78" i="36" s="1"/>
  <c r="L78" i="36" s="1"/>
  <c r="M78" i="36"/>
  <c r="F26" i="36"/>
  <c r="S26" i="36" s="1"/>
  <c r="U34" i="36"/>
  <c r="AB34" i="36"/>
  <c r="H33" i="36"/>
  <c r="U33" i="36" s="1"/>
  <c r="F33" i="36"/>
  <c r="AA33" i="36"/>
  <c r="H27" i="36"/>
  <c r="AB27" i="36" s="1"/>
  <c r="AA31" i="36"/>
  <c r="AC25" i="37"/>
  <c r="AC26" i="37"/>
  <c r="W26" i="37"/>
  <c r="AB29" i="37"/>
  <c r="AA30" i="37"/>
  <c r="S30" i="37"/>
  <c r="AC30" i="37"/>
  <c r="AC31" i="37"/>
  <c r="W31" i="37"/>
  <c r="AB14" i="37"/>
  <c r="F17" i="39"/>
  <c r="AA17" i="39"/>
  <c r="H17" i="39"/>
  <c r="U17" i="39" s="1"/>
  <c r="J17" i="39"/>
  <c r="W17" i="39" s="1"/>
  <c r="F21" i="39"/>
  <c r="S21" i="39" s="1"/>
  <c r="H21" i="39"/>
  <c r="J21" i="39"/>
  <c r="W21" i="39" s="1"/>
  <c r="F33" i="39"/>
  <c r="H33" i="39"/>
  <c r="U33" i="39" s="1"/>
  <c r="J33" i="39"/>
  <c r="F44" i="39"/>
  <c r="S44" i="39"/>
  <c r="H44" i="39"/>
  <c r="U44" i="39" s="1"/>
  <c r="J44" i="39"/>
  <c r="W44" i="39"/>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c r="J34" i="39"/>
  <c r="AC34" i="39" s="1"/>
  <c r="F39" i="39"/>
  <c r="H39" i="39"/>
  <c r="AB39" i="39" s="1"/>
  <c r="J39" i="39"/>
  <c r="J29" i="35"/>
  <c r="AC29" i="35"/>
  <c r="F29" i="35"/>
  <c r="S29" i="35" s="1"/>
  <c r="W30" i="36"/>
  <c r="AC30" i="36"/>
  <c r="F37" i="39"/>
  <c r="S37" i="39" s="1"/>
  <c r="H37" i="39"/>
  <c r="U37" i="39"/>
  <c r="J37" i="39"/>
  <c r="W37" i="39" s="1"/>
  <c r="BL568" i="3"/>
  <c r="BA568" i="3"/>
  <c r="AZ568" i="3"/>
  <c r="BL567" i="3"/>
  <c r="BA567" i="3"/>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BA538" i="3"/>
  <c r="AZ538" i="3"/>
  <c r="BL537" i="3"/>
  <c r="BA537" i="3"/>
  <c r="BL536" i="3"/>
  <c r="AZ536" i="3"/>
  <c r="BA535" i="3"/>
  <c r="AZ535" i="3" s="1"/>
  <c r="BA534" i="3"/>
  <c r="BA533" i="3"/>
  <c r="AZ533" i="3" s="1"/>
  <c r="BL531" i="3"/>
  <c r="AZ531" i="3"/>
  <c r="BL530" i="3"/>
  <c r="BA530" i="3"/>
  <c r="BL529" i="3"/>
  <c r="BA529" i="3"/>
  <c r="AZ529" i="3" s="1"/>
  <c r="BL528" i="3"/>
  <c r="AZ528" i="3" s="1"/>
  <c r="BA527" i="3"/>
  <c r="AZ527" i="3"/>
  <c r="BA526" i="3"/>
  <c r="BA525" i="3"/>
  <c r="AZ525" i="3" s="1"/>
  <c r="BL523" i="3"/>
  <c r="BA523" i="3"/>
  <c r="AZ523" i="3" s="1"/>
  <c r="BL522" i="3"/>
  <c r="AZ522" i="3" s="1"/>
  <c r="BA522" i="3"/>
  <c r="BL521" i="3"/>
  <c r="AZ521" i="3" s="1"/>
  <c r="BA519" i="3"/>
  <c r="AZ519" i="3"/>
  <c r="BL518" i="3"/>
  <c r="BA518" i="3"/>
  <c r="BL517" i="3"/>
  <c r="BA517" i="3"/>
  <c r="AZ517" i="3"/>
  <c r="BL515" i="3"/>
  <c r="BA515" i="3"/>
  <c r="BA514" i="3"/>
  <c r="BL513" i="3"/>
  <c r="BA513" i="3"/>
  <c r="BL512" i="3"/>
  <c r="AZ512" i="3" s="1"/>
  <c r="BA511" i="3"/>
  <c r="AZ511" i="3" s="1"/>
  <c r="BA510" i="3"/>
  <c r="AZ510" i="3" s="1"/>
  <c r="BL509" i="3"/>
  <c r="AZ509" i="3" s="1"/>
  <c r="BL507" i="3"/>
  <c r="BA507" i="3"/>
  <c r="AZ507" i="3"/>
  <c r="BL506" i="3"/>
  <c r="BA506" i="3"/>
  <c r="BL505" i="3"/>
  <c r="AZ505" i="3" s="1"/>
  <c r="BL504" i="3"/>
  <c r="AZ504" i="3" s="1"/>
  <c r="BA504" i="3"/>
  <c r="BA503" i="3"/>
  <c r="AZ503" i="3" s="1"/>
  <c r="BA500" i="3"/>
  <c r="AZ500" i="3" s="1"/>
  <c r="BL499" i="3"/>
  <c r="BA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c r="AA36" i="34"/>
  <c r="AC12" i="21"/>
  <c r="W12" i="21"/>
  <c r="AB33" i="21"/>
  <c r="S35" i="21"/>
  <c r="AB10" i="21"/>
  <c r="U8" i="21"/>
  <c r="AB8" i="21"/>
  <c r="S34" i="21"/>
  <c r="AC36" i="21"/>
  <c r="AB8" i="33"/>
  <c r="U8" i="33"/>
  <c r="E106" i="33"/>
  <c r="H34" i="33"/>
  <c r="U34" i="33"/>
  <c r="F34" i="33"/>
  <c r="S34" i="33" s="1"/>
  <c r="E121" i="33"/>
  <c r="F41" i="33"/>
  <c r="S41" i="33"/>
  <c r="AC34" i="34"/>
  <c r="W34" i="34"/>
  <c r="AA39" i="34"/>
  <c r="S39" i="34"/>
  <c r="S43" i="34"/>
  <c r="E78" i="34"/>
  <c r="F15" i="34"/>
  <c r="AC28" i="35"/>
  <c r="W28" i="35"/>
  <c r="J20" i="35"/>
  <c r="AC20" i="35"/>
  <c r="E72" i="35"/>
  <c r="F72" i="35" s="1"/>
  <c r="G72" i="35" s="1"/>
  <c r="H22" i="35"/>
  <c r="AB22" i="35"/>
  <c r="H23" i="35"/>
  <c r="F23" i="35"/>
  <c r="AA23" i="35"/>
  <c r="AB36" i="35"/>
  <c r="U36" i="35"/>
  <c r="W12" i="36"/>
  <c r="AC12" i="36"/>
  <c r="U31" i="36"/>
  <c r="S8" i="37"/>
  <c r="AA8" i="37"/>
  <c r="F14" i="39"/>
  <c r="AA14" i="39"/>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F91" i="40"/>
  <c r="H23" i="40"/>
  <c r="U23" i="40"/>
  <c r="H41" i="40"/>
  <c r="AB41" i="40"/>
  <c r="F41" i="40"/>
  <c r="AA41" i="40"/>
  <c r="J41" i="40"/>
  <c r="AC41" i="40" s="1"/>
  <c r="H36" i="33"/>
  <c r="AB36" i="33" s="1"/>
  <c r="H37" i="34"/>
  <c r="F15" i="39"/>
  <c r="AA15" i="39" s="1"/>
  <c r="H15" i="39"/>
  <c r="U15" i="39"/>
  <c r="J15" i="39"/>
  <c r="AC15" i="39" s="1"/>
  <c r="H25" i="39"/>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J42" i="40"/>
  <c r="AC42" i="40" s="1"/>
  <c r="J40" i="40"/>
  <c r="W40" i="40" s="1"/>
  <c r="AC40" i="40"/>
  <c r="J34" i="40"/>
  <c r="AC34" i="40" s="1"/>
  <c r="H16" i="40"/>
  <c r="AB16" i="40" s="1"/>
  <c r="H14" i="40"/>
  <c r="U14" i="40" s="1"/>
  <c r="F32" i="40"/>
  <c r="AA32" i="40"/>
  <c r="F61" i="46"/>
  <c r="H61" i="46" s="1"/>
  <c r="AZ231" i="3"/>
  <c r="AZ236" i="3"/>
  <c r="AZ239" i="3"/>
  <c r="AZ244" i="3"/>
  <c r="AZ247" i="3"/>
  <c r="AZ252" i="3"/>
  <c r="AZ255" i="3"/>
  <c r="AZ260" i="3"/>
  <c r="AZ263" i="3"/>
  <c r="AZ268" i="3"/>
  <c r="AZ276" i="3"/>
  <c r="AZ284" i="3"/>
  <c r="AZ292" i="3"/>
  <c r="F72" i="46"/>
  <c r="H74" i="46" s="1"/>
  <c r="AZ164" i="3"/>
  <c r="AZ180" i="3"/>
  <c r="AZ63" i="3"/>
  <c r="AZ112" i="3"/>
  <c r="J13" i="40"/>
  <c r="W13" i="40" s="1"/>
  <c r="AB14" i="40"/>
  <c r="F72" i="9"/>
  <c r="AC14" i="40"/>
  <c r="S47" i="39"/>
  <c r="AB25" i="39"/>
  <c r="U37" i="34"/>
  <c r="AB37" i="34"/>
  <c r="W41" i="40"/>
  <c r="U41" i="40"/>
  <c r="J23" i="40"/>
  <c r="AC23" i="40" s="1"/>
  <c r="G91" i="40"/>
  <c r="F23" i="40"/>
  <c r="S23" i="40" s="1"/>
  <c r="AC15" i="40"/>
  <c r="W27" i="39"/>
  <c r="S23" i="39"/>
  <c r="AB16" i="39"/>
  <c r="U23" i="35"/>
  <c r="AB23" i="35"/>
  <c r="H20" i="35"/>
  <c r="F20" i="35"/>
  <c r="S20" i="35"/>
  <c r="H15" i="34"/>
  <c r="AB15" i="34"/>
  <c r="F78" i="34"/>
  <c r="G78" i="34"/>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W34" i="40"/>
  <c r="AB34" i="40"/>
  <c r="U42" i="40"/>
  <c r="W32" i="40"/>
  <c r="H25" i="40"/>
  <c r="AB25" i="40" s="1"/>
  <c r="F93" i="40"/>
  <c r="G93" i="40"/>
  <c r="U47" i="39"/>
  <c r="W15" i="39"/>
  <c r="J37" i="34"/>
  <c r="AC37" i="34"/>
  <c r="J36" i="33"/>
  <c r="W36" i="33" s="1"/>
  <c r="S41" i="40"/>
  <c r="AB23" i="40"/>
  <c r="U27" i="39"/>
  <c r="H23" i="39"/>
  <c r="AB23" i="39" s="1"/>
  <c r="J23" i="39"/>
  <c r="AC23" i="39" s="1"/>
  <c r="F96" i="39"/>
  <c r="G96"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AC13" i="40"/>
  <c r="J11" i="34"/>
  <c r="W11" i="34"/>
  <c r="AC36" i="33"/>
  <c r="F25" i="40"/>
  <c r="AA25" i="40" s="1"/>
  <c r="J11" i="33"/>
  <c r="W11" i="33" s="1"/>
  <c r="H33" i="37"/>
  <c r="AB33" i="37" s="1"/>
  <c r="W15" i="34"/>
  <c r="U20" i="35"/>
  <c r="AB20" i="35"/>
  <c r="W23" i="40"/>
  <c r="B11" i="1"/>
  <c r="E11" i="1" s="1"/>
  <c r="K11" i="1"/>
  <c r="M11" i="1" s="1"/>
  <c r="B9" i="1"/>
  <c r="E9" i="1" s="1"/>
  <c r="K9" i="1"/>
  <c r="M9" i="1" s="1"/>
  <c r="B7" i="1"/>
  <c r="E7" i="1" s="1"/>
  <c r="K7" i="1"/>
  <c r="M7" i="1" s="1"/>
  <c r="AP6" i="1"/>
  <c r="M20" i="44"/>
  <c r="AC25" i="36"/>
  <c r="S23" i="36"/>
  <c r="S8" i="36"/>
  <c r="AA26" i="36"/>
  <c r="AA28" i="36"/>
  <c r="U25" i="36"/>
  <c r="H20" i="36"/>
  <c r="U20" i="36" s="1"/>
  <c r="F68" i="36"/>
  <c r="G68" i="36"/>
  <c r="J20" i="36"/>
  <c r="AC20" i="36" s="1"/>
  <c r="F20" i="36"/>
  <c r="S20" i="36"/>
  <c r="F62" i="36"/>
  <c r="G62" i="36" s="1"/>
  <c r="J14" i="36"/>
  <c r="H14" i="36"/>
  <c r="F14" i="36"/>
  <c r="AA14" i="36" s="1"/>
  <c r="U27" i="36"/>
  <c r="U32" i="36"/>
  <c r="AB12" i="36"/>
  <c r="U9" i="36"/>
  <c r="S33" i="36"/>
  <c r="AA27" i="36"/>
  <c r="S16" i="36"/>
  <c r="S29" i="36"/>
  <c r="AC33" i="35"/>
  <c r="U22" i="35"/>
  <c r="AA13"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B41" i="33"/>
  <c r="U36" i="33"/>
  <c r="AC35" i="33"/>
  <c r="S29" i="33"/>
  <c r="W31" i="33"/>
  <c r="W43" i="33"/>
  <c r="U46" i="33"/>
  <c r="W39" i="33"/>
  <c r="U35" i="33"/>
  <c r="AB34" i="33"/>
  <c r="W26" i="33"/>
  <c r="AB26" i="33"/>
  <c r="H25" i="33"/>
  <c r="AB25" i="33"/>
  <c r="J25" i="33"/>
  <c r="W25" i="33" s="1"/>
  <c r="F87" i="33"/>
  <c r="G87" i="33"/>
  <c r="H87" i="33" s="1"/>
  <c r="I87" i="33" s="1"/>
  <c r="J87" i="33" s="1"/>
  <c r="K87" i="33" s="1"/>
  <c r="L87" i="33" s="1"/>
  <c r="M87" i="33" s="1"/>
  <c r="F25" i="33"/>
  <c r="F85" i="33"/>
  <c r="G85" i="33" s="1"/>
  <c r="J23" i="33"/>
  <c r="F23" i="33"/>
  <c r="H23" i="33"/>
  <c r="AB23" i="33" s="1"/>
  <c r="U19" i="33"/>
  <c r="F79" i="33"/>
  <c r="G79" i="33" s="1"/>
  <c r="F17" i="33"/>
  <c r="S17" i="33" s="1"/>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c r="F23" i="21"/>
  <c r="H23" i="21"/>
  <c r="AA17" i="21"/>
  <c r="W17" i="21"/>
  <c r="F15" i="21"/>
  <c r="S15" i="21" s="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U39" i="40" s="1"/>
  <c r="J39" i="40"/>
  <c r="W38" i="40"/>
  <c r="F29" i="40"/>
  <c r="H29" i="40"/>
  <c r="U29" i="40" s="1"/>
  <c r="J29" i="40"/>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D96" i="9"/>
  <c r="M18" i="15"/>
  <c r="A18" i="64"/>
  <c r="B74" i="63" s="1"/>
  <c r="C53" i="10"/>
  <c r="A25" i="64" s="1"/>
  <c r="A18" i="51"/>
  <c r="B14" i="63" s="1"/>
  <c r="BA16" i="3"/>
  <c r="BA17" i="3"/>
  <c r="AZ17" i="3" s="1"/>
  <c r="F3" i="35"/>
  <c r="K1" i="43"/>
  <c r="K1" i="12"/>
  <c r="G1" i="44"/>
  <c r="I4" i="6"/>
  <c r="G3" i="46" s="1"/>
  <c r="Z7" i="46" s="1"/>
  <c r="AZ15" i="3"/>
  <c r="BK5" i="3"/>
  <c r="BO5" i="3"/>
  <c r="BP5" i="3"/>
  <c r="BN5" i="3"/>
  <c r="G29" i="6" s="1"/>
  <c r="BL18" i="3"/>
  <c r="AZ18" i="3" s="1"/>
  <c r="BC5" i="3"/>
  <c r="BD5" i="3"/>
  <c r="BR5" i="3"/>
  <c r="BS5" i="3"/>
  <c r="BQ5" i="3"/>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AA34" i="36"/>
  <c r="U23" i="36"/>
  <c r="AC27" i="36"/>
  <c r="W28" i="36"/>
  <c r="AA32" i="36"/>
  <c r="U13" i="36"/>
  <c r="AA22" i="36"/>
  <c r="AA13" i="36"/>
  <c r="W29" i="36"/>
  <c r="W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5" i="40"/>
  <c r="J27" i="40"/>
  <c r="W27" i="40" s="1"/>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U15" i="21"/>
  <c r="AB15" i="21"/>
  <c r="W15" i="21"/>
  <c r="AC15" i="21"/>
  <c r="AB39" i="40"/>
  <c r="AC39" i="40"/>
  <c r="W39" i="40"/>
  <c r="AA39" i="40"/>
  <c r="S39" i="40"/>
  <c r="U37" i="40"/>
  <c r="AB37" i="40"/>
  <c r="AA37" i="40"/>
  <c r="S37" i="40"/>
  <c r="AB29" i="40"/>
  <c r="AC29" i="40"/>
  <c r="W29" i="40"/>
  <c r="AA29" i="40"/>
  <c r="S29" i="40"/>
  <c r="W19" i="40"/>
  <c r="AC19" i="40"/>
  <c r="S19" i="40"/>
  <c r="AB19" i="40"/>
  <c r="B20" i="31"/>
  <c r="R22" i="31"/>
  <c r="B21" i="31"/>
  <c r="A17" i="51"/>
  <c r="B13" i="63" s="1"/>
  <c r="AT6" i="3"/>
  <c r="AZ16" i="3"/>
  <c r="E4" i="4"/>
  <c r="B21" i="55" s="1"/>
  <c r="B72" i="63" s="1"/>
  <c r="C4" i="4"/>
  <c r="J18" i="36"/>
  <c r="W18" i="36"/>
  <c r="AC18" i="36"/>
  <c r="L20" i="6"/>
  <c r="B20" i="55"/>
  <c r="B70" i="63" s="1"/>
  <c r="C45" i="9"/>
  <c r="B7" i="66" s="1"/>
  <c r="C44" i="9"/>
  <c r="B6" i="66" s="1"/>
  <c r="K29" i="9"/>
  <c r="K30" i="9" s="1"/>
  <c r="N76" i="9"/>
  <c r="C46" i="9"/>
  <c r="K33" i="9"/>
  <c r="K34" i="9" s="1"/>
  <c r="O41" i="9"/>
  <c r="R8" i="54" s="1"/>
  <c r="B54" i="63" s="1"/>
  <c r="B8" i="66"/>
  <c r="J21" i="46"/>
  <c r="F38" i="46"/>
  <c r="F41" i="46"/>
  <c r="F40" i="46"/>
  <c r="H117" i="46"/>
  <c r="D24" i="59"/>
  <c r="C23" i="59"/>
  <c r="D23" i="59"/>
  <c r="F24" i="59"/>
  <c r="F23" i="59"/>
  <c r="F22" i="59"/>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c r="B20" i="59" s="1"/>
  <c r="B19" i="59" s="1"/>
  <c r="B18" i="59" s="1"/>
  <c r="F18" i="44"/>
  <c r="F8" i="67"/>
  <c r="F38" i="15"/>
  <c r="E13" i="67"/>
  <c r="C19" i="9"/>
  <c r="M24" i="44"/>
  <c r="J7" i="65"/>
  <c r="I5" i="65"/>
  <c r="M23" i="15"/>
  <c r="B9" i="67"/>
  <c r="B10" i="67"/>
  <c r="F10" i="67"/>
  <c r="M25" i="44"/>
  <c r="M10" i="44"/>
  <c r="L49" i="44"/>
  <c r="F37" i="15"/>
  <c r="M24" i="15"/>
  <c r="F40" i="44"/>
  <c r="J4" i="65"/>
  <c r="F9" i="67"/>
  <c r="L47" i="15"/>
  <c r="C21" i="9"/>
  <c r="M31" i="44"/>
  <c r="F39" i="44"/>
  <c r="C20" i="9"/>
  <c r="M28" i="15"/>
  <c r="L48" i="44"/>
  <c r="F28" i="44"/>
  <c r="N3" i="65"/>
  <c r="F13" i="67"/>
  <c r="F43" i="15"/>
  <c r="D20" i="9"/>
  <c r="M26" i="15"/>
  <c r="L48" i="15"/>
  <c r="E10" i="67"/>
  <c r="I4" i="65"/>
  <c r="D19" i="9"/>
  <c r="E8" i="67"/>
  <c r="F6" i="15"/>
  <c r="F7" i="15"/>
  <c r="J5" i="65"/>
  <c r="B11" i="67"/>
  <c r="M28" i="44"/>
  <c r="B13" i="67"/>
  <c r="J15" i="15"/>
  <c r="E12" i="67"/>
  <c r="F38" i="44"/>
  <c r="F8" i="15"/>
  <c r="F8" i="44"/>
  <c r="N4" i="65"/>
  <c r="M6" i="15"/>
  <c r="F26" i="15"/>
  <c r="F15" i="44"/>
  <c r="I6" i="65"/>
  <c r="B12" i="67"/>
  <c r="F43" i="44"/>
  <c r="F11" i="67"/>
  <c r="F36" i="15"/>
  <c r="M29" i="15"/>
  <c r="M26" i="44"/>
  <c r="M30" i="44"/>
  <c r="N7" i="65"/>
  <c r="I3" i="65"/>
  <c r="F42" i="15"/>
  <c r="F9" i="44"/>
  <c r="F9" i="15"/>
  <c r="E11" i="67"/>
  <c r="M8" i="15"/>
  <c r="J6" i="65"/>
  <c r="M22" i="15"/>
  <c r="B14" i="67"/>
  <c r="J3" i="65"/>
  <c r="J36" i="15"/>
  <c r="F12" i="67"/>
  <c r="F16" i="15"/>
  <c r="N6" i="65"/>
  <c r="E14" i="67"/>
  <c r="F10" i="44"/>
  <c r="F14" i="67"/>
  <c r="F45" i="44"/>
  <c r="N5" i="65"/>
  <c r="M9" i="15"/>
  <c r="F11" i="44"/>
  <c r="F13" i="15"/>
  <c r="M11" i="44"/>
  <c r="M8" i="44"/>
  <c r="B8" i="67"/>
  <c r="F40" i="15"/>
  <c r="D21" i="9"/>
  <c r="E9" i="67"/>
  <c r="J17" i="44"/>
  <c r="I7" i="65"/>
  <c r="F10" i="1" l="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2" i="3"/>
  <c r="AZ433" i="3"/>
  <c r="AZ436" i="3"/>
  <c r="AZ440" i="3"/>
  <c r="AZ448" i="3"/>
  <c r="AZ456" i="3"/>
  <c r="AZ460" i="3"/>
  <c r="AZ464" i="3"/>
  <c r="AZ468" i="3"/>
  <c r="AZ472" i="3"/>
  <c r="AZ476" i="3"/>
  <c r="AZ480" i="3"/>
  <c r="AZ318" i="3"/>
  <c r="AZ319" i="3"/>
  <c r="AZ334" i="3"/>
  <c r="AZ335" i="3"/>
  <c r="BA351" i="3"/>
  <c r="AZ351" i="3" s="1"/>
  <c r="BL360" i="3"/>
  <c r="AZ360" i="3" s="1"/>
  <c r="BL366" i="3"/>
  <c r="AZ366" i="3" s="1"/>
  <c r="BL376" i="3"/>
  <c r="AZ376" i="3" s="1"/>
  <c r="BL382" i="3"/>
  <c r="AZ382" i="3" s="1"/>
  <c r="AZ387" i="3"/>
  <c r="BL388" i="3"/>
  <c r="AZ388" i="3" s="1"/>
  <c r="BA207" i="3"/>
  <c r="AZ207" i="3" s="1"/>
  <c r="BL208" i="3"/>
  <c r="BL212" i="3"/>
  <c r="AZ212" i="3" s="1"/>
  <c r="BA215" i="3"/>
  <c r="AZ215" i="3" s="1"/>
  <c r="BL216" i="3"/>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Z145"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AZ455" i="3" s="1"/>
  <c r="BL318" i="3"/>
  <c r="BL334" i="3"/>
  <c r="BL350" i="3"/>
  <c r="AZ350" i="3" s="1"/>
  <c r="BA375" i="3"/>
  <c r="AZ375" i="3" s="1"/>
  <c r="BA386" i="3"/>
  <c r="AZ386" i="3" s="1"/>
  <c r="BL387" i="3"/>
  <c r="BA206" i="3"/>
  <c r="BA210" i="3"/>
  <c r="AZ210" i="3" s="1"/>
  <c r="BL211" i="3"/>
  <c r="BA214" i="3"/>
  <c r="AZ214" i="3" s="1"/>
  <c r="BA218" i="3"/>
  <c r="AZ218" i="3" s="1"/>
  <c r="BL219" i="3"/>
  <c r="BA222" i="3"/>
  <c r="AZ222" i="3" s="1"/>
  <c r="BA226" i="3"/>
  <c r="AZ226" i="3" s="1"/>
  <c r="BL227" i="3"/>
  <c r="AZ113" i="3"/>
  <c r="AZ267" i="3"/>
  <c r="AZ275" i="3"/>
  <c r="AZ291" i="3"/>
  <c r="AZ117" i="3"/>
  <c r="AZ125" i="3"/>
  <c r="AZ133" i="3"/>
  <c r="AZ141" i="3"/>
  <c r="BA149" i="3"/>
  <c r="AZ149" i="3" s="1"/>
  <c r="AZ58" i="3"/>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AZ22" i="3"/>
  <c r="AZ61"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BA270" i="3"/>
  <c r="AZ270" i="3" s="1"/>
  <c r="BL271" i="3"/>
  <c r="BA274" i="3"/>
  <c r="AZ274" i="3" s="1"/>
  <c r="BL275" i="3"/>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AZ204" i="3"/>
  <c r="AZ73"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BA60" i="3"/>
  <c r="AZ60" i="3" s="1"/>
  <c r="BL61" i="3"/>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AZ77" i="3" s="1"/>
  <c r="BA81" i="3"/>
  <c r="AZ81" i="3" s="1"/>
  <c r="G88" i="3"/>
  <c r="BA92" i="3"/>
  <c r="AZ92" i="3" s="1"/>
  <c r="BA94" i="3"/>
  <c r="G104" i="3"/>
  <c r="T37" i="59"/>
  <c r="D37" i="59"/>
  <c r="T53" i="59"/>
  <c r="D53" i="59"/>
  <c r="BA158" i="3"/>
  <c r="AZ158" i="3" s="1"/>
  <c r="BA160" i="3"/>
  <c r="AZ160" i="3" s="1"/>
  <c r="BL171" i="3"/>
  <c r="AZ171" i="3" s="1"/>
  <c r="BL177" i="3"/>
  <c r="AZ177" i="3" s="1"/>
  <c r="BL187" i="3"/>
  <c r="AZ187" i="3" s="1"/>
  <c r="BL195" i="3"/>
  <c r="AZ195" i="3" s="1"/>
  <c r="BA21" i="3"/>
  <c r="AZ21" i="3" s="1"/>
  <c r="BL22" i="3"/>
  <c r="BA25" i="3"/>
  <c r="AZ25" i="3" s="1"/>
  <c r="BL26" i="3"/>
  <c r="AZ26" i="3" s="1"/>
  <c r="BA37" i="3"/>
  <c r="AZ37" i="3" s="1"/>
  <c r="BL38" i="3"/>
  <c r="AZ38" i="3" s="1"/>
  <c r="BA41" i="3"/>
  <c r="AZ41" i="3" s="1"/>
  <c r="BL42" i="3"/>
  <c r="AZ42" i="3" s="1"/>
  <c r="BA53" i="3"/>
  <c r="AZ53" i="3" s="1"/>
  <c r="BL54" i="3"/>
  <c r="AZ67"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BL13" i="3"/>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A25" i="51"/>
  <c r="B18" i="63" s="1"/>
  <c r="G10" i="1"/>
  <c r="G13" i="1"/>
  <c r="C95" i="9"/>
  <c r="C92" i="9" s="1"/>
  <c r="C25" i="12"/>
  <c r="C15" i="43"/>
  <c r="C28" i="15"/>
  <c r="D23" i="15"/>
  <c r="L52" i="37"/>
  <c r="M52" i="37" s="1"/>
  <c r="N52" i="37" s="1"/>
  <c r="O52" i="37" s="1"/>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L44" i="9"/>
  <c r="G20" i="9"/>
  <c r="G21" i="9"/>
  <c r="L43" i="9"/>
  <c r="G19" i="9"/>
  <c r="D22" i="9"/>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6" i="15"/>
  <c r="E3" i="65"/>
  <c r="C18" i="44"/>
  <c r="E2" i="65"/>
  <c r="C66" i="40" l="1"/>
  <c r="A1" i="70"/>
  <c r="P28" i="46"/>
  <c r="B67" i="40" s="1"/>
  <c r="P25" i="46"/>
  <c r="P26" i="46"/>
  <c r="C71" i="39"/>
  <c r="O23" i="46"/>
  <c r="P29" i="46"/>
  <c r="B72" i="39" s="1"/>
  <c r="P27" i="46"/>
  <c r="K17" i="4"/>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J60" i="44"/>
  <c r="J61" i="44" s="1"/>
  <c r="Q50" i="44" s="1"/>
  <c r="E83" i="46"/>
  <c r="B81" i="46" s="1"/>
  <c r="D26" i="46"/>
  <c r="C25" i="46" s="1"/>
  <c r="C29" i="12"/>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B40" i="1"/>
  <c r="L36" i="46" s="1"/>
  <c r="E64" i="40"/>
  <c r="D66" i="40"/>
  <c r="AC7" i="33"/>
  <c r="V48" i="33" s="1"/>
  <c r="I48" i="33" s="1"/>
  <c r="J7" i="37"/>
  <c r="D71" i="39"/>
  <c r="E69" i="39"/>
  <c r="H7" i="33"/>
  <c r="F7" i="33"/>
  <c r="J46" i="36"/>
  <c r="J7" i="35"/>
  <c r="F7" i="35"/>
  <c r="H7" i="37"/>
  <c r="F7" i="37"/>
  <c r="M19" i="44"/>
  <c r="F17" i="11"/>
  <c r="C17" i="11" s="1"/>
  <c r="C19" i="11" s="1"/>
  <c r="Q62" i="15"/>
  <c r="Q75" i="15"/>
  <c r="C32" i="9"/>
  <c r="N43" i="9"/>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1" i="15"/>
  <c r="F46" i="44"/>
  <c r="W7" i="21" l="1"/>
  <c r="S7" i="34"/>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O43" i="9"/>
  <c r="C42" i="9"/>
  <c r="O38" i="9"/>
  <c r="C33" i="9"/>
  <c r="C52" i="15"/>
  <c r="C47" i="15" s="1"/>
  <c r="C10" i="15"/>
  <c r="C5" i="15" s="1"/>
  <c r="C38" i="15" s="1"/>
  <c r="C20" i="11"/>
  <c r="C21" i="11" s="1"/>
  <c r="C22" i="11" s="1"/>
  <c r="C23" i="11" s="1"/>
  <c r="B2" i="11" s="1"/>
  <c r="M29" i="44"/>
  <c r="M27" i="15"/>
  <c r="G54" i="34" l="1"/>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N38" i="9"/>
  <c r="K28" i="9" s="1"/>
  <c r="D42" i="9"/>
  <c r="Q5" i="54" s="1"/>
  <c r="B47" i="63" s="1"/>
  <c r="R5" i="54"/>
  <c r="B48" i="63" s="1"/>
  <c r="D63" i="9"/>
  <c r="N68" i="9"/>
  <c r="B3" i="11"/>
  <c r="K26" i="9"/>
  <c r="K25" i="9"/>
  <c r="F7" i="67"/>
  <c r="C19" i="44"/>
  <c r="C17" i="15"/>
  <c r="E12" i="59" l="1"/>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G22" i="9"/>
  <c r="H25" i="6"/>
  <c r="H23" i="6"/>
  <c r="C22" i="4"/>
  <c r="D24" i="6"/>
  <c r="D19" i="6"/>
  <c r="D9" i="6"/>
  <c r="D6" i="6"/>
  <c r="C34" i="9"/>
  <c r="C35" i="9"/>
  <c r="F42" i="9" s="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N75" i="9"/>
  <c r="D73" i="9"/>
  <c r="N73" i="9" s="1"/>
  <c r="C111" i="9"/>
  <c r="C104" i="9" s="1"/>
  <c r="C96" i="9"/>
  <c r="C91" i="9" s="1"/>
  <c r="C82" i="9"/>
  <c r="C81" i="9" s="1"/>
  <c r="C85" i="9" s="1"/>
  <c r="C86" i="9" s="1"/>
  <c r="D72" i="9" s="1"/>
  <c r="C103" i="9"/>
  <c r="D70" i="9"/>
  <c r="C90" i="9"/>
  <c r="D71" i="9"/>
  <c r="D66" i="9" s="1"/>
  <c r="N72" i="9" s="1"/>
  <c r="B5" i="66"/>
  <c r="E14" i="66"/>
  <c r="E7" i="67"/>
  <c r="B7" i="67"/>
  <c r="D16" i="59" l="1"/>
  <c r="C15" i="59"/>
  <c r="C31" i="46"/>
  <c r="C30" i="46"/>
  <c r="B2" i="46" s="1"/>
  <c r="D4" i="46" s="1"/>
  <c r="F14" i="66"/>
  <c r="T11" i="1"/>
  <c r="T9" i="1"/>
  <c r="T10" i="1"/>
  <c r="T13" i="1"/>
  <c r="T6" i="1"/>
  <c r="T8" i="1"/>
  <c r="T12" i="1"/>
  <c r="T7" i="1"/>
  <c r="I27" i="6"/>
  <c r="S19" i="6"/>
  <c r="S27" i="6" s="1"/>
  <c r="H19" i="6"/>
  <c r="R19" i="6" s="1"/>
  <c r="R24" i="6"/>
  <c r="R11"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C97" i="9"/>
  <c r="C98" i="9" s="1"/>
  <c r="E98" i="9" s="1"/>
  <c r="E99" i="9" s="1"/>
  <c r="B2" i="67"/>
  <c r="C113" i="9"/>
  <c r="C114" i="9" s="1"/>
  <c r="E114" i="9" s="1"/>
  <c r="E115" i="9" s="1"/>
  <c r="D5" i="66"/>
  <c r="C5" i="66"/>
  <c r="M21" i="15"/>
  <c r="F35" i="15"/>
  <c r="C16" i="44"/>
  <c r="M23" i="44"/>
  <c r="F37" i="44"/>
  <c r="C14" i="15"/>
  <c r="D15" i="59" l="1"/>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C99" i="9"/>
  <c r="C115" i="9"/>
  <c r="D76" i="9" s="1"/>
  <c r="D74" i="9" s="1"/>
  <c r="N74" i="9" s="1"/>
  <c r="O77" i="9" s="1"/>
  <c r="O78" i="9" s="1"/>
  <c r="B3" i="67"/>
  <c r="B4" i="67"/>
  <c r="C13" i="59" l="1"/>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Q77" i="9"/>
  <c r="O79" i="9"/>
  <c r="O81" i="9" s="1"/>
  <c r="C12" i="59" l="1"/>
  <c r="T13" i="59"/>
  <c r="D13" i="59"/>
  <c r="E5" i="59"/>
  <c r="U5" i="59" s="1"/>
  <c r="B5" i="59"/>
  <c r="C21" i="43"/>
  <c r="R37" i="36"/>
  <c r="E36" i="36"/>
  <c r="I41" i="36" s="1"/>
  <c r="J41" i="36" s="1"/>
  <c r="K66" i="40"/>
  <c r="L64" i="40"/>
  <c r="G41" i="36"/>
  <c r="H41" i="36" s="1"/>
  <c r="G40" i="36"/>
  <c r="H40" i="36" s="1"/>
  <c r="I40" i="36"/>
  <c r="J40" i="36" s="1"/>
  <c r="L69" i="39"/>
  <c r="K71" i="39"/>
  <c r="O80" i="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<sst xmlns="http://schemas.openxmlformats.org/spreadsheetml/2006/main" count="7407" uniqueCount="3329">
  <si>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</si>
  <si>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</si>
  <si>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</si>
  <si>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</si>
  <si>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</si>
  <si>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</si>
  <si>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</si>
  <si>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</si>
  <si>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</si>
  <si>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</si>
  <si>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</si>
  <si>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</si>
  <si>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</si>
  <si>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</si>
  <si>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</si>
  <si>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</si>
  <si>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</si>
  <si>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</si>
  <si>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</si>
  <si>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</si>
  <si>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</si>
  <si>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</si>
  <si>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</si>
  <si>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</si>
  <si>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</si>
  <si>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</si>
  <si>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</si>
  <si>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</si>
  <si>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</si>
  <si>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</si>
  <si>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</si>
  <si>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</si>
  <si>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</si>
  <si>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</si>
  <si>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</si>
  <si>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</si>
  <si>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</si>
  <si>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</si>
  <si>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</si>
  <si>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</si>
  <si>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</si>
  <si>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</si>
  <si>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</si>
  <si>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</si>
  <si>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</si>
  <si>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</si>
  <si>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</si>
  <si>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</si>
  <si>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</si>
  <si>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</si>
  <si>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</si>
  <si>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</si>
  <si>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</si>
  <si>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</si>
  <si>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</si>
  <si>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</si>
  <si>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</si>
  <si>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</si>
  <si>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</si>
  <si>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</si>
  <si>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</si>
  <si>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</si>
  <si>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</si>
  <si>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</si>
  <si>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</si>
  <si>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</si>
  <si>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</si>
  <si>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</si>
  <si>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</si>
  <si>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</si>
  <si>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</si>
  <si>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</si>
  <si>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</si>
  <si>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</si>
  <si>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</si>
  <si>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</si>
  <si>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</si>
  <si>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</si>
  <si>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</si>
  <si>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</si>
  <si>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</si>
  <si>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</si>
  <si>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</si>
  <si>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</si>
  <si>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</si>
  <si>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</si>
  <si>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</si>
  <si>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</si>
  <si>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</si>
  <si>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</si>
  <si>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</si>
  <si>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</si>
  <si>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</si>
  <si>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</si>
  <si>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</si>
  <si>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</si>
  <si>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</si>
  <si>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</si>
  <si>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</si>
  <si>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</si>
  <si>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</si>
  <si>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</si>
  <si>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</si>
  <si>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</si>
  <si>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</si>
  <si>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</si>
  <si>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</si>
  <si>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</si>
  <si>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</si>
  <si>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</si>
  <si>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</si>
  <si>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</si>
  <si>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</si>
  <si>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</si>
  <si>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</si>
  <si>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</si>
  <si>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</si>
  <si>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</si>
  <si>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</si>
  <si>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</si>
  <si>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</si>
  <si>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</si>
  <si>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</si>
  <si>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</si>
  <si>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</si>
  <si>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</si>
  <si>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</si>
  <si>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</si>
  <si>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</si>
  <si>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</si>
  <si>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</si>
  <si>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</si>
  <si>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</si>
  <si>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</si>
  <si>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</si>
  <si>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</si>
  <si>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</si>
  <si>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</si>
  <si>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</si>
  <si>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</si>
  <si>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</si>
  <si>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</si>
  <si>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</si>
  <si>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</si>
  <si>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</si>
  <si>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</si>
  <si>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</si>
  <si>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</si>
  <si>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</si>
  <si>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</si>
  <si>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</si>
  <si>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</si>
  <si>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</si>
  <si>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</si>
  <si>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</si>
  <si>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</si>
  <si>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</si>
  <si>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</si>
  <si>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</si>
  <si>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</si>
  <si>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</si>
  <si>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</si>
  <si>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</si>
  <si>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</si>
  <si>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</si>
  <si>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</si>
  <si>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</si>
  <si>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</si>
  <si>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</si>
  <si>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</si>
  <si>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</si>
  <si>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</si>
  <si>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</si>
  <si>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</si>
  <si>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</si>
  <si>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</si>
  <si>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</si>
  <si>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</si>
  <si>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</si>
  <si>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</si>
  <si>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</si>
  <si>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</si>
  <si>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</si>
  <si>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</si>
  <si>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</si>
  <si>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</si>
  <si>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</si>
  <si>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</si>
  <si>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</si>
  <si>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</si>
  <si>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</si>
  <si>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</si>
  <si>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</si>
  <si>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</si>
  <si>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</si>
  <si>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</si>
  <si>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</si>
  <si>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</si>
  <si>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</si>
  <si>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</si>
  <si>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</si>
  <si>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</si>
  <si>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</si>
  <si>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</si>
  <si>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</si>
  <si>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</si>
  <si>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</si>
  <si>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</si>
  <si>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</si>
  <si>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</si>
  <si>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</si>
  <si>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</si>
  <si>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</si>
  <si>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</si>
  <si>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</si>
  <si>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</si>
  <si>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</si>
  <si>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</si>
  <si>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</si>
  <si>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</si>
  <si>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</si>
  <si>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</si>
  <si>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</si>
  <si>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</si>
  <si>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</si>
  <si>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</si>
  <si>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</si>
  <si>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</si>
  <si>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</si>
  <si>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</si>
  <si>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</si>
  <si>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</si>
  <si>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</si>
  <si>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</si>
  <si>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</si>
  <si>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</si>
  <si>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</si>
  <si>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</si>
  <si>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</si>
  <si>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</si>
  <si>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</si>
  <si>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</si>
  <si>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</si>
  <si>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</si>
  <si>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</si>
  <si>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</si>
  <si>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</si>
  <si>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</si>
  <si>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</si>
  <si>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</si>
  <si>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</si>
  <si>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</si>
  <si>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</si>
  <si>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</si>
  <si>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</si>
  <si>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</si>
  <si>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</si>
  <si>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</si>
  <si>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</si>
  <si>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</si>
  <si>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</si>
  <si>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</si>
  <si>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</si>
  <si>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</si>
  <si>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</si>
  <si>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</si>
  <si>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</si>
  <si>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</si>
  <si>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</si>
  <si>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</si>
  <si>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</si>
  <si>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</si>
  <si>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</si>
  <si>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</si>
  <si>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</si>
  <si>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</si>
  <si>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</si>
  <si>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</si>
  <si>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</si>
  <si>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</si>
  <si>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</si>
  <si>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</si>
  <si>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</si>
  <si>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</si>
  <si>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</si>
  <si>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</si>
  <si>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</si>
  <si>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</si>
  <si>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</si>
  <si>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</si>
  <si>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</si>
  <si>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</si>
  <si>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</si>
  <si>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</si>
  <si>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</si>
  <si>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</si>
  <si>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</si>
  <si>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</si>
  <si>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</si>
  <si>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</si>
  <si>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</si>
  <si>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</si>
  <si>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</si>
  <si>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</si>
  <si>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</si>
  <si>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</si>
  <si>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</si>
  <si>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</si>
  <si>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</si>
  <si>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</si>
  <si>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</si>
  <si>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</si>
  <si>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</si>
  <si>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</si>
  <si>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</si>
  <si>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</si>
  <si>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</si>
  <si>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</si>
  <si>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</si>
  <si>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</si>
  <si>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</si>
  <si>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</si>
  <si>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</si>
  <si>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</si>
  <si>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</si>
  <si>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</si>
  <si>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</si>
  <si>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</si>
  <si>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</si>
  <si>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</si>
  <si>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</si>
  <si>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</si>
  <si>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</si>
  <si>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</si>
  <si>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</si>
  <si>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</si>
  <si>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</si>
  <si>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</si>
  <si>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</si>
  <si>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</si>
  <si>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</si>
  <si>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</si>
  <si>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</si>
  <si>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</si>
  <si>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</si>
  <si>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</si>
  <si>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</si>
  <si>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</si>
  <si>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</si>
  <si>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</si>
  <si>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</si>
  <si>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</si>
  <si>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</si>
  <si>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</si>
  <si>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</si>
  <si>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</si>
  <si>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</si>
  <si>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</si>
  <si>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</si>
  <si>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</si>
  <si>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</si>
  <si>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</si>
  <si>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</si>
  <si>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</si>
  <si>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</si>
  <si>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</si>
  <si>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</si>
  <si>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</si>
  <si>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</si>
  <si>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</si>
  <si>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</si>
  <si>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</si>
  <si>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</si>
  <si>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</si>
  <si>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</si>
  <si>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</si>
  <si>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</si>
  <si>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</si>
  <si>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</si>
  <si>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</si>
  <si>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</si>
  <si>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</si>
  <si>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</si>
  <si>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</si>
  <si>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</si>
  <si>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</si>
  <si>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</si>
  <si>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</si>
  <si>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</si>
  <si>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</si>
  <si>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</si>
  <si>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</si>
  <si>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</si>
  <si>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</si>
  <si>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</si>
  <si>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</si>
  <si>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</si>
  <si>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</si>
  <si>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</si>
  <si>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</si>
  <si>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</si>
  <si>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</si>
  <si>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</si>
  <si>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</si>
  <si>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</si>
  <si>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</si>
  <si>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</si>
  <si>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</si>
  <si>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</si>
  <si>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</si>
  <si>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</si>
  <si>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</si>
  <si>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</si>
  <si>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</si>
  <si>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</si>
  <si>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</si>
  <si>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</si>
  <si>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</si>
  <si>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</si>
  <si>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</si>
  <si>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</si>
  <si>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</si>
  <si>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</si>
  <si>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</si>
  <si>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</si>
  <si>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</si>
  <si>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</si>
  <si>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</si>
  <si>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</si>
  <si>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</si>
  <si>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</si>
  <si>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</si>
  <si>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</si>
  <si>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</si>
  <si>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</si>
  <si>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</si>
  <si>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</si>
  <si>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</si>
  <si>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</si>
  <si>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</si>
  <si>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</si>
  <si>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</si>
  <si>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</si>
  <si>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</si>
  <si>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</si>
  <si>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</si>
  <si>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</si>
  <si>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</si>
  <si>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</si>
  <si>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</si>
  <si>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</si>
  <si>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</si>
  <si>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</si>
  <si>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</si>
  <si>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</si>
  <si>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</si>
  <si>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</si>
  <si>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</si>
  <si>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</si>
  <si>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</si>
  <si>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</si>
  <si>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</si>
  <si>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</si>
  <si>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</si>
  <si>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</si>
  <si>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</si>
  <si>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</si>
  <si>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</si>
  <si>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</si>
  <si>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</si>
  <si>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</si>
  <si>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</si>
  <si>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</si>
  <si>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</si>
  <si>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</si>
  <si>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</si>
  <si>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</si>
  <si>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</si>
  <si>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</si>
  <si>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</si>
  <si>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</si>
  <si>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</si>
  <si>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</si>
  <si>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</si>
  <si>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</si>
  <si>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</si>
  <si>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</si>
  <si>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</si>
  <si>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</si>
  <si>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</si>
  <si>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</si>
  <si>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</si>
  <si>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</si>
  <si>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</si>
  <si>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</si>
  <si>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</si>
  <si>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</si>
  <si>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</si>
  <si>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</si>
  <si>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</si>
  <si>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</si>
  <si>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</si>
  <si>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</si>
  <si>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</si>
  <si>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</si>
  <si>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</si>
  <si>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</si>
  <si>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</si>
  <si>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</si>
  <si>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</si>
  <si>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</si>
  <si>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</si>
  <si>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</si>
  <si>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</si>
  <si>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</si>
  <si>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</si>
  <si>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</si>
  <si>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</si>
  <si>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</si>
  <si>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</si>
  <si>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</si>
  <si>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</si>
  <si>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</si>
  <si>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</si>
  <si>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</si>
  <si>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</si>
  <si>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</si>
  <si>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</si>
  <si>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</si>
  <si>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</si>
  <si>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</si>
  <si>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</si>
  <si>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</si>
  <si>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</si>
  <si>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</si>
  <si>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</si>
  <si>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</si>
  <si>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</si>
  <si>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</si>
  <si>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</si>
  <si>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</si>
  <si>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</si>
  <si>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</si>
  <si>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</si>
  <si>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</si>
  <si>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</si>
  <si>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</si>
  <si>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</si>
  <si>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</si>
  <si>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</si>
  <si>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</si>
  <si>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</si>
  <si>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</si>
  <si>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</si>
  <si>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</si>
  <si>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</si>
  <si>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</si>
  <si>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</si>
  <si>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</si>
  <si>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</si>
  <si>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</si>
  <si>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</si>
  <si>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</si>
  <si>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</si>
  <si>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</si>
  <si>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</si>
  <si>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</si>
  <si>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</si>
  <si>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</si>
  <si>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</si>
  <si>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</si>
  <si>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</si>
  <si>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</si>
  <si>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</si>
  <si>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</si>
  <si>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</si>
  <si>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</si>
  <si>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</si>
  <si>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</si>
  <si>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</si>
  <si>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</si>
  <si>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</si>
  <si>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</si>
  <si>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</si>
  <si>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</si>
  <si>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</si>
  <si>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</si>
  <si>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</si>
  <si>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</si>
  <si>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</si>
  <si>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</si>
  <si>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</si>
  <si>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</si>
  <si>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</si>
  <si>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</si>
  <si>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</si>
  <si>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</si>
  <si>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</si>
  <si>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</si>
  <si>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</si>
  <si>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</si>
  <si>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</si>
  <si>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</si>
  <si>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</si>
  <si>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</si>
  <si>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</si>
  <si>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</si>
  <si>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</si>
  <si>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</si>
  <si>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</si>
  <si>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</si>
  <si>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</si>
  <si>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</si>
  <si>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</si>
  <si>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</si>
  <si>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</si>
  <si>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</si>
  <si>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</si>
  <si>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</si>
  <si>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</si>
  <si>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</si>
  <si>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</si>
  <si>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</si>
  <si>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</si>
  <si>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</si>
  <si>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</si>
  <si>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</si>
  <si>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</si>
  <si>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</si>
  <si>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</si>
  <si>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</si>
  <si>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</si>
  <si>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</si>
  <si>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</si>
  <si>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</si>
  <si>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</si>
  <si>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</si>
  <si>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</si>
  <si>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</si>
  <si>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</si>
  <si>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</si>
  <si>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</si>
  <si>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</si>
  <si>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</si>
  <si>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</si>
  <si>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</si>
  <si>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</si>
  <si>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</si>
  <si>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</si>
  <si>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</si>
  <si>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</si>
  <si>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</si>
  <si>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</si>
  <si>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</si>
  <si>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</si>
  <si>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</si>
  <si>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</si>
  <si>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</si>
  <si>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</si>
  <si>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</si>
  <si>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</si>
  <si>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</si>
  <si>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</si>
  <si>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</si>
  <si>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</si>
  <si>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</si>
  <si>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</si>
  <si>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</si>
  <si>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</si>
  <si>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</si>
  <si>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</si>
  <si>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</si>
  <si>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</si>
  <si>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</si>
  <si>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</si>
  <si>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</si>
  <si>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</si>
  <si>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</si>
  <si>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</si>
  <si>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</si>
  <si>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</si>
  <si>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</si>
  <si>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</si>
  <si>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</si>
  <si>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</si>
  <si>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</si>
  <si>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</si>
  <si>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</si>
  <si>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</si>
  <si>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</si>
  <si>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</si>
  <si>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</si>
  <si>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</si>
  <si>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</si>
  <si>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</si>
  <si>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</si>
  <si>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</si>
  <si>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</si>
  <si>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</si>
  <si>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</si>
  <si>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</si>
  <si>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</si>
  <si>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</si>
  <si>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</si>
  <si>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</si>
  <si>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</si>
  <si>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</si>
  <si>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</si>
  <si>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</si>
  <si>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</si>
  <si>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</si>
  <si>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</si>
  <si>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</si>
  <si>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</si>
  <si>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</si>
  <si>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</si>
  <si>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</si>
  <si>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</si>
  <si>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</si>
  <si>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</si>
  <si>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</si>
  <si>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</si>
  <si>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</si>
  <si>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</si>
  <si>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</si>
  <si>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</si>
  <si>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</si>
  <si>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</si>
  <si>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</si>
  <si>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</si>
  <si>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</si>
  <si>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</si>
  <si>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</si>
  <si>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</si>
  <si>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</si>
  <si>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</si>
  <si>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</si>
  <si>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</si>
  <si>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</si>
  <si>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</si>
  <si>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</si>
  <si>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</si>
  <si>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</si>
  <si>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</si>
  <si>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</si>
  <si>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</si>
  <si>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</si>
  <si>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</si>
  <si>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</si>
  <si>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</si>
  <si>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</si>
  <si>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</si>
  <si>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</si>
  <si>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</si>
  <si>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</si>
  <si>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</si>
  <si>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</si>
  <si>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</si>
  <si>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</si>
  <si>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</si>
  <si>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</si>
  <si>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</si>
  <si>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</si>
  <si>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</si>
  <si>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</si>
  <si>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</si>
  <si>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</si>
  <si>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</si>
  <si>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</si>
  <si>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</si>
  <si>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</si>
  <si>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</si>
  <si>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</si>
  <si>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</si>
  <si>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</si>
  <si>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</si>
  <si>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</si>
  <si>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</si>
  <si>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</si>
  <si>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</si>
  <si>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</si>
  <si>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</si>
  <si>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</si>
  <si>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</si>
  <si>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</si>
  <si>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</si>
  <si>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</si>
  <si>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</si>
  <si>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</si>
  <si>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</si>
  <si>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</si>
  <si>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</si>
  <si>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</si>
  <si>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</si>
  <si>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</si>
  <si>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</si>
  <si>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</si>
  <si>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</si>
  <si>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</si>
  <si>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</si>
  <si>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</si>
  <si>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</si>
  <si>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</si>
  <si>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</si>
  <si>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</si>
  <si>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</si>
  <si>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</si>
  <si>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</si>
  <si>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</si>
  <si>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</si>
  <si>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</si>
  <si>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</si>
  <si>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</si>
  <si>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</si>
  <si>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</si>
  <si>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</si>
  <si>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</si>
  <si>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</si>
  <si>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</si>
  <si>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</si>
  <si>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</si>
  <si>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</si>
  <si>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</si>
  <si>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</si>
  <si>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</si>
  <si>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</si>
  <si>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</si>
  <si>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</si>
  <si>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</si>
  <si>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</si>
  <si>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</si>
  <si>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</si>
  <si>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</si>
  <si>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</si>
  <si>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</si>
  <si>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</si>
  <si>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</si>
  <si>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</si>
  <si>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</si>
  <si>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</si>
  <si>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</si>
  <si>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</si>
  <si>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</si>
  <si>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</si>
  <si>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</si>
  <si>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</si>
  <si>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</si>
  <si>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</si>
  <si>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</si>
  <si>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</si>
  <si>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</si>
  <si>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</si>
  <si>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</si>
  <si>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</si>
  <si>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</si>
  <si>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</si>
  <si>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</si>
  <si>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</si>
  <si>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</si>
  <si>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</si>
  <si>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</si>
  <si>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</si>
  <si>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</si>
  <si>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</si>
  <si>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</si>
  <si>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</si>
  <si>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</si>
  <si>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</si>
  <si>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</si>
  <si>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</si>
  <si>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</si>
  <si>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</si>
  <si>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</si>
  <si>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</si>
  <si>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</si>
  <si>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</si>
  <si>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</si>
  <si>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</si>
  <si>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</si>
  <si>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</si>
  <si>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</si>
  <si>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</si>
  <si>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</si>
  <si>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</si>
  <si>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</si>
  <si>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</si>
  <si>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</si>
  <si>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</si>
  <si>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</si>
  <si>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</si>
  <si>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</si>
  <si>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</si>
  <si>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</si>
  <si>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</si>
  <si>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</si>
  <si>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</si>
  <si>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</si>
  <si>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</si>
  <si>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</si>
  <si>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</si>
  <si>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</si>
  <si>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</si>
  <si>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</si>
  <si>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</si>
  <si>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</si>
  <si>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</si>
  <si>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</si>
  <si>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</si>
  <si>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</si>
  <si>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</si>
  <si>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</si>
  <si>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</si>
  <si>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</si>
  <si>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</si>
  <si>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</si>
  <si>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</si>
  <si>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</si>
  <si>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</si>
  <si>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</si>
  <si>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</si>
  <si>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</si>
  <si>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</si>
  <si>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</si>
  <si>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</si>
  <si>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</si>
  <si>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</si>
  <si>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</si>
  <si>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</si>
  <si>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</si>
  <si>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</si>
  <si>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</si>
  <si>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</si>
  <si>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</si>
  <si>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</si>
  <si>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</si>
  <si>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</si>
  <si>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</si>
  <si>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</si>
  <si>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</si>
  <si>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</si>
  <si>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</si>
  <si>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</si>
  <si>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</si>
  <si>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</si>
  <si>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</si>
  <si>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</si>
  <si>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</si>
  <si>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</si>
  <si>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</si>
  <si>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</si>
  <si>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</si>
  <si>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</si>
  <si>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</si>
  <si>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</si>
  <si>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</si>
  <si>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</si>
  <si>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</si>
  <si>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</si>
  <si>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</si>
  <si>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</si>
  <si>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</si>
  <si>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</si>
  <si>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</si>
  <si>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</si>
  <si>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</si>
  <si>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</si>
  <si>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</si>
  <si>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</si>
  <si>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</si>
  <si>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</si>
  <si>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</si>
  <si>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</si>
  <si>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</si>
  <si>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</si>
  <si>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</si>
  <si>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</si>
  <si>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</si>
  <si>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</si>
  <si>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</si>
  <si>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</si>
  <si>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</si>
  <si>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</si>
  <si>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</si>
  <si>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</si>
  <si>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</si>
  <si>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</si>
  <si>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</si>
  <si>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</si>
  <si>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</si>
  <si>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</si>
  <si>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</si>
  <si>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</si>
  <si>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</si>
  <si>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</si>
  <si>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</si>
  <si>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</si>
  <si>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</si>
  <si>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</si>
  <si>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</si>
  <si>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</si>
  <si>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</si>
  <si>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</si>
  <si>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</si>
  <si>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</si>
  <si>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</si>
  <si>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</si>
  <si>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</si>
  <si>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</si>
  <si>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</si>
  <si>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</si>
  <si>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</si>
  <si>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</si>
  <si>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</si>
  <si>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</si>
  <si>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</si>
  <si>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</si>
  <si>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</si>
  <si>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</si>
  <si>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</si>
  <si>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</si>
  <si>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</si>
  <si>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</si>
  <si>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</si>
  <si>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</si>
  <si>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</si>
  <si>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</si>
  <si>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</si>
  <si>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</si>
  <si>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</si>
  <si>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</si>
  <si>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</si>
  <si>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</si>
  <si>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</si>
  <si>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</si>
  <si>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</si>
  <si>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</si>
  <si>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</si>
  <si>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</si>
  <si>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</si>
  <si>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</si>
  <si>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</si>
  <si>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</si>
  <si>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</si>
  <si>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</si>
  <si>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</si>
  <si>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</si>
  <si>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</si>
  <si>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</si>
  <si>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</si>
  <si>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</si>
  <si>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</si>
  <si>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</si>
  <si>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</si>
  <si>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</si>
  <si>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</si>
  <si>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</si>
  <si>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</si>
  <si>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</si>
  <si>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</si>
  <si>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</si>
  <si>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</si>
  <si>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</si>
  <si>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</si>
  <si>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</si>
  <si>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</si>
  <si>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</si>
  <si>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</si>
  <si>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</si>
  <si>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</si>
  <si>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</si>
  <si>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</si>
  <si>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</si>
  <si>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</si>
  <si>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</si>
  <si>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</si>
  <si>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</si>
  <si>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</si>
  <si>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</si>
  <si>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</si>
  <si>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</si>
  <si>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</si>
  <si>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</si>
  <si>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</si>
  <si>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</si>
  <si>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</si>
  <si>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</si>
  <si>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</si>
  <si>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</si>
  <si>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</si>
  <si>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</si>
  <si>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</si>
  <si>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</si>
  <si>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</si>
  <si>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</si>
  <si>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</si>
  <si>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</si>
  <si>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</si>
  <si>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</si>
  <si>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</si>
  <si>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</si>
  <si>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</si>
  <si>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</si>
  <si>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</si>
  <si>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</si>
  <si>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</si>
  <si>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</si>
  <si>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</si>
  <si>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</si>
  <si>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</si>
  <si>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</si>
  <si>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</si>
  <si>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</si>
  <si>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</si>
  <si>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</si>
  <si>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</si>
  <si>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</si>
  <si>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</si>
  <si>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</si>
  <si>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</si>
  <si>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</si>
  <si>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</si>
  <si>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</si>
  <si>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</si>
  <si>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</si>
  <si>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</si>
  <si>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</si>
  <si>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</si>
  <si>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</si>
  <si>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</si>
  <si>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</si>
  <si>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</si>
  <si>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</si>
  <si>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</si>
  <si>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</si>
  <si>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</si>
  <si>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</si>
  <si>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</si>
  <si>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</si>
  <si>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</si>
  <si>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</si>
  <si>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</si>
  <si>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</si>
  <si>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</si>
  <si>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</si>
  <si>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</si>
  <si>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</si>
  <si>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</si>
  <si>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</si>
  <si>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</si>
  <si>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</si>
  <si>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</si>
  <si>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</si>
  <si>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</si>
  <si>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</si>
  <si>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</si>
  <si>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</si>
  <si>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</si>
  <si>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</si>
  <si>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</si>
  <si>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</si>
  <si>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</si>
  <si>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</si>
  <si>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</si>
  <si>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</si>
  <si>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</si>
  <si>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</si>
  <si>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</si>
  <si>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</si>
  <si>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</si>
  <si>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</si>
  <si>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</si>
  <si>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</si>
  <si>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</si>
  <si>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</si>
  <si>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</si>
  <si>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</si>
  <si>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</si>
  <si>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</si>
  <si>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</si>
  <si>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</si>
  <si>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</si>
  <si>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</si>
  <si>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</si>
  <si>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</si>
  <si>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</si>
  <si>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</si>
  <si>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</si>
  <si>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</si>
  <si>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</si>
  <si>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</si>
  <si>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</si>
  <si>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</si>
  <si>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</si>
  <si>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</si>
  <si>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</si>
  <si>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</si>
  <si>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</si>
  <si>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</si>
  <si>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</si>
  <si>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</si>
  <si>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</si>
  <si>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</si>
  <si>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</si>
  <si>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</si>
  <si>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</si>
  <si>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</si>
  <si>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</si>
  <si>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</si>
  <si>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</si>
  <si>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</si>
  <si>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</si>
  <si>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</si>
  <si>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</si>
  <si>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</si>
  <si>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</si>
  <si>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</si>
  <si>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</si>
  <si>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</si>
  <si>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</si>
  <si>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</si>
  <si>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</si>
  <si>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</si>
  <si>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</si>
  <si>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</si>
  <si>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</si>
  <si>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</si>
  <si>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</si>
  <si>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</si>
  <si>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</si>
  <si>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</si>
  <si>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</si>
  <si>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</si>
  <si>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</si>
  <si>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</si>
  <si>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</si>
  <si>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</si>
  <si>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</si>
  <si>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</si>
  <si>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</si>
  <si>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</si>
  <si>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</si>
  <si>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</si>
  <si>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</si>
  <si>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</si>
  <si>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</si>
  <si>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</si>
  <si>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</si>
  <si>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</si>
  <si>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</si>
  <si>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</si>
  <si>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</si>
  <si>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</si>
  <si>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</si>
  <si>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</si>
  <si>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</si>
  <si>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</si>
  <si>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</si>
  <si>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</si>
  <si>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</si>
  <si>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</si>
  <si>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</si>
  <si>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</si>
  <si>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</si>
  <si>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</si>
  <si>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</si>
  <si>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</si>
  <si>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</si>
  <si>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</si>
  <si>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</si>
  <si>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</si>
  <si>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</si>
  <si>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</si>
  <si>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</si>
  <si>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</si>
  <si>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</si>
  <si>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</si>
  <si>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</si>
  <si>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</si>
  <si>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</si>
  <si>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</si>
  <si>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</si>
  <si>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</si>
  <si>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</si>
  <si>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</si>
  <si>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</si>
  <si>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</si>
  <si>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</si>
  <si>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</si>
  <si>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</si>
  <si>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</si>
  <si>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</si>
  <si>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</si>
  <si>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</si>
  <si>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</si>
  <si>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</si>
  <si>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</si>
  <si>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</si>
  <si>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</si>
  <si>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</si>
  <si>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</si>
  <si>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</si>
  <si>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</si>
  <si>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</si>
  <si>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</si>
  <si>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</si>
  <si>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</si>
  <si>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</si>
  <si>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</si>
  <si>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</si>
  <si>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</si>
  <si>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</si>
  <si>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</si>
  <si>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</si>
  <si>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</si>
  <si>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</si>
  <si>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</si>
  <si>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</si>
  <si>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</si>
  <si>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</si>
  <si>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</si>
  <si>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</si>
  <si>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</si>
  <si>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</si>
  <si>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</si>
  <si>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</si>
  <si>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</si>
  <si>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</si>
  <si>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</si>
  <si>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</si>
  <si>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</si>
  <si>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</si>
  <si>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</si>
  <si>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</si>
  <si>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</si>
  <si>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</si>
  <si>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</si>
  <si>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</si>
  <si>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</si>
  <si>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</si>
  <si>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</si>
  <si>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</si>
  <si>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</si>
  <si>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</si>
  <si>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</si>
  <si>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</si>
  <si>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</si>
  <si>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</si>
  <si>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</si>
  <si>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</si>
  <si>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</si>
  <si>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</si>
  <si>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</si>
  <si>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</si>
  <si>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</si>
  <si>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</si>
  <si>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</si>
  <si>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</si>
  <si>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</si>
  <si>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</si>
  <si>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</si>
  <si>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</si>
  <si>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</si>
  <si>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</si>
  <si>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</si>
  <si>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</si>
  <si>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</si>
  <si>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</si>
  <si>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</si>
  <si>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</si>
  <si>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</si>
  <si>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</si>
  <si>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</si>
  <si>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</si>
  <si>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</si>
  <si>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</si>
  <si>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</si>
  <si>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</si>
  <si>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</si>
  <si>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</si>
  <si>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</si>
  <si>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</si>
  <si>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</si>
  <si>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</si>
  <si>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</si>
  <si>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</si>
  <si>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</si>
  <si>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</si>
  <si>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</si>
  <si>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</si>
  <si>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</si>
  <si>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</si>
  <si>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</si>
  <si>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</si>
  <si>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</si>
  <si>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</si>
  <si>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</si>
  <si>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</si>
  <si>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</si>
  <si>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</si>
  <si>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</si>
  <si>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</si>
  <si>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</si>
  <si>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</si>
  <si>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</si>
  <si>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</si>
  <si>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</si>
  <si>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</si>
  <si>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</si>
  <si>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</si>
  <si>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</si>
  <si>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</si>
  <si>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</si>
  <si>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</si>
  <si>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</si>
  <si>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</si>
  <si>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</si>
  <si>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</si>
  <si>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</si>
  <si>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</si>
  <si>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</si>
  <si>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</si>
  <si>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</si>
  <si>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</si>
  <si>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</si>
  <si>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</si>
  <si>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</si>
  <si>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</si>
  <si>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</si>
  <si>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</si>
  <si>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</si>
  <si>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</si>
  <si>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</si>
  <si>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</si>
  <si>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</si>
  <si>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</si>
  <si>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</si>
  <si>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</si>
  <si>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</si>
  <si>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</si>
  <si>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</si>
  <si>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</si>
  <si>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</si>
  <si>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</si>
  <si>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</si>
  <si>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</si>
  <si>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</si>
  <si>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</si>
  <si>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</si>
  <si>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</si>
  <si>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</si>
  <si>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</si>
  <si>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</si>
  <si>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</si>
  <si>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</si>
  <si>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</si>
  <si>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</si>
  <si>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</si>
  <si>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</si>
  <si>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</si>
  <si>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</si>
  <si>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</si>
  <si>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</si>
  <si>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</si>
  <si>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</si>
  <si>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</si>
  <si>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</si>
  <si>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</si>
  <si>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</si>
  <si>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</si>
  <si>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</si>
  <si>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</si>
  <si>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</si>
  <si>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</si>
  <si>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</si>
  <si>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</si>
  <si>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</si>
  <si>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</si>
  <si>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</si>
  <si>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</si>
  <si>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</si>
  <si>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</si>
  <si>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</si>
  <si>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</si>
  <si>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</si>
  <si>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</si>
  <si>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</si>
  <si>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</si>
  <si>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</si>
  <si>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</si>
  <si>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</si>
  <si>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</si>
  <si>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</si>
  <si>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</si>
  <si>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</si>
  <si>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</si>
  <si>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</si>
  <si>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</si>
  <si>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</si>
  <si>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</si>
  <si>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</si>
  <si>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</si>
  <si>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</si>
  <si>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</si>
  <si>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</si>
  <si>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</si>
  <si>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</si>
  <si>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</si>
  <si>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</si>
  <si>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</si>
  <si>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</si>
  <si>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</si>
  <si>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</si>
  <si>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</si>
  <si>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</si>
  <si>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</si>
  <si>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</si>
  <si>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</si>
  <si>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</si>
  <si>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</si>
  <si>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</si>
  <si>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</si>
  <si>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</si>
  <si>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</si>
  <si>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</si>
  <si>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</si>
  <si>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</si>
  <si>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</si>
  <si>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</si>
  <si>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</si>
  <si>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</si>
  <si>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</si>
  <si>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</si>
  <si>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</si>
  <si>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</si>
  <si>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</si>
  <si>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</si>
  <si>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</si>
  <si>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</si>
  <si>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</si>
  <si>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</si>
  <si>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</si>
  <si>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</si>
  <si>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</si>
  <si>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</si>
  <si>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</si>
  <si>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</si>
  <si>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</si>
  <si>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</si>
  <si>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</si>
  <si>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</si>
  <si>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</si>
  <si>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</si>
  <si>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</si>
  <si>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</si>
  <si>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</si>
  <si>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</si>
  <si>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</si>
  <si>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</si>
  <si>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</si>
  <si>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</si>
  <si>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</si>
  <si>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</si>
  <si>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</si>
  <si>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</si>
  <si>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</si>
  <si>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</si>
  <si>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</si>
  <si>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</si>
  <si>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</si>
  <si>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</si>
  <si>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</si>
  <si>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</si>
  <si>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</si>
  <si>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</si>
  <si>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</si>
  <si>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</si>
  <si>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</si>
  <si>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</si>
  <si>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</si>
  <si>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</si>
  <si>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</si>
  <si>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</si>
  <si>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</si>
  <si>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</si>
  <si>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</si>
  <si>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</si>
  <si>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</si>
  <si>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</si>
  <si>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</si>
  <si>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</si>
  <si>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</si>
  <si>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</si>
  <si>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</si>
  <si>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</si>
  <si>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</si>
  <si>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</si>
  <si>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</si>
  <si>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</si>
  <si>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</si>
  <si>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</si>
  <si>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</si>
  <si>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</si>
  <si>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</si>
  <si>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</si>
  <si>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</si>
  <si>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</si>
  <si>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</si>
  <si>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</si>
  <si>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</si>
  <si>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</si>
  <si>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</si>
  <si>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</si>
  <si>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</si>
  <si>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</si>
  <si>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</si>
  <si>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</si>
  <si>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</si>
  <si>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</si>
  <si>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</si>
  <si>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</si>
  <si>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</si>
  <si>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</si>
  <si>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</si>
  <si>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</si>
  <si>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</si>
  <si>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</si>
  <si>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</si>
  <si>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</si>
  <si>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</si>
  <si>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</si>
  <si>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</si>
  <si>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</si>
  <si>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</si>
  <si>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</si>
  <si>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</si>
  <si>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</si>
  <si>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</si>
  <si>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</si>
  <si>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</si>
  <si>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</si>
  <si>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</si>
  <si>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</si>
  <si>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</si>
  <si>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</si>
  <si>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</si>
  <si>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</si>
  <si>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</si>
  <si>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</si>
  <si>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</si>
  <si>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</si>
  <si>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</si>
  <si>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</si>
  <si>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</si>
  <si>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</si>
  <si>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</si>
  <si>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</si>
  <si>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</si>
  <si>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</si>
  <si>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</si>
  <si>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</si>
  <si>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</si>
  <si>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</si>
  <si>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</si>
  <si>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</si>
  <si>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</si>
  <si>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</si>
  <si>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</si>
  <si>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</si>
  <si>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</si>
  <si>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</si>
  <si>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</si>
  <si>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</si>
  <si>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</si>
  <si>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</si>
  <si>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</si>
  <si>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</si>
  <si>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</si>
  <si>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</si>
  <si>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</si>
  <si>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</si>
  <si>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</si>
  <si>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</si>
  <si>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</si>
  <si>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</si>
  <si>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</si>
  <si>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</si>
  <si>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</si>
  <si>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</si>
  <si>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</si>
  <si>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</si>
  <si>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</si>
  <si>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</si>
  <si>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</si>
  <si>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</si>
  <si>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</si>
  <si>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</si>
  <si>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</si>
  <si>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</si>
  <si>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</si>
  <si>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</si>
  <si>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</si>
  <si>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</si>
  <si>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</si>
  <si>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</si>
  <si>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</si>
  <si>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</si>
  <si>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</si>
  <si>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</si>
  <si>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</si>
  <si>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</si>
  <si>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</si>
  <si>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</si>
  <si>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</si>
  <si>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</si>
  <si>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</si>
  <si>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</si>
  <si>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</si>
  <si>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</si>
  <si>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</si>
  <si>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</si>
  <si>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</si>
  <si>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</si>
  <si>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</si>
  <si>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</si>
  <si>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</si>
  <si>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</si>
  <si>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</si>
  <si>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</si>
  <si>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</si>
  <si>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</si>
  <si>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</si>
  <si>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</si>
  <si>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</si>
  <si>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</si>
  <si>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</si>
  <si>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</si>
  <si>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</si>
  <si>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</si>
  <si>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</si>
  <si>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</si>
  <si>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</si>
  <si>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</si>
  <si>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</si>
  <si>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</si>
  <si>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</si>
  <si>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</si>
  <si>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</si>
  <si>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</si>
  <si>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</si>
  <si>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</si>
  <si>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</si>
  <si>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</si>
  <si>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</si>
  <si>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</si>
  <si>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</si>
  <si>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</si>
  <si>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</si>
  <si>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</si>
  <si>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</si>
  <si>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</si>
  <si>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</si>
  <si>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</si>
  <si>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</si>
  <si>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</si>
  <si>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</si>
  <si>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</si>
  <si>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</si>
  <si>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</si>
  <si>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</si>
  <si>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</si>
  <si>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</si>
  <si>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</si>
  <si>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</si>
  <si>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</si>
  <si>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</si>
  <si>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</si>
  <si>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</si>
  <si>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</si>
  <si>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</si>
  <si>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</si>
  <si>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</si>
  <si>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</si>
  <si>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</si>
  <si>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</si>
  <si>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</si>
  <si>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</si>
  <si>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</si>
  <si>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</si>
  <si>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</si>
  <si>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</si>
  <si>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</si>
  <si>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</si>
  <si>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</si>
  <si>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</si>
  <si>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</si>
  <si>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</si>
  <si>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</si>
  <si>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</si>
  <si>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</si>
  <si>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</si>
  <si>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</si>
  <si>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</si>
  <si>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</si>
  <si>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</si>
  <si>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</si>
  <si>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</si>
  <si>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</si>
  <si>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</si>
  <si>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</si>
  <si>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</si>
  <si>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</si>
  <si>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</si>
  <si>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</si>
  <si>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</si>
  <si>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</si>
  <si>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</si>
  <si>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</si>
  <si>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</si>
  <si>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</si>
  <si>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</si>
  <si>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</si>
  <si>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</si>
  <si>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</si>
  <si>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</si>
  <si>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</si>
  <si>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</si>
  <si>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</si>
  <si>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</si>
  <si>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</si>
  <si>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</si>
  <si>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</si>
  <si>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</si>
  <si>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</si>
  <si>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</si>
  <si>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</si>
  <si>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</si>
  <si>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</si>
  <si>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</si>
  <si>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</si>
  <si>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</si>
  <si>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</si>
  <si>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</si>
  <si>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</si>
  <si>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</si>
  <si>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</si>
  <si>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</si>
  <si>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</si>
  <si>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</si>
  <si>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</si>
  <si>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</si>
  <si>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</si>
  <si>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</si>
  <si>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</si>
  <si>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</si>
  <si>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</si>
  <si>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</si>
  <si>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</si>
  <si>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</si>
  <si>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</si>
  <si>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</si>
  <si>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</si>
  <si>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</si>
  <si>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</si>
  <si>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</si>
  <si>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</si>
  <si>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</si>
  <si>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</si>
  <si>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</si>
  <si>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</si>
  <si>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</si>
  <si>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</si>
  <si>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</si>
  <si>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</si>
  <si>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</si>
  <si>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</si>
  <si>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</si>
  <si>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</si>
  <si>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</si>
  <si>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</si>
  <si>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</si>
  <si>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</si>
  <si>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</si>
  <si>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</si>
  <si>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</si>
  <si>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</si>
  <si>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</si>
  <si>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</si>
  <si>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</si>
  <si>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</si>
  <si>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</si>
  <si>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</si>
  <si>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</si>
  <si>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</si>
  <si>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</si>
  <si>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</si>
  <si>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</si>
  <si>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</si>
  <si>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</si>
  <si>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</si>
  <si>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</si>
  <si>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</si>
  <si>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</si>
  <si>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</si>
  <si>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</si>
  <si>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</si>
  <si>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</si>
  <si>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</si>
  <si>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</si>
  <si>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</si>
  <si>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</si>
  <si>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</si>
  <si>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</si>
  <si>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</si>
  <si>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</si>
  <si>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</si>
  <si>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</si>
  <si>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</si>
  <si>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</si>
  <si>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</si>
  <si>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</si>
  <si>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</si>
  <si>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</si>
  <si>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</si>
  <si>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</si>
  <si>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</si>
  <si>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</si>
  <si>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</si>
  <si>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</si>
  <si>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</si>
  <si>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</si>
  <si>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</si>
  <si>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</si>
  <si>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</si>
  <si>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</si>
  <si>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</si>
  <si>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</si>
  <si>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</si>
  <si>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</si>
  <si>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</si>
  <si>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</si>
  <si>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</si>
  <si>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</si>
  <si>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</si>
  <si>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</si>
  <si>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</si>
  <si>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</si>
  <si>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</si>
  <si>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</si>
  <si>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</si>
  <si>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</si>
  <si>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</si>
  <si>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</si>
  <si>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</si>
  <si>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</si>
  <si>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</si>
  <si>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</si>
  <si>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</si>
  <si>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</si>
  <si>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</si>
  <si>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</si>
  <si>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</si>
  <si>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</si>
  <si>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</si>
  <si>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</si>
  <si>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</si>
  <si>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</si>
  <si>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</si>
  <si>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</si>
  <si>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</si>
  <si>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</si>
  <si>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</si>
  <si>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</si>
  <si>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</si>
  <si>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</si>
  <si>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</si>
  <si>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</si>
  <si>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</si>
  <si>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</si>
  <si>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</si>
  <si>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</si>
  <si>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</si>
  <si>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</si>
  <si>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</si>
  <si>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</si>
  <si>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</si>
  <si>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</si>
  <si>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</si>
  <si>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</si>
  <si>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</si>
  <si>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</si>
  <si>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</si>
  <si>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</si>
  <si>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</si>
  <si>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</si>
  <si>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</si>
  <si>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</si>
  <si>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</si>
  <si>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</si>
  <si>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</si>
  <si>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</si>
  <si>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</si>
  <si>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</si>
  <si>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</si>
  <si>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</si>
  <si>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</si>
  <si>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</si>
  <si>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</si>
  <si>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</si>
  <si>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</si>
  <si>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</si>
  <si>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</si>
  <si>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</si>
  <si>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</si>
  <si>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</si>
  <si>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</si>
  <si>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</si>
  <si>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</si>
  <si>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</si>
  <si>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</si>
  <si>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</si>
  <si>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</si>
  <si>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</si>
  <si>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</si>
  <si>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</si>
  <si>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</si>
  <si>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</si>
  <si>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</si>
  <si>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</si>
  <si>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</si>
  <si>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</si>
  <si>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</si>
  <si>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</si>
  <si>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</si>
  <si>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</si>
  <si>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</si>
  <si>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</si>
  <si>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</si>
  <si>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</si>
  <si>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</si>
  <si>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</si>
  <si>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</si>
  <si>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</si>
  <si>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</si>
  <si>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</si>
  <si>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</si>
  <si>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</si>
  <si>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</si>
  <si>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</si>
  <si>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</si>
  <si>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</si>
  <si>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</si>
  <si>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</si>
  <si>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</si>
  <si>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</si>
  <si>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</si>
  <si>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</si>
  <si>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</si>
  <si>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</si>
  <si>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</si>
  <si>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</si>
  <si>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</si>
  <si>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</si>
  <si>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</si>
  <si>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</si>
  <si>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</si>
  <si>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</si>
  <si>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</si>
  <si>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</si>
  <si>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</si>
  <si>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</si>
  <si>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</si>
  <si>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</si>
  <si>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</si>
  <si>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</si>
  <si>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</si>
  <si>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</si>
  <si>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</si>
  <si>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</si>
  <si>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</si>
  <si>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</si>
  <si>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</si>
  <si>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</si>
  <si>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</si>
  <si>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</si>
  <si>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</si>
  <si>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</si>
  <si>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</si>
  <si>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</si>
  <si>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</si>
  <si>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</si>
  <si>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</si>
  <si>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</si>
  <si>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</si>
  <si>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</si>
  <si>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</si>
  <si>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</si>
  <si>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</si>
  <si>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</si>
  <si>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</si>
  <si>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</si>
  <si>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</si>
  <si>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</si>
  <si>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</si>
  <si>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</si>
  <si>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</si>
  <si>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</si>
  <si>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</si>
  <si>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</si>
  <si>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</si>
  <si>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</si>
  <si>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</si>
  <si>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</si>
  <si>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</si>
  <si>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</si>
  <si>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</si>
  <si>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</si>
  <si>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</si>
  <si>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</si>
  <si>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</si>
  <si>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</si>
  <si>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</si>
  <si>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</si>
  <si>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</si>
  <si>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</si>
  <si>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</si>
  <si>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</si>
  <si>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</si>
  <si>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</si>
  <si>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</si>
  <si>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</si>
  <si>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</si>
  <si>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</si>
  <si>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</si>
  <si>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</si>
  <si>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</si>
  <si>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</si>
  <si>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</si>
  <si>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</si>
  <si>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</si>
  <si>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</si>
  <si>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</si>
  <si>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</si>
  <si>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</si>
  <si>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</si>
  <si>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</si>
  <si>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</si>
  <si>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</si>
  <si>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</si>
  <si>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</si>
  <si>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</si>
  <si>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</si>
  <si>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</si>
  <si>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</si>
  <si>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</si>
  <si>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</si>
  <si>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</si>
  <si>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</si>
  <si>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</si>
  <si>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</si>
  <si>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</si>
  <si>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</si>
  <si>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</si>
  <si>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</si>
  <si>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</si>
  <si>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</si>
  <si>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</si>
  <si>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</si>
  <si>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</si>
  <si>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</si>
  <si>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</si>
  <si>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</si>
  <si>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</si>
  <si>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</si>
  <si>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</si>
  <si>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</si>
  <si>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</si>
  <si>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</si>
  <si>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</si>
  <si>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</si>
  <si>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</si>
  <si>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</si>
  <si>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</si>
  <si>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</si>
  <si>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</si>
  <si>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</si>
  <si>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</si>
  <si>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</si>
  <si>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</si>
  <si>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</si>
  <si>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</si>
  <si>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</si>
  <si>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</si>
  <si>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</si>
  <si>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</si>
  <si>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</si>
  <si>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</si>
  <si>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</si>
  <si>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</si>
  <si>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</si>
  <si>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</si>
  <si>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</si>
  <si>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</si>
  <si>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</si>
  <si>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</si>
  <si>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</si>
  <si>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</si>
  <si>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</si>
  <si>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</si>
  <si>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</si>
  <si>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</si>
  <si>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</si>
  <si>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</si>
  <si>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</si>
  <si>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</si>
  <si>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</si>
  <si>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</si>
  <si>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</si>
  <si>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</si>
  <si>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</si>
  <si>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</si>
  <si>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</si>
  <si>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</si>
  <si>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</si>
  <si>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</si>
  <si>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</si>
  <si>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</si>
  <si>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</si>
  <si>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</si>
  <si>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</si>
  <si>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</si>
  <si>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</si>
  <si>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</si>
  <si>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</si>
  <si>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</si>
  <si>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</si>
  <si>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</si>
  <si>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</si>
  <si>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</si>
  <si>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</si>
  <si>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</si>
  <si>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</si>
  <si>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</si>
  <si>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</si>
  <si>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</si>
  <si>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</si>
  <si>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</si>
  <si>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</si>
  <si>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</si>
  <si>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</si>
  <si>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</si>
  <si>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</si>
  <si>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</si>
  <si>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</si>
  <si>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</si>
  <si>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</si>
  <si>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</si>
  <si>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</si>
  <si>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</si>
  <si>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</si>
  <si>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</si>
  <si>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</si>
  <si>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</si>
  <si>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</si>
  <si>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</si>
  <si>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</si>
  <si>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</si>
  <si>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</si>
  <si>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</si>
  <si>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</si>
  <si>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</si>
  <si>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</si>
  <si>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</si>
  <si>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</si>
  <si>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</si>
  <si>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</si>
  <si>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</si>
  <si>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</si>
  <si>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</si>
  <si>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</si>
  <si>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</si>
  <si>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</si>
  <si>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</si>
  <si>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</si>
  <si>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</si>
  <si>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</si>
  <si>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</si>
  <si>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</si>
  <si>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</si>
  <si>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</si>
  <si>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</si>
  <si>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</si>
  <si>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</si>
  <si>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</si>
  <si>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</si>
  <si>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</si>
  <si>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</si>
  <si>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</si>
  <si>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</si>
  <si>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</si>
  <si>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</si>
  <si>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</si>
  <si>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</si>
  <si>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</si>
  <si>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</si>
  <si>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</si>
  <si>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</si>
  <si>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</si>
  <si>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</si>
  <si>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</si>
  <si>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</si>
  <si>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</si>
  <si>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</si>
  <si>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</si>
  <si>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</si>
  <si>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</si>
  <si>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</si>
  <si>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</si>
  <si>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</si>
  <si>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</si>
  <si>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</si>
  <si>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</si>
  <si>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</si>
  <si>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</si>
  <si>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</si>
  <si>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</si>
  <si>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</si>
  <si>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</si>
  <si>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</si>
  <si>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</si>
  <si>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</si>
  <si>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</si>
  <si>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</si>
  <si>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</si>
  <si>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</si>
  <si>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</si>
  <si>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</si>
  <si>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</si>
  <si>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</si>
  <si>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</si>
  <si>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</si>
  <si>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</si>
  <si>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</si>
  <si>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</si>
  <si>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</si>
  <si>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</si>
  <si>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</si>
  <si>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</si>
  <si>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</si>
  <si>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</si>
  <si>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</si>
  <si>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</si>
  <si>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</si>
  <si>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</si>
  <si>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</si>
  <si>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</si>
  <si>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</si>
  <si>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</si>
  <si>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</si>
  <si>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</si>
  <si>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</si>
  <si>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</si>
  <si>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</si>
  <si>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</si>
  <si>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</si>
  <si>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</si>
  <si>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</si>
  <si>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</si>
  <si>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</si>
  <si>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</si>
  <si>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</si>
  <si>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</si>
  <si>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</si>
  <si>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</si>
  <si>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</si>
  <si>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</si>
  <si>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</si>
  <si>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</si>
  <si>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</si>
  <si>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</si>
  <si>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</si>
  <si>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</si>
  <si>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</si>
  <si>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</si>
  <si>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</si>
  <si>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</si>
  <si>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</si>
  <si>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</si>
  <si>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</si>
  <si>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</si>
  <si>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</si>
  <si>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</si>
  <si>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</si>
  <si>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</si>
  <si>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</si>
  <si>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</si>
  <si>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</si>
  <si>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</si>
  <si>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</si>
  <si>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</si>
  <si>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</si>
  <si>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</si>
  <si>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</si>
  <si>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</si>
  <si>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</si>
  <si>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</si>
  <si>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</si>
  <si>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</si>
  <si>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</si>
  <si>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</si>
  <si>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</si>
  <si>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</si>
  <si>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</si>
  <si>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</si>
  <si>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</si>
  <si>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</si>
  <si>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</si>
  <si>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</si>
  <si>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</si>
  <si>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</si>
  <si>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</si>
  <si>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</si>
  <si>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</si>
  <si>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</si>
  <si>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</si>
  <si>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</si>
  <si>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</si>
  <si>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</si>
  <si>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</si>
  <si>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</si>
  <si>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</si>
  <si>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</si>
  <si>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</si>
  <si>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</si>
  <si>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</si>
  <si>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</si>
  <si>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</si>
  <si>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</si>
  <si>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</si>
  <si>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</si>
  <si>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</si>
  <si>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</si>
  <si>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</si>
  <si>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</si>
  <si>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</si>
  <si>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</si>
  <si>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</si>
  <si>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</si>
  <si>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</si>
  <si>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</si>
  <si>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</si>
  <si>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</si>
  <si>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</si>
  <si>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</si>
  <si>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</si>
  <si>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</si>
  <si>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</si>
  <si>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</si>
  <si>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</si>
  <si>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</si>
  <si>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</si>
  <si>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</si>
  <si>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</si>
  <si>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</si>
  <si>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</si>
  <si>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</si>
  <si>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</si>
  <si>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</si>
  <si>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</si>
  <si>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</si>
  <si>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</si>
  <si>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</si>
  <si>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</si>
  <si>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</si>
  <si>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</si>
  <si>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</si>
  <si>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</si>
  <si>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</si>
  <si>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</si>
  <si>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</si>
  <si>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</si>
  <si>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</si>
  <si>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</si>
  <si>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</si>
  <si>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</si>
  <si>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</si>
  <si>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</si>
  <si>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</si>
  <si>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</si>
  <si>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</si>
  <si>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</si>
  <si>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</si>
  <si>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</si>
  <si>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</si>
  <si>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</si>
  <si>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</si>
  <si>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</si>
  <si>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</si>
  <si>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</si>
  <si>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</si>
  <si>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</si>
  <si>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</si>
  <si>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</si>
  <si>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</si>
  <si>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</si>
  <si>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</si>
  <si>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</si>
  <si>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</si>
  <si>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</si>
  <si>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</si>
  <si>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</si>
  <si>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</si>
  <si>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</si>
  <si>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</si>
  <si>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</si>
  <si>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</si>
  <si>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</si>
  <si>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</si>
  <si>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</si>
  <si>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</si>
  <si>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</si>
  <si>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</si>
  <si>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</si>
  <si>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</si>
  <si>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</si>
  <si>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</si>
  <si>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</si>
  <si>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</si>
  <si>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</si>
  <si>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</si>
  <si>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</si>
  <si>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</si>
  <si>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</si>
  <si>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</si>
  <si>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</si>
  <si>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</si>
  <si>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</si>
  <si>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</si>
  <si>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</si>
  <si>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</si>
  <si>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</si>
  <si>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</si>
  <si>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</si>
  <si>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</si>
  <si>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</si>
  <si>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</si>
  <si>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</si>
  <si>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</si>
  <si>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</si>
  <si>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</si>
  <si>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</si>
  <si>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</si>
  <si>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</si>
  <si>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</si>
  <si>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</si>
  <si>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</si>
  <si>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</si>
  <si>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</si>
  <si>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</si>
  <si>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</si>
  <si>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</si>
  <si>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</si>
  <si>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</si>
  <si>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</si>
  <si>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</si>
  <si>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</si>
  <si>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</si>
  <si>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</si>
  <si>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</si>
  <si>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</si>
  <si>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</si>
  <si>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</si>
  <si>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</si>
  <si>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</si>
  <si>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</si>
  <si>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</si>
  <si>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</si>
  <si>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</si>
  <si>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</si>
  <si>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</si>
  <si>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</si>
  <si>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</si>
  <si>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</si>
  <si>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</si>
  <si>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</si>
  <si>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</si>
  <si>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</si>
  <si>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</si>
  <si>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</si>
  <si>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</si>
  <si>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</si>
  <si>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</si>
  <si>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</si>
  <si>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</si>
  <si>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</si>
  <si>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</si>
  <si>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</si>
  <si>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</si>
  <si>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</si>
  <si>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</si>
  <si>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</si>
  <si>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</si>
  <si>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</si>
  <si>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</si>
  <si>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</si>
  <si>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</si>
  <si>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</si>
  <si>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</si>
  <si>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</si>
  <si>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</si>
  <si>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</si>
  <si>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</si>
  <si>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</si>
  <si>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</si>
  <si>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</si>
  <si>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</si>
  <si>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</si>
  <si>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</si>
  <si>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</si>
  <si>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</si>
  <si>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</si>
  <si>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</si>
  <si>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</si>
  <si>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</si>
  <si>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</si>
  <si>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</si>
  <si>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</si>
  <si>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</si>
  <si>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</si>
  <si>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</si>
  <si>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</si>
  <si>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</si>
  <si>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</si>
  <si>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</si>
  <si>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</si>
  <si>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</si>
  <si>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</si>
  <si>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</si>
  <si>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</si>
  <si>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</si>
  <si>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</si>
  <si>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</si>
  <si>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</si>
  <si>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</si>
  <si>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</si>
  <si>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</si>
  <si>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</si>
  <si>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</si>
  <si>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</si>
  <si>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</si>
  <si>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</si>
  <si>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</si>
  <si>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</si>
  <si>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</si>
  <si>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</si>
  <si>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</si>
  <si>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</si>
  <si>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</si>
  <si>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</si>
  <si>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</si>
  <si>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</si>
  <si>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</si>
  <si>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</si>
  <si>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</si>
  <si>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</si>
  <si>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</si>
  <si>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</si>
  <si>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</si>
  <si>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</si>
  <si>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</si>
  <si>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</si>
  <si>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</si>
  <si>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</si>
  <si>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</si>
  <si>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</si>
  <si>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</si>
  <si>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</si>
  <si>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</si>
  <si>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</si>
  <si>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</si>
  <si>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</si>
  <si>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</si>
  <si>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</si>
  <si>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</si>
  <si>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</si>
  <si>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</si>
  <si>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</si>
  <si>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</si>
  <si>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</si>
  <si>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</si>
  <si>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</si>
  <si>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</si>
  <si>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</si>
  <si>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</si>
  <si>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</si>
  <si>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</si>
  <si>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</si>
  <si>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</si>
  <si>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</si>
  <si>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</si>
  <si>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</si>
  <si>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</si>
  <si>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</si>
  <si>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</si>
  <si>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</si>
  <si>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</si>
  <si>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</si>
  <si>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</si>
  <si>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</si>
  <si>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</si>
  <si>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</si>
  <si>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</si>
  <si>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</si>
  <si>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</si>
  <si>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</si>
  <si>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</si>
  <si>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</si>
  <si>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</si>
  <si>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</si>
  <si>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</si>
  <si>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</si>
  <si>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</si>
  <si>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</si>
  <si>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</si>
  <si>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</si>
  <si>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</si>
  <si>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</si>
  <si>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</si>
  <si>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</si>
  <si>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</si>
  <si>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</si>
  <si>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</si>
  <si>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</si>
  <si>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</si>
  <si>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</si>
  <si>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</si>
  <si>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</si>
  <si>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</si>
  <si>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</si>
  <si>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</si>
  <si>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</si>
  <si>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</si>
  <si>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</si>
  <si>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</si>
  <si>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</si>
  <si>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</si>
  <si>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</si>
  <si>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</si>
  <si>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</si>
  <si>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</si>
  <si>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</si>
  <si>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</si>
  <si>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</si>
  <si>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</si>
  <si>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</si>
  <si>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</si>
  <si>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</si>
  <si>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</si>
  <si>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</si>
  <si>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</si>
  <si>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</si>
  <si>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</si>
  <si>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</si>
  <si>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</si>
  <si>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</si>
  <si>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</si>
  <si>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</si>
  <si>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</si>
  <si>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</si>
  <si>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</si>
  <si>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</si>
  <si>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</si>
  <si>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</si>
  <si>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</si>
  <si>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</si>
  <si>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</si>
  <si>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</si>
  <si>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</si>
  <si>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</si>
  <si>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</si>
  <si>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</si>
  <si>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</si>
  <si>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</si>
  <si>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</si>
  <si>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</si>
  <si>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</si>
  <si>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</si>
  <si>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</si>
  <si>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</si>
  <si>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</si>
  <si>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</si>
  <si>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</si>
  <si>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</si>
  <si>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</si>
  <si>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</si>
  <si>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</si>
  <si>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</si>
  <si>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</si>
  <si>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</si>
  <si>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</si>
  <si>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</si>
  <si>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</si>
  <si>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</si>
  <si>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</si>
  <si>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</si>
  <si>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</si>
  <si>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</si>
  <si>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</si>
  <si>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</si>
  <si>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</si>
  <si>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</si>
  <si>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</si>
  <si>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</si>
  <si>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</si>
  <si>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</si>
  <si>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</si>
  <si>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</si>
  <si>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</si>
  <si>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</si>
  <si>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</si>
  <si>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</si>
  <si>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</si>
  <si>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</si>
  <si>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</si>
  <si>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</si>
  <si>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</si>
  <si>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</si>
  <si>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</si>
  <si>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</si>
  <si>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</si>
  <si>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</si>
  <si>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</si>
  <si>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</si>
  <si>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</si>
  <si>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</si>
  <si>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</si>
  <si>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</si>
  <si>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</si>
  <si>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</si>
  <si>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</si>
  <si>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</si>
  <si>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</si>
  <si>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</si>
  <si>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</si>
  <si>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</si>
  <si>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</si>
  <si>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</si>
  <si>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</si>
  <si>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</si>
  <si>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</si>
  <si>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</si>
  <si>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</si>
  <si>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</si>
  <si>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</si>
  <si>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</si>
  <si>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</si>
  <si>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</si>
  <si>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</si>
  <si>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</si>
  <si>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</si>
  <si>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</si>
  <si>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</si>
  <si>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</si>
  <si>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</si>
  <si>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</si>
  <si>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</si>
  <si>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</si>
  <si>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</si>
  <si>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</si>
  <si>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</si>
  <si>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</si>
  <si>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</si>
  <si>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</si>
  <si>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</si>
  <si>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</si>
  <si>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</si>
  <si>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</si>
  <si>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</si>
  <si>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</si>
  <si>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</si>
  <si>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</si>
  <si>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</si>
  <si>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</si>
  <si>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</si>
  <si>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</si>
  <si>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</si>
  <si>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</si>
  <si>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</si>
  <si>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</si>
  <si>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</si>
  <si>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</si>
  <si>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</si>
  <si>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</si>
  <si>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</si>
  <si>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</si>
  <si>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</si>
  <si>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</si>
  <si>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</si>
  <si>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</si>
  <si>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</si>
  <si>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</si>
  <si>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</si>
  <si>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</si>
  <si>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</si>
  <si>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</si>
  <si>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</si>
  <si>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</si>
  <si>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</si>
  <si>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</si>
  <si>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</si>
  <si>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</si>
  <si>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</si>
  <si>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</si>
  <si>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</si>
  <si>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</si>
  <si>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</si>
  <si>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</si>
  <si>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</si>
  <si>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</si>
  <si>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</si>
  <si>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</si>
  <si>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</si>
  <si>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</si>
  <si>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</si>
  <si>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</si>
  <si>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</si>
  <si>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</si>
  <si>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</si>
  <si>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</si>
  <si>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</si>
  <si>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</si>
  <si>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</si>
  <si>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</si>
  <si>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</si>
  <si>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</si>
  <si>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</si>
  <si>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</si>
  <si>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</si>
  <si>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</si>
  <si>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</si>
  <si>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</si>
  <si>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</si>
  <si>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</si>
  <si>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</si>
  <si>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</si>
  <si>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</si>
  <si>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</si>
  <si>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</si>
  <si>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</si>
  <si>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</si>
  <si>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</si>
  <si>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</si>
  <si>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</si>
  <si>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</si>
  <si>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</si>
  <si>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</si>
  <si>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</si>
  <si>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</si>
  <si>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</si>
  <si>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</si>
  <si>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</si>
  <si>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</si>
  <si>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</si>
  <si>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</si>
  <si>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</si>
  <si>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</si>
  <si>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</si>
  <si>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</si>
  <si>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</si>
  <si>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</si>
  <si>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</si>
  <si>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</si>
  <si>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</si>
  <si>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</si>
  <si>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</si>
  <si>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</si>
  <si>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</si>
  <si>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</si>
  <si>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</si>
  <si>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</si>
  <si>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</si>
  <si>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</si>
  <si>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</si>
  <si>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</si>
  <si>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</si>
  <si>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</si>
  <si>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</si>
  <si>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</si>
  <si>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</si>
  <si>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</si>
  <si>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</si>
  <si>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</si>
  <si>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</si>
  <si>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</si>
  <si>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</si>
  <si>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</si>
  <si>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</si>
  <si>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</si>
  <si>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</si>
  <si>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</si>
  <si>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</si>
  <si>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</si>
  <si>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</si>
  <si>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</si>
  <si>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</si>
  <si>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</si>
  <si>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</si>
  <si>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</si>
  <si>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</si>
  <si>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</si>
  <si>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</si>
  <si>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</si>
  <si>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</si>
  <si>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</si>
  <si>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</si>
  <si>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</si>
  <si>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</si>
  <si>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</si>
  <si>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</si>
  <si>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</si>
  <si>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</si>
  <si>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</si>
  <si>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</si>
  <si>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</si>
  <si>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</si>
  <si>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</si>
  <si>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</si>
  <si>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</si>
  <si>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</si>
  <si>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</si>
  <si>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</si>
  <si>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</si>
  <si>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</si>
  <si>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</si>
  <si>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</si>
  <si>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</si>
  <si>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</si>
  <si>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</si>
  <si>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</si>
  <si>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</si>
  <si>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</si>
  <si>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</si>
  <si>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</si>
  <si>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</si>
  <si>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</si>
  <si>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</si>
  <si>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</si>
  <si>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</si>
  <si>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</si>
  <si>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</si>
  <si>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</si>
  <si>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</si>
  <si>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</si>
  <si>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</si>
  <si>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</si>
  <si>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</si>
  <si>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</si>
  <si>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</si>
  <si>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</si>
  <si>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</si>
  <si>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</si>
  <si>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</si>
  <si>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</si>
  <si>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</si>
  <si>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</si>
  <si>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</si>
  <si>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</si>
  <si>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</si>
  <si>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</si>
  <si>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</si>
  <si>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</si>
  <si>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</si>
  <si>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</si>
  <si>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</si>
  <si>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</si>
  <si>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</si>
  <si>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</si>
  <si>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</si>
  <si>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</si>
  <si>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</si>
  <si>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</si>
  <si>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</si>
  <si>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</si>
  <si>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</si>
  <si>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</si>
  <si>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</si>
  <si>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</si>
  <si>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</si>
  <si>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</si>
  <si>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</si>
  <si>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</si>
  <si>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</si>
  <si>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</si>
  <si>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</si>
  <si>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</si>
  <si>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</si>
  <si>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</si>
  <si>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</si>
  <si>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</si>
  <si>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</si>
  <si>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</si>
  <si>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</si>
  <si>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</si>
  <si>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</si>
  <si>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</si>
  <si>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</si>
  <si>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</si>
  <si>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</si>
  <si>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</si>
  <si>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</si>
  <si>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</si>
  <si>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</si>
  <si>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</si>
  <si>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</si>
  <si>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</si>
  <si>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</si>
  <si>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</si>
  <si>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</si>
  <si>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</si>
  <si>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</si>
  <si>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</si>
  <si>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</si>
  <si>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</si>
  <si>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</si>
  <si>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</si>
  <si>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</si>
  <si>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</si>
  <si>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</si>
  <si>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</si>
  <si>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</si>
  <si>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</si>
  <si>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</si>
  <si>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</si>
  <si>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</si>
  <si>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</si>
  <si>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</si>
  <si>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</si>
  <si>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</si>
  <si>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</si>
  <si>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</si>
  <si>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</si>
  <si>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</si>
  <si>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</si>
  <si>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</si>
  <si>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</si>
  <si>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</si>
  <si>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</si>
  <si>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</si>
  <si>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</si>
  <si>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</si>
  <si>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</si>
  <si>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</si>
  <si>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</si>
  <si>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</si>
  <si>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</si>
  <si>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</si>
  <si>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</si>
  <si>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</si>
  <si>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</si>
  <si>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</si>
  <si>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</si>
  <si>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</si>
  <si>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</si>
  <si>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</si>
  <si>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</si>
  <si>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</si>
  <si>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</si>
  <si>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</si>
  <si>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</si>
  <si>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</si>
  <si>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</si>
  <si>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</si>
  <si>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</si>
  <si>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</si>
  <si>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</si>
  <si>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</si>
  <si>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</si>
  <si>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</si>
  <si>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</si>
  <si>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</si>
  <si>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</si>
  <si>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</si>
  <si>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</si>
  <si>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</si>
  <si>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</si>
  <si>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</si>
  <si>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</si>
  <si>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</si>
  <si>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</si>
  <si>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</si>
  <si>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</si>
  <si>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</si>
  <si>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</si>
  <si>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</si>
  <si>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</si>
  <si>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</si>
  <si>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</si>
  <si>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</si>
  <si>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</si>
  <si>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</si>
  <si>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</si>
  <si>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</si>
  <si>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</si>
  <si>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</si>
  <si>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</si>
  <si>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</si>
  <si>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</si>
  <si>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</si>
  <si>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</si>
  <si>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</si>
  <si>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</si>
  <si>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</si>
  <si>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</si>
  <si>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</si>
  <si>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</si>
  <si>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</si>
  <si>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</si>
  <si>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</si>
  <si>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</si>
  <si>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</si>
  <si>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</si>
  <si>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</si>
  <si>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</si>
  <si>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</si>
  <si>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</si>
  <si>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</si>
  <si>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</si>
  <si>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</si>
  <si>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</si>
  <si>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</si>
  <si>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</si>
  <si>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</si>
  <si>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</si>
  <si>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</si>
  <si>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</si>
  <si>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</si>
  <si>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</si>
  <si>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</si>
  <si>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</si>
  <si>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</si>
  <si>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</si>
  <si>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</si>
  <si>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</si>
  <si>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</si>
  <si>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</si>
  <si>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</si>
  <si>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</si>
  <si>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</si>
  <si>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</si>
  <si>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</si>
  <si>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</si>
  <si>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</si>
  <si>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</si>
  <si>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</si>
  <si>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</si>
  <si>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</si>
  <si>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</si>
  <si>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</si>
  <si>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</si>
  <si>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</si>
  <si>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</si>
  <si>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</si>
  <si>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</si>
  <si>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</si>
  <si>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</si>
  <si>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</si>
  <si>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</si>
  <si>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</si>
  <si>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</si>
  <si>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</si>
  <si>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</si>
  <si>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</si>
  <si>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</si>
  <si>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</si>
  <si>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</si>
  <si>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</si>
  <si>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</si>
  <si>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</si>
  <si>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</si>
  <si>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</si>
  <si>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</si>
  <si>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</si>
  <si>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</si>
  <si>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</si>
  <si>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</si>
  <si>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</si>
  <si>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</si>
  <si>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</si>
  <si>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</si>
  <si>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</si>
  <si>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</si>
  <si>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</si>
  <si>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</si>
  <si>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</si>
  <si>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</si>
  <si>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</si>
  <si>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</si>
  <si>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</si>
  <si>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</si>
  <si>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</si>
  <si>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</si>
  <si>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</si>
  <si>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</si>
  <si>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</si>
  <si>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</si>
  <si>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</si>
  <si>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</si>
  <si>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</si>
  <si>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</si>
  <si>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</si>
  <si>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</si>
  <si>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</si>
  <si>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</si>
  <si>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</si>
  <si>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2025-4</t>
    <phoneticPr fontId="3" type="noConversion"/>
  </si>
  <si>
    <t>2024-4</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</si>
  <si>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</si>
  <si>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</si>
  <si>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</si>
  <si>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</si>
  <si>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</si>
  <si>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</si>
  <si>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</si>
  <si>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</si>
  <si>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</si>
  <si>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</si>
  <si>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</si>
  <si>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2025-3</t>
    <phoneticPr fontId="3" type="noConversion"/>
  </si>
  <si>
    <t>2025-2</t>
    <phoneticPr fontId="3" type="noConversion"/>
  </si>
  <si>
    <t>2025-3</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</si>
</sst>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NumberFormat="1" applyFont="1" applyFill="1" applyBorder="1" applyAlignment="1" applyProtection="1">
      <alignment horizontal="left" vertical="center"/>
    </xf>
    <xf numFmtId="0"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0"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0" fontId="280" fillId="5" borderId="0" xfId="0" applyNumberFormat="1" applyFont="1" applyFill="1" applyAlignment="1" applyProtection="1">
      <alignment horizontal="left" vertical="center"/>
    </xf>
    <xf numFmtId="0" fontId="0" fillId="5" borderId="0" xfId="0" applyNumberFormat="1" applyFill="1" applyAlignment="1" applyProtection="1">
      <alignment horizontal="left" vertical="center"/>
    </xf>
    <xf numFmtId="0" fontId="280" fillId="5" borderId="2" xfId="0" applyNumberFormat="1" applyFont="1" applyFill="1" applyBorder="1" applyAlignment="1" applyProtection="1">
      <alignment horizontal="left" vertical="center"/>
    </xf>
    <xf numFmtId="0" fontId="280" fillId="0" borderId="172" xfId="0" applyNumberFormat="1" applyFont="1" applyBorder="1" applyAlignment="1" applyProtection="1">
      <alignment horizontal="left" vertical="center"/>
      <protection locked="0"/>
    </xf>
    <xf numFmtId="0" fontId="0" fillId="0" borderId="172" xfId="0" applyNumberFormat="1" applyBorder="1" applyAlignment="1" applyProtection="1">
      <alignment horizontal="left" vertical="center"/>
      <protection locked="0"/>
    </xf>
    <xf numFmtId="0" fontId="280" fillId="0" borderId="0" xfId="0" applyNumberFormat="1" applyFont="1" applyAlignment="1" applyProtection="1">
      <alignment horizontal="left" vertical="center"/>
      <protection locked="0"/>
    </xf>
    <xf numFmtId="0" fontId="301" fillId="0" borderId="0" xfId="0" applyNumberFormat="1"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2"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32" xfId="0" applyFont="1" applyFill="1" applyBorder="1" applyAlignment="1" applyProtection="1">
      <alignment horizontal="left" vertical="center" wrapText="1"/>
    </xf>
    <xf numFmtId="0" fontId="160" fillId="5" borderId="68" xfId="0" applyFont="1" applyFill="1" applyBorder="1" applyAlignment="1" applyProtection="1">
      <alignment horizontal="left" vertical="center"/>
    </xf>
    <xf numFmtId="0" fontId="160" fillId="5" borderId="67" xfId="0" applyFont="1" applyFill="1" applyBorder="1" applyAlignment="1" applyProtection="1">
      <alignment horizontal="left" vertical="center"/>
    </xf>
    <xf numFmtId="0" fontId="160" fillId="5" borderId="69" xfId="0" applyFont="1" applyFill="1" applyBorder="1" applyAlignment="1" applyProtection="1">
      <alignment horizontal="left" vertical="center"/>
    </xf>
    <xf numFmtId="0" fontId="160" fillId="5" borderId="6" xfId="0" applyFont="1" applyFill="1" applyBorder="1" applyAlignment="1" applyProtection="1">
      <alignment horizontal="left" vertical="center"/>
    </xf>
    <xf numFmtId="0" fontId="160" fillId="5" borderId="44" xfId="0" applyFont="1" applyFill="1" applyBorder="1" applyAlignment="1" applyProtection="1">
      <alignment horizontal="left" vertical="center"/>
    </xf>
    <xf numFmtId="0" fontId="163" fillId="5" borderId="0" xfId="0" applyFont="1" applyFill="1" applyAlignment="1" applyProtection="1">
      <alignment horizontal="center" vertical="center" wrapText="1"/>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280" fillId="5" borderId="19" xfId="0" applyNumberFormat="1" applyFont="1" applyFill="1" applyBorder="1" applyAlignment="1" applyProtection="1">
      <alignment horizontal="left" vertical="center"/>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6"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160" fillId="5" borderId="44"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出让国有建设用地使用权预评估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受贵公司委托，我公司对出让国有建设用地使用权进行了预评估。</v>
      </c>
      <c r="AM6" s="2382"/>
    </row>
    <row r="7" spans="1:55" s="2356" customFormat="1">
      <c r="A7" s="2357" t="s">
        <v>1939</v>
      </c>
      <c r="B7" s="2358" t="e">
        <f>'预评函-1'!A6</f>
        <v>#DIV/0!</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本次评估为委托估价方了解标的物之市场价格提供参考依据而评估出让国有建设用地使用权市场价格。</v>
      </c>
    </row>
    <row r="10" spans="1:55" s="2356" customFormat="1">
      <c r="A10" s="2357" t="s">
        <v>1941</v>
      </c>
      <c r="B10" s="2358" t="str">
        <f>'预评函-1'!A11</f>
        <v>（评估专业人员勘察现场之日）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e">
        <f>'预评函-1'!A20</f>
        <v>#DIV/0!</v>
      </c>
    </row>
    <row r="16" spans="1:55" s="2356" customFormat="1">
      <c r="A16" s="2357" t="s">
        <v>1951</v>
      </c>
      <c r="B16" s="23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356" customFormat="1">
      <c r="A20" s="2357" t="s">
        <v>1955</v>
      </c>
      <c r="B20" s="2358" t="str">
        <f>'预评函-1'!A27</f>
        <v>——</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t="e">
        <f>'预评函-2'!N5</f>
        <v>#DIV/0!</v>
      </c>
    </row>
    <row r="44" spans="1:2">
      <c r="A44" s="2357" t="s">
        <v>2022</v>
      </c>
      <c r="B44" s="2358" t="str">
        <f>'预评函-2'!O3</f>
        <v>规划建筑面积/㎡</v>
      </c>
    </row>
    <row r="45" spans="1:2">
      <c r="A45" s="2357" t="s">
        <v>2004</v>
      </c>
      <c r="B45" s="2358">
        <f>'预评函-2'!O5</f>
        <v>0</v>
      </c>
    </row>
    <row r="46" spans="1:2">
      <c r="A46" s="2357" t="s">
        <v>2005</v>
      </c>
      <c r="B46" s="2358" t="e">
        <f ca="1">'预评函-2'!P5</f>
        <v>#REF!</v>
      </c>
    </row>
    <row r="47" spans="1:2">
      <c r="A47" s="2357" t="s">
        <v>2006</v>
      </c>
      <c r="B47" s="2358" t="e">
        <f ca="1">'预评函-2'!Q5</f>
        <v>#REF!</v>
      </c>
    </row>
    <row r="48" spans="1:2">
      <c r="A48" s="2357" t="s">
        <v>2007</v>
      </c>
      <c r="B48" s="2358" t="e">
        <f ca="1">'预评函-2'!R5</f>
        <v>#REF!</v>
      </c>
    </row>
    <row r="49" spans="1:2">
      <c r="A49" s="2357" t="s">
        <v>2023</v>
      </c>
      <c r="B49" s="2358" t="str">
        <f>'预评函-2'!A6</f>
        <v>抵押价格</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3285"/>
    <col min="9" max="18" width="9.625" style="3285" customWidth="1"/>
    <col min="19" max="16384" width="15.25" style="3285"/>
  </cols>
  <sheetData>
    <row r="1" spans="1:18">
      <c r="A1" s="3282" t="s">
        <v>2673</v>
      </c>
      <c r="B1" s="3283"/>
      <c r="C1" s="3283"/>
      <c r="D1" s="3283"/>
      <c r="E1" s="3283"/>
      <c r="F1" s="3284"/>
      <c r="I1" s="3304" t="s">
        <v>3286</v>
      </c>
      <c r="J1" s="3671"/>
      <c r="K1" s="3671"/>
      <c r="L1" s="3671"/>
      <c r="M1" s="3671"/>
      <c r="N1" s="3672"/>
      <c r="O1" s="3672"/>
      <c r="P1" s="3672"/>
      <c r="Q1" s="3672"/>
      <c r="R1" s="3672"/>
    </row>
    <row r="2" spans="1:18">
      <c r="A2" s="3286"/>
      <c r="B2" s="3287"/>
      <c r="C2" s="3287"/>
      <c r="D2" s="3287"/>
      <c r="E2" s="3287"/>
      <c r="F2" s="3288"/>
      <c r="I2" s="3722" t="s">
        <v>3287</v>
      </c>
      <c r="J2" s="3722"/>
      <c r="K2" s="3722"/>
      <c r="L2" s="3722"/>
      <c r="M2" s="3722"/>
      <c r="N2" s="3722"/>
      <c r="O2" s="3722"/>
      <c r="P2" s="3722"/>
      <c r="Q2" s="3722"/>
      <c r="R2" s="3722"/>
    </row>
    <row r="3" spans="1:18">
      <c r="A3" s="3289" t="s">
        <v>2674</v>
      </c>
      <c r="B3" s="3290">
        <f>项目基本情况!D3</f>
        <v>0</v>
      </c>
      <c r="C3" s="3291"/>
      <c r="D3" s="3291"/>
      <c r="E3" s="3291"/>
      <c r="F3" s="3288"/>
      <c r="I3" s="3673"/>
      <c r="J3" s="3673" t="s">
        <v>3288</v>
      </c>
      <c r="K3" s="3673" t="s">
        <v>3289</v>
      </c>
      <c r="L3" s="3673" t="s">
        <v>3290</v>
      </c>
      <c r="M3" s="3673" t="s">
        <v>3291</v>
      </c>
      <c r="N3" s="3666" t="s">
        <v>3292</v>
      </c>
      <c r="O3" s="3666" t="s">
        <v>3293</v>
      </c>
      <c r="P3" s="3666" t="s">
        <v>3294</v>
      </c>
      <c r="Q3" s="3666" t="s">
        <v>3295</v>
      </c>
      <c r="R3" s="3666" t="s">
        <v>3284</v>
      </c>
    </row>
    <row r="4" spans="1:18">
      <c r="A4" s="3289" t="s">
        <v>2675</v>
      </c>
      <c r="B4" s="3292" t="s">
        <v>2676</v>
      </c>
      <c r="C4" s="3292" t="s">
        <v>2677</v>
      </c>
      <c r="D4" s="3292" t="s">
        <v>2678</v>
      </c>
      <c r="E4" s="3292" t="s">
        <v>2679</v>
      </c>
      <c r="F4" s="3288"/>
      <c r="I4" s="3673" t="s">
        <v>3296</v>
      </c>
      <c r="J4" s="3673">
        <v>80</v>
      </c>
      <c r="K4" s="3673">
        <v>70</v>
      </c>
      <c r="L4" s="3673">
        <v>20</v>
      </c>
      <c r="M4" s="3673">
        <v>30</v>
      </c>
      <c r="N4" s="3292">
        <v>45</v>
      </c>
      <c r="O4" s="3292">
        <v>60</v>
      </c>
      <c r="P4" s="3292">
        <v>50</v>
      </c>
      <c r="Q4" s="3292">
        <v>20</v>
      </c>
      <c r="R4" s="3292">
        <v>375</v>
      </c>
    </row>
    <row r="5" spans="1:18">
      <c r="A5" s="3293"/>
      <c r="B5" s="3290"/>
      <c r="C5" s="3292">
        <f>ROUNDDOWN(MIN((B5-B3)/365,A5),2)</f>
        <v>0</v>
      </c>
      <c r="D5" s="3294">
        <f>IF(ISERROR(ROUND(POWER(1+E5,A5-C5)*(POWER(1+E5,C5)-1)/(POWER(1+E5,A5)-1),3)),0,ROUND(POWER(1+E5,A5-C5)*(POWER(1+E5,C5)-1)/(POWER(1+E5,A5)-1),4))</f>
        <v>0</v>
      </c>
      <c r="E5" s="3295"/>
      <c r="F5" s="3288"/>
      <c r="I5" s="3673" t="s">
        <v>3297</v>
      </c>
      <c r="J5" s="3673">
        <v>70</v>
      </c>
      <c r="K5" s="3673">
        <v>60</v>
      </c>
      <c r="L5" s="3673">
        <v>15</v>
      </c>
      <c r="M5" s="3673">
        <v>25</v>
      </c>
      <c r="N5" s="3292">
        <v>40</v>
      </c>
      <c r="O5" s="3292">
        <v>50</v>
      </c>
      <c r="P5" s="3292">
        <v>40</v>
      </c>
      <c r="Q5" s="3292">
        <v>15</v>
      </c>
      <c r="R5" s="3292">
        <v>315</v>
      </c>
    </row>
    <row r="6" spans="1:18">
      <c r="A6" s="3293"/>
      <c r="B6" s="3290"/>
      <c r="C6" s="3292">
        <f>ROUNDDOWN(MIN((B6-B3)/365,A6),2)</f>
        <v>0</v>
      </c>
      <c r="D6" s="3294">
        <f>IF(ISERROR(ROUND(POWER(1+E6,A6-C6)*(POWER(1+E6,C6)-1)/(POWER(1+E6,A6)-1),3)),0,ROUND(POWER(1+E6,A6-C6)*(POWER(1+E6,C6)-1)/(POWER(1+E6,A6)-1),4))</f>
        <v>0</v>
      </c>
      <c r="E6" s="3295"/>
      <c r="F6" s="3288"/>
      <c r="I6" s="3673" t="s">
        <v>3298</v>
      </c>
      <c r="J6" s="3673">
        <v>60</v>
      </c>
      <c r="K6" s="3673">
        <v>50</v>
      </c>
      <c r="L6" s="3673">
        <v>10</v>
      </c>
      <c r="M6" s="3673">
        <v>20</v>
      </c>
      <c r="N6" s="3292">
        <v>35</v>
      </c>
      <c r="O6" s="3292">
        <v>40</v>
      </c>
      <c r="P6" s="3292">
        <v>30</v>
      </c>
      <c r="Q6" s="3292">
        <v>10</v>
      </c>
      <c r="R6" s="3292">
        <v>255</v>
      </c>
    </row>
    <row r="7" spans="1:18">
      <c r="A7" s="3293"/>
      <c r="B7" s="3290"/>
      <c r="C7" s="3292">
        <f>ROUNDDOWN(MIN((B7-B3)/365,A7),2)</f>
        <v>0</v>
      </c>
      <c r="D7" s="3294">
        <f>IF(ISERROR(ROUND(POWER(1+E7,A7-C7)*(POWER(1+E7,C7)-1)/(POWER(1+E7,A7)-1),3)),0,ROUND(POWER(1+E7,A7-C7)*(POWER(1+E7,C7)-1)/(POWER(1+E7,A7)-1),4))</f>
        <v>0</v>
      </c>
      <c r="E7" s="3295"/>
      <c r="F7" s="3288"/>
    </row>
    <row r="8" spans="1:18">
      <c r="A8" s="3286"/>
      <c r="B8" s="3287"/>
      <c r="C8" s="3287"/>
      <c r="D8" s="3287"/>
      <c r="E8" s="3287"/>
      <c r="F8" s="3288"/>
    </row>
    <row r="9" spans="1:18">
      <c r="A9" s="3289" t="s">
        <v>2680</v>
      </c>
      <c r="B9" s="3292"/>
      <c r="C9" s="3292"/>
      <c r="D9" s="3292"/>
      <c r="E9" s="3292"/>
      <c r="F9" s="3296"/>
    </row>
    <row r="10" spans="1:18">
      <c r="A10" s="3289" t="s">
        <v>2681</v>
      </c>
      <c r="B10" s="3292"/>
      <c r="C10" s="3292"/>
      <c r="D10" s="3292" t="s">
        <v>2679</v>
      </c>
      <c r="E10" s="3292"/>
      <c r="F10" s="3296" t="s">
        <v>2678</v>
      </c>
    </row>
    <row r="11" spans="1:18">
      <c r="A11" s="3289" t="s">
        <v>2682</v>
      </c>
      <c r="B11" s="3297"/>
      <c r="C11" s="3292" t="s">
        <v>2683</v>
      </c>
      <c r="D11" s="3298"/>
      <c r="E11" s="3292" t="s">
        <v>2684</v>
      </c>
      <c r="F11" s="3299">
        <f>ROUND(1-(1/(POWER(1+D11,B11))),4)</f>
        <v>0</v>
      </c>
    </row>
    <row r="12" spans="1:18">
      <c r="A12" s="3289" t="s">
        <v>2685</v>
      </c>
      <c r="B12" s="3297"/>
      <c r="C12" s="3292" t="s">
        <v>2686</v>
      </c>
      <c r="D12" s="3298"/>
      <c r="E12" s="3292" t="s">
        <v>2687</v>
      </c>
      <c r="F12" s="3299">
        <f>ROUND(1-(1/(POWER(1+D12,B12))),4)</f>
        <v>0</v>
      </c>
    </row>
    <row r="13" spans="1:18">
      <c r="A13" s="3289" t="s">
        <v>2688</v>
      </c>
      <c r="B13" s="3292"/>
      <c r="C13" s="3291"/>
      <c r="D13" s="3287"/>
      <c r="E13" s="3287"/>
      <c r="F13" s="3288"/>
    </row>
    <row r="14" spans="1:18">
      <c r="A14" s="3289" t="s">
        <v>2689</v>
      </c>
      <c r="B14" s="3297"/>
      <c r="C14" s="3291"/>
      <c r="D14" s="3287"/>
      <c r="E14" s="3287"/>
      <c r="F14" s="3288"/>
    </row>
    <row r="15" spans="1:18">
      <c r="A15" s="3289" t="s">
        <v>2690</v>
      </c>
      <c r="B15" s="3292" t="e">
        <f>ROUND(B14*F12/F11,2)</f>
        <v>#DIV/0!</v>
      </c>
      <c r="C15" s="3292" t="e">
        <f>ROUND(F12/F11,4)</f>
        <v>#DIV/0!</v>
      </c>
      <c r="D15" s="3287"/>
      <c r="E15" s="3287"/>
      <c r="F15" s="3288"/>
    </row>
    <row r="16" spans="1:18">
      <c r="A16" s="3289" t="s">
        <v>2691</v>
      </c>
      <c r="B16" s="3292"/>
      <c r="C16" s="3291"/>
      <c r="D16" s="3287"/>
      <c r="E16" s="3287"/>
      <c r="F16" s="3288"/>
    </row>
    <row r="17" spans="1:14">
      <c r="A17" s="3289" t="s">
        <v>2690</v>
      </c>
      <c r="B17" s="3298"/>
      <c r="C17" s="3291"/>
      <c r="D17" s="3287"/>
      <c r="E17" s="3287"/>
      <c r="F17" s="3288"/>
    </row>
    <row r="18" spans="1:14" ht="14.25" thickBot="1">
      <c r="A18" s="3300" t="s">
        <v>2689</v>
      </c>
      <c r="B18" s="3301" t="e">
        <f>ROUND(B17*F11/F12,2)</f>
        <v>#DIV/0!</v>
      </c>
      <c r="C18" s="3301" t="e">
        <f>ROUND(F11/F12,4)</f>
        <v>#DIV/0!</v>
      </c>
      <c r="D18" s="3302"/>
      <c r="E18" s="3302"/>
      <c r="F18" s="3303"/>
    </row>
    <row r="19" spans="1:14" ht="14.25" thickBot="1"/>
    <row r="20" spans="1:14" ht="14.25" thickTop="1">
      <c r="A20" s="3304" t="s">
        <v>2692</v>
      </c>
      <c r="B20" s="3305"/>
      <c r="C20" s="3305"/>
      <c r="D20" s="3305"/>
      <c r="E20" s="3305"/>
      <c r="F20" s="3305"/>
      <c r="G20" s="3306"/>
      <c r="I20" s="3674" t="s">
        <v>3299</v>
      </c>
      <c r="J20" s="3674" t="s">
        <v>3300</v>
      </c>
      <c r="K20" s="3674"/>
      <c r="L20" s="3674"/>
      <c r="M20" s="3674"/>
      <c r="N20" s="3675"/>
    </row>
    <row r="21" spans="1:14">
      <c r="A21" s="3307"/>
      <c r="B21" s="3308" t="s">
        <v>2693</v>
      </c>
      <c r="C21" s="3308" t="s">
        <v>2694</v>
      </c>
      <c r="D21" s="3308" t="s">
        <v>2695</v>
      </c>
      <c r="E21" s="3308" t="s">
        <v>2696</v>
      </c>
      <c r="F21" s="3308" t="s">
        <v>2697</v>
      </c>
      <c r="G21" s="3309" t="s">
        <v>2698</v>
      </c>
      <c r="I21" s="3676">
        <v>5</v>
      </c>
      <c r="J21" s="3676">
        <v>54.2</v>
      </c>
      <c r="K21" s="3676"/>
      <c r="L21" s="3676"/>
      <c r="M21" s="3676"/>
    </row>
    <row r="22" spans="1:14">
      <c r="A22" s="3307" t="s">
        <v>2699</v>
      </c>
      <c r="B22" s="3310">
        <v>50</v>
      </c>
      <c r="C22" s="3310">
        <v>32</v>
      </c>
      <c r="D22" s="3311">
        <v>0.05</v>
      </c>
      <c r="E22" s="3308">
        <f>ROUND(POWER(1+D22,B22-C22)*(POWER(1+D22,C22)-1)/(POWER(1+D22,B22)-1),3)</f>
        <v>0.86599999999999999</v>
      </c>
      <c r="F22" s="3311">
        <v>0.6</v>
      </c>
      <c r="G22" s="3309">
        <f>ROUND(100*(1-(1-E22)*F22),1)</f>
        <v>92</v>
      </c>
      <c r="I22" s="3676">
        <v>10</v>
      </c>
      <c r="J22" s="3676">
        <v>65.400000000000006</v>
      </c>
      <c r="K22" s="3676">
        <f>J22-J21</f>
        <v>11.200000000000003</v>
      </c>
      <c r="L22" s="3676"/>
      <c r="M22" s="3676"/>
    </row>
    <row r="23" spans="1:14">
      <c r="A23" s="3312" t="s">
        <v>2700</v>
      </c>
      <c r="B23" s="3310">
        <v>50</v>
      </c>
      <c r="C23" s="3310">
        <v>35</v>
      </c>
      <c r="D23" s="3311">
        <v>0.05</v>
      </c>
      <c r="E23" s="3308">
        <f>ROUND(POWER(1+D23,B23-C23)*(POWER(1+D23,C23)-1)/(POWER(1+D23,B23)-1),3)</f>
        <v>0.89700000000000002</v>
      </c>
      <c r="F23" s="3311">
        <f>F22</f>
        <v>0.6</v>
      </c>
      <c r="G23" s="3309">
        <f>ROUND(100*(1-(1-E23)*F23),1)</f>
        <v>93.8</v>
      </c>
      <c r="I23" s="3676">
        <v>15</v>
      </c>
      <c r="J23" s="3676">
        <v>74.099999999999994</v>
      </c>
      <c r="K23" s="3676">
        <f t="shared" ref="K23:K30" si="0">J23-J22</f>
        <v>8.6999999999999886</v>
      </c>
      <c r="L23" s="3676" t="s">
        <v>3301</v>
      </c>
      <c r="M23" s="3676"/>
      <c r="N23" s="3677" t="s">
        <v>3302</v>
      </c>
    </row>
    <row r="24" spans="1:14">
      <c r="A24" s="3312" t="s">
        <v>2701</v>
      </c>
      <c r="B24" s="3310">
        <v>50</v>
      </c>
      <c r="C24" s="3310">
        <v>25</v>
      </c>
      <c r="D24" s="3311">
        <v>0.05</v>
      </c>
      <c r="E24" s="3308">
        <f>ROUND(POWER(1+D24,B24-C24)*(POWER(1+D24,C24)-1)/(POWER(1+D24,B24)-1),3)</f>
        <v>0.77200000000000002</v>
      </c>
      <c r="F24" s="3311">
        <f>F23</f>
        <v>0.6</v>
      </c>
      <c r="G24" s="3309">
        <f>ROUND(100*(1-(1-E24)*F24),1)</f>
        <v>86.3</v>
      </c>
      <c r="I24" s="3676">
        <v>20</v>
      </c>
      <c r="J24" s="3676">
        <v>81</v>
      </c>
      <c r="K24" s="3676">
        <f t="shared" si="0"/>
        <v>6.9000000000000057</v>
      </c>
      <c r="L24" s="3676" t="s">
        <v>3303</v>
      </c>
      <c r="M24" s="3676"/>
      <c r="N24" s="3677">
        <v>10</v>
      </c>
    </row>
    <row r="25" spans="1:14">
      <c r="A25" s="3312" t="s">
        <v>2702</v>
      </c>
      <c r="B25" s="3310">
        <v>50</v>
      </c>
      <c r="C25" s="3310">
        <v>40</v>
      </c>
      <c r="D25" s="3311">
        <v>0.05</v>
      </c>
      <c r="E25" s="3308">
        <f>ROUND(POWER(1+D25,B25-C25)*(POWER(1+D25,C25)-1)/(POWER(1+D25,B25)-1),3)</f>
        <v>0.94</v>
      </c>
      <c r="F25" s="3311">
        <f>F24</f>
        <v>0.6</v>
      </c>
      <c r="G25" s="3309">
        <f>ROUND(100*(1-(1-E25)*F25),1)</f>
        <v>96.4</v>
      </c>
      <c r="I25" s="3676">
        <v>25</v>
      </c>
      <c r="J25" s="3676">
        <v>86.3</v>
      </c>
      <c r="K25" s="3676">
        <f t="shared" si="0"/>
        <v>5.2999999999999972</v>
      </c>
      <c r="L25" s="3676" t="s">
        <v>3304</v>
      </c>
      <c r="M25" s="3676"/>
      <c r="N25" s="3677">
        <v>8</v>
      </c>
    </row>
    <row r="26" spans="1:14">
      <c r="A26" s="3313"/>
      <c r="B26" s="3314"/>
      <c r="C26" s="3314"/>
      <c r="D26" s="3314"/>
      <c r="E26" s="3314"/>
      <c r="F26" s="3314"/>
      <c r="G26" s="3315"/>
      <c r="I26" s="3676">
        <v>30</v>
      </c>
      <c r="J26" s="3676">
        <v>90.5</v>
      </c>
      <c r="K26" s="3676">
        <f t="shared" si="0"/>
        <v>4.2000000000000028</v>
      </c>
      <c r="L26" s="3676" t="s">
        <v>3305</v>
      </c>
      <c r="M26" s="3676"/>
      <c r="N26" s="3677">
        <v>5</v>
      </c>
    </row>
    <row r="27" spans="1:14">
      <c r="A27" s="3316" t="s">
        <v>2703</v>
      </c>
      <c r="B27" s="3317"/>
      <c r="C27" s="3317"/>
      <c r="D27" s="3317"/>
      <c r="E27" s="3317"/>
      <c r="F27" s="3317"/>
      <c r="G27" s="3318"/>
      <c r="I27" s="3676">
        <v>35</v>
      </c>
      <c r="J27" s="3676">
        <v>93.8</v>
      </c>
      <c r="K27" s="3676">
        <f t="shared" si="0"/>
        <v>3.2999999999999972</v>
      </c>
      <c r="L27" s="3676" t="s">
        <v>3306</v>
      </c>
      <c r="M27" s="3676"/>
      <c r="N27" s="3677">
        <v>3</v>
      </c>
    </row>
    <row r="28" spans="1:14">
      <c r="A28" s="3316" t="s">
        <v>2704</v>
      </c>
      <c r="B28" s="3317"/>
      <c r="C28" s="3317"/>
      <c r="D28" s="3317"/>
      <c r="E28" s="3317"/>
      <c r="F28" s="3317"/>
      <c r="G28" s="3318"/>
      <c r="I28" s="3676">
        <v>40</v>
      </c>
      <c r="J28" s="3676">
        <v>96.4</v>
      </c>
      <c r="K28" s="3676">
        <f t="shared" si="0"/>
        <v>2.6000000000000085</v>
      </c>
      <c r="L28" s="3676" t="s">
        <v>3307</v>
      </c>
      <c r="M28" s="3676"/>
      <c r="N28" s="3677">
        <v>2</v>
      </c>
    </row>
    <row r="29" spans="1:14">
      <c r="A29" s="3316" t="s">
        <v>2705</v>
      </c>
      <c r="B29" s="3317"/>
      <c r="C29" s="3317"/>
      <c r="D29" s="3317"/>
      <c r="E29" s="3317"/>
      <c r="F29" s="3317"/>
      <c r="G29" s="3318"/>
      <c r="I29" s="3676">
        <v>45</v>
      </c>
      <c r="J29" s="3676">
        <v>98.4</v>
      </c>
      <c r="K29" s="3676">
        <f t="shared" si="0"/>
        <v>2</v>
      </c>
      <c r="L29" s="3676"/>
      <c r="M29" s="3676"/>
    </row>
    <row r="30" spans="1:14">
      <c r="A30" s="3316" t="s">
        <v>2706</v>
      </c>
      <c r="B30" s="3317"/>
      <c r="C30" s="3317"/>
      <c r="D30" s="3317"/>
      <c r="E30" s="3317"/>
      <c r="F30" s="3317"/>
      <c r="G30" s="3318"/>
      <c r="I30" s="3676">
        <v>50</v>
      </c>
      <c r="J30" s="3676">
        <v>100</v>
      </c>
      <c r="K30" s="3676">
        <f t="shared" si="0"/>
        <v>1.5999999999999943</v>
      </c>
      <c r="L30" s="3676"/>
      <c r="M30" s="3676"/>
    </row>
    <row r="31" spans="1:14">
      <c r="A31" s="3316" t="s">
        <v>2707</v>
      </c>
      <c r="B31" s="3317"/>
      <c r="C31" s="3317"/>
      <c r="D31" s="3317"/>
      <c r="E31" s="3317"/>
      <c r="F31" s="3317"/>
      <c r="G31" s="3318"/>
      <c r="I31" s="3676" t="s">
        <v>3308</v>
      </c>
      <c r="J31" s="3676"/>
      <c r="K31" s="3676"/>
      <c r="L31" s="3676"/>
      <c r="M31" s="3676"/>
    </row>
    <row r="32" spans="1:14">
      <c r="A32" s="3316" t="s">
        <v>2708</v>
      </c>
      <c r="B32" s="3317"/>
      <c r="C32" s="3317"/>
      <c r="D32" s="3317"/>
      <c r="E32" s="3317"/>
      <c r="F32" s="3317"/>
      <c r="G32" s="3318"/>
      <c r="I32" s="3676"/>
      <c r="J32" s="3676"/>
      <c r="K32" s="3676"/>
      <c r="L32" s="3676"/>
      <c r="M32" s="3676"/>
    </row>
    <row r="33" spans="1:14">
      <c r="A33" s="3316" t="s">
        <v>2709</v>
      </c>
      <c r="B33" s="3317"/>
      <c r="C33" s="3317"/>
      <c r="D33" s="3317"/>
      <c r="E33" s="3317"/>
      <c r="F33" s="3317"/>
      <c r="G33" s="3318"/>
      <c r="I33" s="3676" t="s">
        <v>3299</v>
      </c>
      <c r="J33" s="3676" t="s">
        <v>3309</v>
      </c>
      <c r="K33" s="3676"/>
      <c r="L33" s="3676"/>
      <c r="M33" s="3676"/>
    </row>
    <row r="34" spans="1:14">
      <c r="A34" s="3316" t="s">
        <v>2710</v>
      </c>
      <c r="B34" s="3317"/>
      <c r="C34" s="3317"/>
      <c r="D34" s="3317"/>
      <c r="E34" s="3317"/>
      <c r="F34" s="3317"/>
      <c r="G34" s="3318"/>
      <c r="I34" s="3676">
        <v>5</v>
      </c>
      <c r="J34" s="3676">
        <v>55.1</v>
      </c>
      <c r="K34" s="3676"/>
      <c r="L34" s="3676"/>
      <c r="M34" s="3676"/>
    </row>
    <row r="35" spans="1:14">
      <c r="A35" s="3316" t="s">
        <v>2711</v>
      </c>
      <c r="B35" s="3317"/>
      <c r="C35" s="3317"/>
      <c r="D35" s="3317"/>
      <c r="E35" s="3317"/>
      <c r="F35" s="3317"/>
      <c r="G35" s="3318"/>
      <c r="I35" s="3676">
        <v>10</v>
      </c>
      <c r="J35" s="3676">
        <v>67</v>
      </c>
      <c r="K35" s="3676">
        <f>J35-J34</f>
        <v>11.899999999999999</v>
      </c>
      <c r="L35" s="3676"/>
      <c r="M35" s="3676"/>
    </row>
    <row r="36" spans="1:14">
      <c r="A36" s="3316" t="s">
        <v>2712</v>
      </c>
      <c r="B36" s="3317"/>
      <c r="C36" s="3317"/>
      <c r="D36" s="3317"/>
      <c r="E36" s="3317"/>
      <c r="F36" s="3317"/>
      <c r="G36" s="3318"/>
      <c r="I36" s="3676">
        <v>15</v>
      </c>
      <c r="J36" s="3676">
        <v>76.3</v>
      </c>
      <c r="K36" s="3676">
        <f t="shared" ref="K36:K41" si="1">J36-J35</f>
        <v>9.2999999999999972</v>
      </c>
      <c r="L36" s="3676" t="s">
        <v>3301</v>
      </c>
      <c r="M36" s="3676"/>
      <c r="N36" s="3677" t="s">
        <v>3302</v>
      </c>
    </row>
    <row r="37" spans="1:14">
      <c r="A37" s="3316" t="s">
        <v>2713</v>
      </c>
      <c r="B37" s="3317"/>
      <c r="C37" s="3317"/>
      <c r="D37" s="3317"/>
      <c r="E37" s="3317"/>
      <c r="F37" s="3317"/>
      <c r="G37" s="3318"/>
      <c r="I37" s="3676">
        <v>20</v>
      </c>
      <c r="J37" s="3676">
        <v>83.6</v>
      </c>
      <c r="K37" s="3676">
        <f t="shared" si="1"/>
        <v>7.2999999999999972</v>
      </c>
      <c r="L37" s="3676" t="s">
        <v>3303</v>
      </c>
      <c r="M37" s="3676"/>
      <c r="N37" s="3677">
        <v>10</v>
      </c>
    </row>
    <row r="38" spans="1:14">
      <c r="A38" s="3316" t="s">
        <v>2714</v>
      </c>
      <c r="B38" s="3317"/>
      <c r="C38" s="3317"/>
      <c r="D38" s="3317"/>
      <c r="E38" s="3317"/>
      <c r="F38" s="3317"/>
      <c r="G38" s="3318"/>
      <c r="I38" s="3676">
        <v>25</v>
      </c>
      <c r="J38" s="3676">
        <v>89.3</v>
      </c>
      <c r="K38" s="3676">
        <f t="shared" si="1"/>
        <v>5.7000000000000028</v>
      </c>
      <c r="L38" s="3676" t="s">
        <v>3304</v>
      </c>
      <c r="M38" s="3676"/>
      <c r="N38" s="3677">
        <v>8</v>
      </c>
    </row>
    <row r="39" spans="1:14">
      <c r="A39" s="3316"/>
      <c r="B39" s="3317"/>
      <c r="C39" s="3317"/>
      <c r="D39" s="3317"/>
      <c r="E39" s="3317"/>
      <c r="F39" s="3317"/>
      <c r="G39" s="3318"/>
      <c r="I39" s="3676">
        <v>30</v>
      </c>
      <c r="J39" s="3676">
        <v>93.8</v>
      </c>
      <c r="K39" s="3676">
        <f t="shared" si="1"/>
        <v>4.5</v>
      </c>
      <c r="L39" s="3676" t="s">
        <v>3305</v>
      </c>
      <c r="M39" s="3676"/>
      <c r="N39" s="3677">
        <v>6</v>
      </c>
    </row>
    <row r="40" spans="1:14">
      <c r="A40" s="3319" t="s">
        <v>2715</v>
      </c>
      <c r="B40" s="3320"/>
      <c r="C40" s="3320"/>
      <c r="D40" s="3320"/>
      <c r="E40" s="3320"/>
      <c r="F40" s="3320"/>
      <c r="G40" s="3321"/>
      <c r="I40" s="3676">
        <v>35</v>
      </c>
      <c r="J40" s="3676">
        <v>97.2</v>
      </c>
      <c r="K40" s="3676">
        <f t="shared" si="1"/>
        <v>3.4000000000000057</v>
      </c>
      <c r="L40" s="3676" t="s">
        <v>3306</v>
      </c>
      <c r="M40" s="3676"/>
      <c r="N40" s="3677">
        <v>3</v>
      </c>
    </row>
    <row r="41" spans="1:14">
      <c r="A41" s="3322" t="s">
        <v>2716</v>
      </c>
      <c r="B41" s="3323" t="s">
        <v>2717</v>
      </c>
      <c r="C41" s="3324" t="s">
        <v>2718</v>
      </c>
      <c r="D41" s="3324" t="s">
        <v>2719</v>
      </c>
      <c r="E41" s="3325"/>
      <c r="F41" s="3326"/>
      <c r="G41" s="3327"/>
      <c r="I41" s="3676">
        <v>40</v>
      </c>
      <c r="J41" s="3676">
        <v>100</v>
      </c>
      <c r="K41" s="3676">
        <f t="shared" si="1"/>
        <v>2.7999999999999972</v>
      </c>
      <c r="L41" s="3676"/>
      <c r="M41" s="3676"/>
    </row>
    <row r="42" spans="1:14">
      <c r="A42" s="3322" t="s">
        <v>2720</v>
      </c>
      <c r="B42" s="3323" t="s">
        <v>2721</v>
      </c>
      <c r="C42" s="3324" t="s">
        <v>2721</v>
      </c>
      <c r="D42" s="3328" t="s">
        <v>2722</v>
      </c>
      <c r="E42" s="3320" t="s">
        <v>2723</v>
      </c>
      <c r="F42" s="3320"/>
      <c r="G42" s="3321"/>
      <c r="I42" s="3676"/>
      <c r="J42" s="3676"/>
      <c r="K42" s="3676"/>
      <c r="L42" s="3676"/>
      <c r="M42" s="3676"/>
    </row>
    <row r="43" spans="1:14">
      <c r="A43" s="3322" t="s">
        <v>2724</v>
      </c>
      <c r="B43" s="3323" t="s">
        <v>2725</v>
      </c>
      <c r="C43" s="3324" t="s">
        <v>2726</v>
      </c>
      <c r="D43" s="3324" t="s">
        <v>2727</v>
      </c>
      <c r="E43" s="3325" t="s">
        <v>2728</v>
      </c>
      <c r="F43" s="3326"/>
      <c r="G43" s="3327"/>
      <c r="I43" s="3676" t="s">
        <v>3299</v>
      </c>
      <c r="J43" s="3676" t="s">
        <v>3310</v>
      </c>
      <c r="K43" s="3676"/>
      <c r="L43" s="3676"/>
      <c r="M43" s="3676"/>
    </row>
    <row r="44" spans="1:14">
      <c r="A44" s="3322" t="s">
        <v>2729</v>
      </c>
      <c r="B44" s="3323" t="s">
        <v>2730</v>
      </c>
      <c r="C44" s="3324" t="s">
        <v>2731</v>
      </c>
      <c r="D44" s="3328">
        <v>0.5</v>
      </c>
      <c r="E44" s="3325" t="s">
        <v>2732</v>
      </c>
      <c r="F44" s="3326"/>
      <c r="G44" s="3327"/>
      <c r="I44" s="3676">
        <v>30</v>
      </c>
      <c r="J44" s="3676">
        <v>81.7</v>
      </c>
      <c r="K44" s="3676"/>
      <c r="L44" s="3676"/>
      <c r="M44" s="3676"/>
    </row>
    <row r="45" spans="1:14" ht="14.25" thickBot="1">
      <c r="A45" s="3329" t="s">
        <v>2733</v>
      </c>
      <c r="B45" s="3330" t="s">
        <v>2721</v>
      </c>
      <c r="C45" s="3331" t="s">
        <v>2721</v>
      </c>
      <c r="D45" s="3331" t="s">
        <v>2734</v>
      </c>
      <c r="E45" s="3332" t="s">
        <v>2735</v>
      </c>
      <c r="F45" s="3332"/>
      <c r="G45" s="3333"/>
      <c r="I45" s="3676">
        <v>40</v>
      </c>
      <c r="J45" s="3676">
        <v>89.2</v>
      </c>
      <c r="K45" s="3676">
        <f>J45-J44</f>
        <v>7.5</v>
      </c>
      <c r="L45" s="3676"/>
      <c r="M45" s="3676"/>
    </row>
    <row r="46" spans="1:14">
      <c r="I46" s="3676">
        <v>50</v>
      </c>
      <c r="J46" s="3676">
        <v>94.3</v>
      </c>
      <c r="K46" s="3676">
        <f t="shared" ref="K46:K47" si="2">J46-J45</f>
        <v>5.0999999999999943</v>
      </c>
      <c r="L46" s="3676"/>
      <c r="M46" s="3676"/>
    </row>
    <row r="47" spans="1:14">
      <c r="I47" s="3676">
        <v>60</v>
      </c>
      <c r="J47" s="3676">
        <v>97.7</v>
      </c>
      <c r="K47" s="3676">
        <f t="shared" si="2"/>
        <v>3.4000000000000057</v>
      </c>
      <c r="L47" s="3676"/>
      <c r="M47" s="3676"/>
    </row>
    <row r="48" spans="1:14" ht="14.25" thickBot="1"/>
    <row r="49" spans="1:4">
      <c r="A49" s="3304" t="s">
        <v>3285</v>
      </c>
    </row>
    <row r="50" spans="1:4">
      <c r="A50" s="3666" t="s">
        <v>3275</v>
      </c>
      <c r="B50" s="3666" t="s">
        <v>3272</v>
      </c>
      <c r="C50" s="3666" t="s">
        <v>3273</v>
      </c>
      <c r="D50" s="3666" t="s">
        <v>3274</v>
      </c>
    </row>
    <row r="51" spans="1:4">
      <c r="A51" s="3666" t="s">
        <v>3276</v>
      </c>
      <c r="B51" s="3292">
        <f>B52+B53</f>
        <v>15000</v>
      </c>
      <c r="C51" s="3668">
        <f>D51/B51</f>
        <v>2666.6666666666665</v>
      </c>
      <c r="D51" s="3292">
        <f>D52+D53</f>
        <v>40000000</v>
      </c>
    </row>
    <row r="52" spans="1:4">
      <c r="A52" s="3667" t="s">
        <v>3277</v>
      </c>
      <c r="B52" s="3663">
        <v>10000</v>
      </c>
      <c r="C52" s="3663">
        <v>1500</v>
      </c>
      <c r="D52" s="3669">
        <f>C52*B52</f>
        <v>15000000</v>
      </c>
    </row>
    <row r="53" spans="1:4">
      <c r="A53" s="3667" t="s">
        <v>3278</v>
      </c>
      <c r="B53" s="3663">
        <v>5000</v>
      </c>
      <c r="C53" s="3663">
        <v>5000</v>
      </c>
      <c r="D53" s="3669">
        <f>C53*B53</f>
        <v>25000000</v>
      </c>
    </row>
    <row r="54" spans="1:4">
      <c r="A54" s="3666" t="s">
        <v>3279</v>
      </c>
      <c r="B54" s="3292">
        <f>B51</f>
        <v>15000</v>
      </c>
      <c r="C54" s="3298">
        <v>700</v>
      </c>
      <c r="D54" s="3292">
        <f t="shared" ref="D54:D55" si="3">C54*B54</f>
        <v>10500000</v>
      </c>
    </row>
    <row r="55" spans="1:4">
      <c r="A55" s="3666" t="s">
        <v>3280</v>
      </c>
      <c r="B55" s="3292">
        <f>B51</f>
        <v>15000</v>
      </c>
      <c r="C55" s="3298">
        <v>1500</v>
      </c>
      <c r="D55" s="3292">
        <f t="shared" si="3"/>
        <v>22500000</v>
      </c>
    </row>
    <row r="56" spans="1:4">
      <c r="A56" s="3666" t="s">
        <v>3281</v>
      </c>
      <c r="B56" s="3292">
        <f>B51</f>
        <v>15000</v>
      </c>
      <c r="C56" s="3670">
        <f>C51+C54+C55</f>
        <v>4866.6666666666661</v>
      </c>
      <c r="D56" s="3292">
        <f>D51+D54+D55</f>
        <v>73000000</v>
      </c>
    </row>
    <row r="58" spans="1:4">
      <c r="A58" s="3666" t="s">
        <v>3282</v>
      </c>
      <c r="B58" s="3664">
        <v>0.05</v>
      </c>
      <c r="C58" s="3292">
        <f>C56*(1+B58)</f>
        <v>5110</v>
      </c>
      <c r="D58" s="3292">
        <f>D56*B58</f>
        <v>3650000</v>
      </c>
    </row>
    <row r="60" spans="1:4">
      <c r="A60" s="3666" t="s">
        <v>3283</v>
      </c>
      <c r="B60" s="3298">
        <v>3500</v>
      </c>
      <c r="C60" s="3298">
        <f>C53</f>
        <v>5000</v>
      </c>
      <c r="D60" s="3292">
        <f>C60*B60</f>
        <v>17500000</v>
      </c>
    </row>
    <row r="62" spans="1:4">
      <c r="A62" s="3666" t="s">
        <v>3284</v>
      </c>
      <c r="B62" s="3298">
        <f>B51</f>
        <v>15000</v>
      </c>
      <c r="C62" s="3665">
        <f>D62/B62</f>
        <v>6276.666666666667</v>
      </c>
      <c r="D62" s="3298">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tabSelected="1" view="pageBreakPreview" zoomScale="90" zoomScaleNormal="100" zoomScaleSheetLayoutView="90" workbookViewId="0">
      <selection activeCell="D3" sqref="D3"/>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38" t="str">
        <f>IF(B10="北京市","北京市",C10)&amp;F10&amp;A17&amp;"国有建设用地使用权"&amp;B9&amp;"预评估"</f>
        <v>出让国有建设用地使用权预评估</v>
      </c>
      <c r="C1" s="3739"/>
      <c r="D1" s="3739"/>
      <c r="E1" s="3739"/>
      <c r="F1" s="3739"/>
      <c r="G1" s="3739"/>
      <c r="H1" s="3739"/>
      <c r="I1" s="3740"/>
      <c r="J1" s="2816"/>
      <c r="K1" s="2107" t="str">
        <f>IF(B10="北京市","北京市",C10)&amp;F10&amp;A17&amp;"国有建设用地使用权"&amp;B9</f>
        <v>出让国有建设用地使用权</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出让国有建设用地使用权</v>
      </c>
      <c r="L2" s="2795"/>
      <c r="M2" s="2795"/>
      <c r="N2" s="2796"/>
      <c r="O2" s="2797"/>
      <c r="P2" s="2796"/>
      <c r="Q2" s="2796"/>
      <c r="R2" s="2796"/>
      <c r="S2" s="2796"/>
      <c r="T2" s="2796"/>
      <c r="U2" s="2796"/>
    </row>
    <row r="3" spans="1:21">
      <c r="A3" s="1464" t="s">
        <v>1459</v>
      </c>
      <c r="B3" s="1465"/>
      <c r="C3" s="2739" t="s">
        <v>1513</v>
      </c>
      <c r="D3" s="1465"/>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c r="C8" s="1474"/>
      <c r="D8" s="3744" t="s">
        <v>1464</v>
      </c>
      <c r="E8" s="1628"/>
      <c r="F8" s="1475"/>
      <c r="G8" s="2817"/>
      <c r="H8" s="2817"/>
      <c r="I8" s="2820"/>
      <c r="J8" s="2816"/>
      <c r="K8" s="2799"/>
      <c r="L8" s="2795"/>
      <c r="M8" s="2795"/>
      <c r="N8" s="2796"/>
      <c r="O8" s="2797"/>
      <c r="P8" s="2796"/>
      <c r="Q8" s="2796"/>
      <c r="R8" s="2796"/>
      <c r="S8" s="2796"/>
      <c r="T8" s="2796"/>
      <c r="U8" s="2796"/>
    </row>
    <row r="9" spans="1:21" ht="15" thickBot="1">
      <c r="A9" s="2741" t="s">
        <v>1463</v>
      </c>
      <c r="B9" s="1476"/>
      <c r="C9" s="1477"/>
      <c r="D9" s="3745"/>
      <c r="E9" s="1476"/>
      <c r="F9" s="1536"/>
      <c r="G9" s="2821"/>
      <c r="H9" s="2821"/>
      <c r="I9" s="2822"/>
      <c r="J9" s="2816"/>
      <c r="K9" s="2799"/>
      <c r="L9" s="2795"/>
      <c r="M9" s="2795"/>
      <c r="N9" s="2796"/>
      <c r="O9" s="2797"/>
      <c r="P9" s="2796"/>
      <c r="Q9" s="2796"/>
      <c r="R9" s="2796"/>
      <c r="S9" s="2796"/>
      <c r="T9" s="2796"/>
      <c r="U9" s="2796"/>
    </row>
    <row r="10" spans="1:21" ht="15" thickTop="1">
      <c r="A10" s="2742" t="s">
        <v>1517</v>
      </c>
      <c r="B10" s="1513"/>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41"/>
      <c r="C12" s="3742"/>
      <c r="D12" s="3743"/>
      <c r="E12" s="1494" t="s">
        <v>1579</v>
      </c>
      <c r="F12" s="3759" t="s">
        <v>2163</v>
      </c>
      <c r="G12" s="3760"/>
      <c r="H12" s="3760"/>
      <c r="I12" s="3761"/>
      <c r="J12" s="2816"/>
      <c r="K12" s="2799"/>
      <c r="L12" s="2795"/>
      <c r="M12" s="2795"/>
      <c r="N12" s="2796"/>
      <c r="O12" s="2797"/>
      <c r="P12" s="2796"/>
      <c r="Q12" s="2796"/>
      <c r="R12" s="2796"/>
      <c r="S12" s="2796"/>
      <c r="T12" s="2796"/>
      <c r="U12" s="2796"/>
    </row>
    <row r="13" spans="1:21">
      <c r="A13" s="1485" t="s">
        <v>1577</v>
      </c>
      <c r="B13" s="3741"/>
      <c r="C13" s="3742"/>
      <c r="D13" s="3743"/>
      <c r="E13" s="1494" t="s">
        <v>1579</v>
      </c>
      <c r="F13" s="3759" t="s">
        <v>2164</v>
      </c>
      <c r="G13" s="3760"/>
      <c r="H13" s="3760"/>
      <c r="I13" s="3761"/>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1" t="s">
        <v>1469</v>
      </c>
      <c r="D15" s="3281" t="s">
        <v>1470</v>
      </c>
      <c r="E15" s="3281" t="s">
        <v>1179</v>
      </c>
      <c r="F15" s="1484" t="s">
        <v>1471</v>
      </c>
      <c r="G15" s="1484" t="s">
        <v>1472</v>
      </c>
      <c r="H15" s="1484" t="s">
        <v>776</v>
      </c>
      <c r="I15" s="1484" t="s">
        <v>2737</v>
      </c>
      <c r="J15" s="2816"/>
      <c r="K15" s="2799"/>
      <c r="L15" s="2795"/>
      <c r="M15" s="2795"/>
      <c r="N15" s="2796"/>
      <c r="O15" s="2797"/>
      <c r="P15" s="2796"/>
      <c r="Q15" s="2796"/>
      <c r="R15" s="2796"/>
      <c r="S15" s="2796"/>
      <c r="T15" s="2796"/>
      <c r="U15" s="2796"/>
    </row>
    <row r="16" spans="1:21">
      <c r="A16" s="2744" t="s">
        <v>1467</v>
      </c>
      <c r="B16" s="1494" t="s">
        <v>1468</v>
      </c>
      <c r="C16" s="3281" t="s">
        <v>1469</v>
      </c>
      <c r="D16" s="1516" t="s">
        <v>2738</v>
      </c>
      <c r="E16" s="1516" t="s">
        <v>1212</v>
      </c>
      <c r="F16" s="1516" t="s">
        <v>2739</v>
      </c>
      <c r="G16" s="1516" t="s">
        <v>2740</v>
      </c>
      <c r="H16" s="1484" t="s">
        <v>776</v>
      </c>
      <c r="I16" s="1484" t="s">
        <v>2737</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5" t="s">
        <v>2741</v>
      </c>
      <c r="B17" s="2745" t="s">
        <v>1473</v>
      </c>
      <c r="C17" s="3334"/>
      <c r="D17" s="3334"/>
      <c r="E17" s="3334"/>
      <c r="F17" s="3334"/>
      <c r="G17" s="3334"/>
      <c r="H17" s="3334"/>
      <c r="I17" s="3334"/>
      <c r="J17" s="2816"/>
      <c r="K17" s="2794" t="str">
        <f>CONCATENATE(K16,L16,M16,N16,O16,P16,Q16,R16,S16,T16,,U16)</f>
        <v/>
      </c>
      <c r="L17" s="2795"/>
      <c r="M17" s="2795"/>
      <c r="N17" s="2796"/>
      <c r="O17" s="2797"/>
      <c r="P17" s="2796"/>
      <c r="Q17" s="2796"/>
      <c r="R17" s="2796"/>
      <c r="S17" s="2796"/>
      <c r="T17" s="2796"/>
      <c r="U17" s="2796"/>
    </row>
    <row r="18" spans="1:21">
      <c r="A18" s="1552"/>
      <c r="B18" s="2745" t="s">
        <v>1474</v>
      </c>
      <c r="C18" s="1482"/>
      <c r="D18" s="1482"/>
      <c r="E18" s="1482"/>
      <c r="F18" s="1482"/>
      <c r="G18" s="1482"/>
      <c r="H18" s="1482"/>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t="str">
        <f>IF(A17="出让",IF(D17="","",ROUNDDOWN(MIN((D17-$D$3)/365,D18),2)),D18)</f>
        <v/>
      </c>
      <c r="E19" s="1483" t="str">
        <f>IF(A17="出让",IF(E17="","",ROUNDDOWN(MIN((E17-$D$3)/365,E18),2)),E18)</f>
        <v/>
      </c>
      <c r="F19" s="1483" t="str">
        <f>IF(A17="出让",IF(F17="","",ROUNDDOWN(MIN((F17-$D$3)/365,F18),2)),F18)</f>
        <v/>
      </c>
      <c r="G19" s="1483" t="str">
        <f>IF(A17="出让",IF(G17="","",ROUNDDOWN(MIN((G17-$D$3)/365,G18),2)),G18)</f>
        <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56"/>
      <c r="E20" s="3757"/>
      <c r="F20" s="3757"/>
      <c r="G20" s="3757"/>
      <c r="H20" s="3757"/>
      <c r="I20" s="3758"/>
      <c r="J20" s="2816"/>
      <c r="K20" s="2799"/>
      <c r="L20" s="2795"/>
      <c r="M20" s="2795"/>
      <c r="N20" s="2796"/>
      <c r="O20" s="2797"/>
      <c r="P20" s="2796"/>
      <c r="Q20" s="2796"/>
      <c r="R20" s="2796"/>
      <c r="S20" s="2796"/>
      <c r="T20" s="2796"/>
      <c r="U20" s="2796"/>
    </row>
    <row r="21" spans="1:21">
      <c r="A21" s="1552" t="s">
        <v>1476</v>
      </c>
      <c r="B21" s="1553" t="s">
        <v>1477</v>
      </c>
      <c r="C21" s="1548">
        <f>'数据-汇总表'!E3</f>
        <v>0</v>
      </c>
      <c r="D21" s="1549" t="s">
        <v>1478</v>
      </c>
      <c r="E21" s="3746" t="s">
        <v>1516</v>
      </c>
      <c r="F21" s="3747"/>
      <c r="G21" s="3747"/>
      <c r="H21" s="3747"/>
      <c r="I21" s="3748"/>
      <c r="J21" s="2816"/>
      <c r="K21" s="2799"/>
      <c r="L21" s="2795"/>
      <c r="M21" s="2795"/>
      <c r="N21" s="2796"/>
      <c r="O21" s="2797"/>
      <c r="P21" s="2796"/>
      <c r="Q21" s="2796"/>
      <c r="R21" s="2796"/>
      <c r="S21" s="2796"/>
      <c r="T21" s="2796"/>
      <c r="U21" s="2796"/>
    </row>
    <row r="22" spans="1:21">
      <c r="A22" s="2556" t="s">
        <v>877</v>
      </c>
      <c r="B22" s="1464" t="s">
        <v>1479</v>
      </c>
      <c r="C22" s="1484" t="e">
        <f>'数据-汇总表'!D3</f>
        <v>#DIV/0!</v>
      </c>
      <c r="D22" s="1485" t="s">
        <v>1478</v>
      </c>
      <c r="E22" s="3746" t="s">
        <v>2165</v>
      </c>
      <c r="F22" s="3747"/>
      <c r="G22" s="3747"/>
      <c r="H22" s="3747"/>
      <c r="I22" s="3748"/>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49" t="s">
        <v>1484</v>
      </c>
      <c r="C24" s="3750"/>
      <c r="D24" s="3751" t="s">
        <v>1485</v>
      </c>
      <c r="E24" s="3752"/>
      <c r="F24" s="1502" t="s">
        <v>1486</v>
      </c>
      <c r="G24" s="2816"/>
      <c r="H24" s="2816"/>
      <c r="I24" s="2820"/>
      <c r="J24" s="2816"/>
      <c r="K24" s="3737"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37"/>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37"/>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23" t="s">
        <v>1519</v>
      </c>
      <c r="B31" s="1553" t="s">
        <v>1520</v>
      </c>
      <c r="C31" s="3762"/>
      <c r="D31" s="3763"/>
      <c r="E31" s="2816"/>
      <c r="F31" s="2816"/>
      <c r="G31" s="2816"/>
      <c r="H31" s="2816"/>
      <c r="I31" s="2820"/>
      <c r="J31" s="2816"/>
      <c r="K31" s="2802"/>
      <c r="L31" s="2796"/>
      <c r="M31" s="2796"/>
      <c r="N31" s="2796"/>
      <c r="O31" s="2796"/>
      <c r="P31" s="2796"/>
      <c r="Q31" s="2796"/>
      <c r="R31" s="2796"/>
      <c r="S31" s="2796"/>
      <c r="T31" s="2796"/>
      <c r="U31" s="2796"/>
    </row>
    <row r="32" spans="1:21">
      <c r="A32" s="3723"/>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23"/>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24"/>
      <c r="B34" s="1464" t="s">
        <v>1523</v>
      </c>
      <c r="C34" s="3725"/>
      <c r="D34" s="3726"/>
      <c r="E34" s="2816"/>
      <c r="F34" s="2816"/>
      <c r="G34" s="2816"/>
      <c r="H34" s="2816"/>
      <c r="I34" s="2820"/>
      <c r="J34" s="2816"/>
      <c r="K34" s="2802"/>
      <c r="L34" s="2796"/>
      <c r="M34" s="2796"/>
      <c r="N34" s="2796"/>
      <c r="O34" s="2796"/>
      <c r="P34" s="2796"/>
      <c r="Q34" s="2796"/>
      <c r="R34" s="2796"/>
      <c r="S34" s="2796"/>
      <c r="T34" s="2796"/>
      <c r="U34" s="2796"/>
    </row>
    <row r="35" spans="1:28">
      <c r="A35" s="3727" t="s">
        <v>785</v>
      </c>
      <c r="B35" s="1516"/>
      <c r="C35" s="1562" t="str">
        <f>IF(B35="场地平整","——","具体情况：")</f>
        <v>具体情况：</v>
      </c>
      <c r="D35" s="3729"/>
      <c r="E35" s="3730"/>
      <c r="F35" s="3730"/>
      <c r="G35" s="3730"/>
      <c r="H35" s="3730"/>
      <c r="I35" s="3731"/>
      <c r="J35" s="2816"/>
      <c r="K35" s="2803"/>
      <c r="L35" s="2795"/>
      <c r="M35" s="2795"/>
      <c r="N35" s="2796"/>
      <c r="O35" s="2797"/>
      <c r="P35" s="2796"/>
      <c r="Q35" s="2796"/>
      <c r="R35" s="2796"/>
      <c r="S35" s="2796"/>
      <c r="T35" s="2796"/>
      <c r="U35" s="2796"/>
    </row>
    <row r="36" spans="1:28">
      <c r="A36" s="3723"/>
      <c r="B36" s="3732" t="s">
        <v>1572</v>
      </c>
      <c r="C36" s="3733"/>
      <c r="D36" s="1578"/>
      <c r="E36" s="3734"/>
      <c r="F36" s="3734"/>
      <c r="G36" s="1485" t="str">
        <f>IF(B35="场地未平整","估价结果处理","")</f>
        <v/>
      </c>
      <c r="H36" s="3735"/>
      <c r="I36" s="3735"/>
      <c r="J36" s="2816"/>
      <c r="K36" s="2803"/>
      <c r="L36" s="2795"/>
      <c r="M36" s="2795"/>
      <c r="N36" s="2796"/>
      <c r="O36" s="2797"/>
      <c r="P36" s="2796"/>
      <c r="Q36" s="2796"/>
      <c r="R36" s="2796"/>
      <c r="S36" s="2796"/>
      <c r="T36" s="2796"/>
      <c r="U36" s="2796"/>
    </row>
    <row r="37" spans="1:28" ht="28.5">
      <c r="A37" s="3723"/>
      <c r="B37" s="3753"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23"/>
      <c r="B38" s="3754"/>
      <c r="C38" s="1472" t="s">
        <v>788</v>
      </c>
      <c r="D38" s="1577">
        <f>ROUNDDOWN(MIN(('数据-取费表'!$B$2-D37)/365,D34),1)</f>
        <v>0</v>
      </c>
      <c r="E38" s="1521" t="s">
        <v>789</v>
      </c>
      <c r="F38" s="2816"/>
      <c r="G38" s="2816"/>
      <c r="H38" s="2816"/>
      <c r="I38" s="2820"/>
      <c r="J38" s="2816"/>
      <c r="K38" s="2803"/>
      <c r="L38" s="2796"/>
      <c r="M38" s="2796"/>
      <c r="N38" s="2796"/>
      <c r="O38" s="2796"/>
      <c r="P38" s="2796"/>
      <c r="Q38" s="2796"/>
      <c r="R38" s="2796"/>
      <c r="S38" s="2796"/>
      <c r="T38" s="2796"/>
      <c r="U38" s="2796"/>
    </row>
    <row r="39" spans="1:28">
      <c r="A39" s="3724"/>
      <c r="B39" s="3755"/>
      <c r="C39" s="1492" t="str">
        <f>IF(D38&lt;1,"不存在土地闲置",IF(B35="宗地内已开工建设","已开工，不存在土地闲置","估价对象已涉嫌土地闲置"))</f>
        <v>不存在土地闲置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36" t="s">
        <v>1503</v>
      </c>
      <c r="T40" s="1525" t="str">
        <f>NUMBERSTRING(7-K40,1)&amp;"通"</f>
        <v>七通</v>
      </c>
      <c r="U40" s="2796"/>
    </row>
    <row r="41" spans="1:28">
      <c r="A41" s="1466"/>
      <c r="B41" s="3728" t="s">
        <v>1250</v>
      </c>
      <c r="C41" s="3728"/>
      <c r="D41" s="3728"/>
      <c r="E41" s="3728"/>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36"/>
      <c r="T41" s="1527" t="str">
        <f>IF(T40="一通",L41,IF(T40="二通",M41,IF(T40="三通",N41,IF(T40="四通",O41,IF(T40="五通",P41,IF(T40="六通",Q41,R41))))))</f>
        <v>、、、、、、</v>
      </c>
      <c r="U41" s="2796"/>
    </row>
    <row r="42" spans="1:28">
      <c r="A42" s="1529"/>
      <c r="B42" s="1555" t="s">
        <v>1422</v>
      </c>
      <c r="C42" s="1555" t="s">
        <v>1423</v>
      </c>
      <c r="D42" s="1555" t="s">
        <v>1424</v>
      </c>
      <c r="E42" s="3281" t="s">
        <v>2742</v>
      </c>
      <c r="F42" s="3281" t="s">
        <v>2743</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S13" sqref="S13:U1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c r="B3" s="20">
        <f>IF(C3="否",G5-AT5,G5)</f>
        <v>0</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0</v>
      </c>
      <c r="H5" s="25">
        <f t="shared" ref="H5:AT5" si="0">SUM(H13:H641)</f>
        <v>0</v>
      </c>
      <c r="I5" s="25">
        <f t="shared" si="0"/>
        <v>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0</v>
      </c>
      <c r="BA5" s="27">
        <f t="shared" si="1"/>
        <v>0</v>
      </c>
      <c r="BB5" s="27">
        <f t="shared" si="1"/>
        <v>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t="e">
        <f>H6+AC6+AT6</f>
        <v>#DIV/0!</v>
      </c>
      <c r="F6" s="25" t="s">
        <v>0</v>
      </c>
      <c r="G6" s="25" t="s">
        <v>1</v>
      </c>
      <c r="H6" s="31" t="e">
        <f>SUMIF(I$12:AB$12,"总值",I6:AB6)</f>
        <v>#DIV/0!</v>
      </c>
      <c r="I6" s="25" t="e">
        <f t="shared" ref="I6:AB6" si="2">ROUND($A$3*I5/$B$3,2)</f>
        <v>#DIV/0!</v>
      </c>
      <c r="J6" s="25" t="e">
        <f t="shared" si="2"/>
        <v>#DIV/0!</v>
      </c>
      <c r="K6" s="25" t="e">
        <f t="shared" si="2"/>
        <v>#DIV/0!</v>
      </c>
      <c r="L6" s="25" t="e">
        <f t="shared" si="2"/>
        <v>#DIV/0!</v>
      </c>
      <c r="M6" s="25" t="e">
        <f t="shared" si="2"/>
        <v>#DIV/0!</v>
      </c>
      <c r="N6" s="25" t="e">
        <f t="shared" si="2"/>
        <v>#DIV/0!</v>
      </c>
      <c r="O6" s="25" t="e">
        <f t="shared" si="2"/>
        <v>#DIV/0!</v>
      </c>
      <c r="P6" s="25" t="e">
        <f t="shared" si="2"/>
        <v>#DIV/0!</v>
      </c>
      <c r="Q6" s="25" t="e">
        <f t="shared" si="2"/>
        <v>#DIV/0!</v>
      </c>
      <c r="R6" s="25" t="e">
        <f t="shared" si="2"/>
        <v>#DIV/0!</v>
      </c>
      <c r="S6" s="25" t="e">
        <f t="shared" si="2"/>
        <v>#DIV/0!</v>
      </c>
      <c r="T6" s="25" t="e">
        <f t="shared" si="2"/>
        <v>#DIV/0!</v>
      </c>
      <c r="U6" s="25" t="e">
        <f t="shared" si="2"/>
        <v>#DIV/0!</v>
      </c>
      <c r="V6" s="25" t="e">
        <f t="shared" si="2"/>
        <v>#DIV/0!</v>
      </c>
      <c r="W6" s="25" t="e">
        <f t="shared" si="2"/>
        <v>#DIV/0!</v>
      </c>
      <c r="X6" s="25" t="e">
        <f t="shared" si="2"/>
        <v>#DIV/0!</v>
      </c>
      <c r="Y6" s="25" t="e">
        <f t="shared" si="2"/>
        <v>#DIV/0!</v>
      </c>
      <c r="Z6" s="25" t="e">
        <f t="shared" si="2"/>
        <v>#DIV/0!</v>
      </c>
      <c r="AA6" s="25" t="e">
        <f t="shared" si="2"/>
        <v>#DIV/0!</v>
      </c>
      <c r="AB6" s="25" t="e">
        <f t="shared" si="2"/>
        <v>#DIV/0!</v>
      </c>
      <c r="AC6" s="31" t="e">
        <f>SUMIF(AD$12:AS$12,"总值",AD6:AS6)</f>
        <v>#DIV/0!</v>
      </c>
      <c r="AD6" s="25" t="e">
        <f t="shared" ref="AD6:AS6" si="3">ROUND($A$3*AD5/$B$3,2)</f>
        <v>#DIV/0!</v>
      </c>
      <c r="AE6" s="25" t="e">
        <f t="shared" si="3"/>
        <v>#DIV/0!</v>
      </c>
      <c r="AF6" s="25" t="e">
        <f t="shared" si="3"/>
        <v>#DIV/0!</v>
      </c>
      <c r="AG6" s="25" t="e">
        <f t="shared" si="3"/>
        <v>#DIV/0!</v>
      </c>
      <c r="AH6" s="25" t="e">
        <f t="shared" si="3"/>
        <v>#DIV/0!</v>
      </c>
      <c r="AI6" s="25" t="e">
        <f t="shared" si="3"/>
        <v>#DIV/0!</v>
      </c>
      <c r="AJ6" s="25" t="e">
        <f t="shared" si="3"/>
        <v>#DIV/0!</v>
      </c>
      <c r="AK6" s="25" t="e">
        <f t="shared" si="3"/>
        <v>#DIV/0!</v>
      </c>
      <c r="AL6" s="25" t="e">
        <f t="shared" si="3"/>
        <v>#DIV/0!</v>
      </c>
      <c r="AM6" s="25" t="e">
        <f t="shared" si="3"/>
        <v>#DIV/0!</v>
      </c>
      <c r="AN6" s="25" t="e">
        <f t="shared" si="3"/>
        <v>#DIV/0!</v>
      </c>
      <c r="AO6" s="25" t="e">
        <f t="shared" si="3"/>
        <v>#DIV/0!</v>
      </c>
      <c r="AP6" s="25" t="e">
        <f t="shared" si="3"/>
        <v>#DIV/0!</v>
      </c>
      <c r="AQ6" s="25" t="e">
        <f t="shared" si="3"/>
        <v>#DIV/0!</v>
      </c>
      <c r="AR6" s="25" t="e">
        <f t="shared" si="3"/>
        <v>#DIV/0!</v>
      </c>
      <c r="AS6" s="25" t="e">
        <f t="shared" si="3"/>
        <v>#DIV/0!</v>
      </c>
      <c r="AT6" s="31">
        <f>IF(C3="是",ROUND($A$3*AT5/$B$3,2),0)</f>
        <v>0</v>
      </c>
      <c r="AU6" s="32"/>
      <c r="AV6" s="24" t="s">
        <v>135</v>
      </c>
      <c r="AW6" s="29"/>
      <c r="AX6" s="29"/>
      <c r="AY6" s="33" t="e">
        <f>IF(AY3&gt;0,AY3,ROUND($A$3*AZ5/$B$3,2))</f>
        <v>#DIV/0!</v>
      </c>
      <c r="AZ6" s="25" t="s">
        <v>2</v>
      </c>
      <c r="BA6" s="25" t="e">
        <f>ROUND($AY$6*BA5/$AZ$5,2)</f>
        <v>#DIV/0!</v>
      </c>
      <c r="BB6" s="25" t="e">
        <f>ROUND($AY$6*BB5/$AZ$5,2)</f>
        <v>#DIV/0!</v>
      </c>
      <c r="BC6" s="25" t="e">
        <f t="shared" ref="BC6:BH6" si="4">ROUND($AY$6*BC5/$AZ$5,2)</f>
        <v>#DIV/0!</v>
      </c>
      <c r="BD6" s="25" t="e">
        <f t="shared" si="4"/>
        <v>#DIV/0!</v>
      </c>
      <c r="BE6" s="25" t="e">
        <f t="shared" si="4"/>
        <v>#DIV/0!</v>
      </c>
      <c r="BF6" s="25" t="e">
        <f t="shared" si="4"/>
        <v>#DIV/0!</v>
      </c>
      <c r="BG6" s="25" t="e">
        <f t="shared" si="4"/>
        <v>#DIV/0!</v>
      </c>
      <c r="BH6" s="25" t="e">
        <f t="shared" si="4"/>
        <v>#DIV/0!</v>
      </c>
      <c r="BI6" s="25" t="e">
        <f t="shared" ref="BI6:BT6" si="5">ROUND($AY$6*BI5/$AZ$5,2)</f>
        <v>#DIV/0!</v>
      </c>
      <c r="BJ6" s="25" t="e">
        <f t="shared" si="5"/>
        <v>#DIV/0!</v>
      </c>
      <c r="BK6" s="25" t="e">
        <f t="shared" si="5"/>
        <v>#DIV/0!</v>
      </c>
      <c r="BL6" s="25" t="e">
        <f t="shared" si="5"/>
        <v>#DIV/0!</v>
      </c>
      <c r="BM6" s="25" t="e">
        <f t="shared" si="5"/>
        <v>#DIV/0!</v>
      </c>
      <c r="BN6" s="25" t="e">
        <f t="shared" si="5"/>
        <v>#DIV/0!</v>
      </c>
      <c r="BO6" s="25" t="e">
        <f t="shared" si="5"/>
        <v>#DIV/0!</v>
      </c>
      <c r="BP6" s="25" t="e">
        <f t="shared" si="5"/>
        <v>#DIV/0!</v>
      </c>
      <c r="BQ6" s="25" t="e">
        <f t="shared" si="5"/>
        <v>#DIV/0!</v>
      </c>
      <c r="BR6" s="25" t="e">
        <f t="shared" si="5"/>
        <v>#DIV/0!</v>
      </c>
      <c r="BS6" s="25" t="e">
        <f t="shared" si="5"/>
        <v>#DIV/0!</v>
      </c>
      <c r="BT6" s="34" t="e">
        <f t="shared" si="5"/>
        <v>#DIV/0!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f>I9</f>
        <v>0</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f>I10</f>
        <v>0</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c r="E13" s="25" t="e">
        <f t="shared" ref="E13:E20" si="6">IF($C$3="是",ROUND($A$3*G13/$B$3,2),ROUND($A$3*(G13-AT13)/$B$3,2))</f>
        <v>#DIV/0!</v>
      </c>
      <c r="F13" s="78"/>
      <c r="G13" s="79">
        <f t="shared" ref="G13:G20" si="7">H13+AC13+AT13</f>
        <v>0</v>
      </c>
      <c r="H13" s="31">
        <f t="shared" ref="H13:H20" si="8">SUMIF(I$12:AB$12,"总值",I13:AB13)</f>
        <v>0</v>
      </c>
      <c r="I13" s="2490"/>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t="e">
        <f t="shared" ref="AY13:AY20" si="11">ROUND($AY$6*AZ13/$AZ$5,2)</f>
        <v>#DIV/0!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7"/>
      <c r="B14" s="2487"/>
      <c r="C14" s="2489"/>
      <c r="D14" s="2488"/>
      <c r="E14" s="25" t="e">
        <f t="shared" si="6"/>
        <v>#DIV/0!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t="e">
        <f t="shared" si="11"/>
        <v>#DIV/0!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t="e">
        <f t="shared" si="6"/>
        <v>#DIV/0!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t="e">
        <f t="shared" si="11"/>
        <v>#DIV/0!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t="e">
        <f t="shared" si="6"/>
        <v>#DIV/0!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t="e">
        <f t="shared" si="11"/>
        <v>#DIV/0!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t="e">
        <f t="shared" si="6"/>
        <v>#DIV/0!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t="e">
        <f t="shared" si="11"/>
        <v>#DIV/0!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t="e">
        <f t="shared" si="6"/>
        <v>#DIV/0!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t="e">
        <f t="shared" si="11"/>
        <v>#DIV/0!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t="e">
        <f t="shared" si="6"/>
        <v>#DIV/0!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t="e">
        <f t="shared" si="11"/>
        <v>#DIV/0!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t="e">
        <f t="shared" si="6"/>
        <v>#DIV/0!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t="e">
        <f t="shared" si="11"/>
        <v>#DIV/0!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t="e">
        <f t="shared" ref="E21:E112" si="33">IF($C$3="是",ROUND($A$3*G21/$B$3,2),ROUND($A$3*(G21-AT21)/$B$3,2))</f>
        <v>#DIV/0!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t="e">
        <f t="shared" ref="AY21:AY109" si="40">ROUND($AY$6*AZ21/$AZ$5,2)</f>
        <v>#DIV/0!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t="e">
        <f t="shared" si="33"/>
        <v>#DIV/0!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t="e">
        <f t="shared" si="40"/>
        <v>#DIV/0!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t="e">
        <f t="shared" si="33"/>
        <v>#DIV/0!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t="e">
        <f t="shared" si="40"/>
        <v>#DIV/0!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t="e">
        <f t="shared" si="33"/>
        <v>#DIV/0!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t="e">
        <f t="shared" si="40"/>
        <v>#DIV/0!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t="e">
        <f t="shared" si="33"/>
        <v>#DIV/0!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t="e">
        <f t="shared" si="40"/>
        <v>#DIV/0!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t="e">
        <f t="shared" si="33"/>
        <v>#DIV/0!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t="e">
        <f t="shared" si="40"/>
        <v>#DIV/0!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t="e">
        <f t="shared" si="33"/>
        <v>#DIV/0!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t="e">
        <f t="shared" si="40"/>
        <v>#DIV/0!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t="e">
        <f t="shared" si="33"/>
        <v>#DIV/0!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t="e">
        <f t="shared" si="40"/>
        <v>#DIV/0!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t="e">
        <f t="shared" si="33"/>
        <v>#DIV/0!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t="e">
        <f t="shared" si="40"/>
        <v>#DIV/0!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t="e">
        <f t="shared" si="33"/>
        <v>#DIV/0!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t="e">
        <f t="shared" si="40"/>
        <v>#DIV/0!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t="e">
        <f t="shared" si="33"/>
        <v>#DIV/0!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t="e">
        <f t="shared" si="40"/>
        <v>#DIV/0!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t="e">
        <f t="shared" si="33"/>
        <v>#DIV/0!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t="e">
        <f t="shared" si="40"/>
        <v>#DIV/0!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t="e">
        <f t="shared" si="33"/>
        <v>#DIV/0!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t="e">
        <f t="shared" si="40"/>
        <v>#DIV/0!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t="e">
        <f t="shared" si="33"/>
        <v>#DIV/0!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t="e">
        <f t="shared" si="40"/>
        <v>#DIV/0!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t="e">
        <f t="shared" si="33"/>
        <v>#DIV/0!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t="e">
        <f t="shared" si="40"/>
        <v>#DIV/0!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t="e">
        <f t="shared" si="33"/>
        <v>#DIV/0!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t="e">
        <f t="shared" si="40"/>
        <v>#DIV/0!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t="e">
        <f t="shared" si="33"/>
        <v>#DIV/0!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t="e">
        <f t="shared" si="40"/>
        <v>#DIV/0!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t="e">
        <f t="shared" si="33"/>
        <v>#DIV/0!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t="e">
        <f t="shared" si="40"/>
        <v>#DIV/0!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t="e">
        <f t="shared" si="33"/>
        <v>#DIV/0!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t="e">
        <f t="shared" si="40"/>
        <v>#DIV/0!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t="e">
        <f t="shared" si="33"/>
        <v>#DIV/0!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t="e">
        <f t="shared" si="40"/>
        <v>#DIV/0!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t="e">
        <f t="shared" si="33"/>
        <v>#DIV/0!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t="e">
        <f t="shared" si="40"/>
        <v>#DIV/0!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t="e">
        <f t="shared" si="33"/>
        <v>#DIV/0!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t="e">
        <f t="shared" si="40"/>
        <v>#DIV/0!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t="e">
        <f t="shared" si="33"/>
        <v>#DIV/0!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t="e">
        <f t="shared" si="40"/>
        <v>#DIV/0!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t="e">
        <f t="shared" si="33"/>
        <v>#DIV/0!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t="e">
        <f t="shared" si="40"/>
        <v>#DIV/0!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t="e">
        <f t="shared" si="33"/>
        <v>#DIV/0!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t="e">
        <f t="shared" si="40"/>
        <v>#DIV/0!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t="e">
        <f t="shared" si="33"/>
        <v>#DIV/0!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t="e">
        <f t="shared" si="40"/>
        <v>#DIV/0!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t="e">
        <f t="shared" si="33"/>
        <v>#DIV/0!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t="e">
        <f t="shared" si="40"/>
        <v>#DIV/0!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t="e">
        <f t="shared" si="33"/>
        <v>#DIV/0!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t="e">
        <f t="shared" si="40"/>
        <v>#DIV/0!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t="e">
        <f t="shared" si="33"/>
        <v>#DIV/0!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t="e">
        <f t="shared" si="40"/>
        <v>#DIV/0!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t="e">
        <f t="shared" si="33"/>
        <v>#DIV/0!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t="e">
        <f t="shared" si="40"/>
        <v>#DIV/0!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t="e">
        <f t="shared" si="33"/>
        <v>#DIV/0!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t="e">
        <f t="shared" si="40"/>
        <v>#DIV/0!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t="e">
        <f t="shared" si="33"/>
        <v>#DIV/0!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t="e">
        <f t="shared" si="40"/>
        <v>#DIV/0!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t="e">
        <f t="shared" si="33"/>
        <v>#DIV/0!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t="e">
        <f t="shared" si="40"/>
        <v>#DIV/0!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t="e">
        <f t="shared" si="33"/>
        <v>#DIV/0!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t="e">
        <f t="shared" si="40"/>
        <v>#DIV/0!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t="e">
        <f t="shared" si="33"/>
        <v>#DIV/0!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t="e">
        <f t="shared" si="40"/>
        <v>#DIV/0!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t="e">
        <f t="shared" si="33"/>
        <v>#DIV/0!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t="e">
        <f t="shared" si="40"/>
        <v>#DIV/0!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t="e">
        <f t="shared" si="33"/>
        <v>#DIV/0!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t="e">
        <f t="shared" si="40"/>
        <v>#DIV/0!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t="e">
        <f t="shared" si="33"/>
        <v>#DIV/0!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t="e">
        <f t="shared" si="40"/>
        <v>#DIV/0!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t="e">
        <f t="shared" si="33"/>
        <v>#DIV/0!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t="e">
        <f t="shared" si="40"/>
        <v>#DIV/0!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t="e">
        <f t="shared" si="33"/>
        <v>#DIV/0!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t="e">
        <f t="shared" si="40"/>
        <v>#DIV/0!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t="e">
        <f t="shared" si="33"/>
        <v>#DIV/0!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t="e">
        <f t="shared" si="40"/>
        <v>#DIV/0!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t="e">
        <f t="shared" si="33"/>
        <v>#DIV/0!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t="e">
        <f t="shared" si="40"/>
        <v>#DIV/0!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t="e">
        <f t="shared" si="33"/>
        <v>#DIV/0!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t="e">
        <f t="shared" si="40"/>
        <v>#DIV/0!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t="e">
        <f t="shared" si="33"/>
        <v>#DIV/0!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t="e">
        <f t="shared" si="40"/>
        <v>#DIV/0!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t="e">
        <f t="shared" si="33"/>
        <v>#DIV/0!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t="e">
        <f t="shared" si="40"/>
        <v>#DIV/0!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t="e">
        <f t="shared" si="33"/>
        <v>#DIV/0!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t="e">
        <f t="shared" si="40"/>
        <v>#DIV/0!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t="e">
        <f t="shared" si="33"/>
        <v>#DIV/0!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t="e">
        <f t="shared" si="40"/>
        <v>#DIV/0!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t="e">
        <f t="shared" si="33"/>
        <v>#DIV/0!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t="e">
        <f t="shared" si="40"/>
        <v>#DIV/0!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t="e">
        <f t="shared" si="33"/>
        <v>#DIV/0!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t="e">
        <f t="shared" si="40"/>
        <v>#DIV/0!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t="e">
        <f t="shared" si="33"/>
        <v>#DIV/0!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t="e">
        <f t="shared" si="40"/>
        <v>#DIV/0!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t="e">
        <f t="shared" si="33"/>
        <v>#DIV/0!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t="e">
        <f t="shared" si="40"/>
        <v>#DIV/0!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t="e">
        <f t="shared" si="33"/>
        <v>#DIV/0!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t="e">
        <f t="shared" si="40"/>
        <v>#DIV/0!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t="e">
        <f t="shared" si="33"/>
        <v>#DIV/0!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t="e">
        <f t="shared" si="40"/>
        <v>#DIV/0!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t="e">
        <f t="shared" si="33"/>
        <v>#DIV/0!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t="e">
        <f t="shared" si="40"/>
        <v>#DIV/0!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t="e">
        <f t="shared" si="33"/>
        <v>#DIV/0!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t="e">
        <f t="shared" si="40"/>
        <v>#DIV/0!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t="e">
        <f t="shared" si="33"/>
        <v>#DIV/0!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t="e">
        <f t="shared" si="40"/>
        <v>#DIV/0!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t="e">
        <f t="shared" si="33"/>
        <v>#DIV/0!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t="e">
        <f t="shared" si="40"/>
        <v>#DIV/0!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t="e">
        <f t="shared" si="33"/>
        <v>#DIV/0!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t="e">
        <f t="shared" si="40"/>
        <v>#DIV/0!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t="e">
        <f t="shared" si="33"/>
        <v>#DIV/0!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t="e">
        <f t="shared" si="40"/>
        <v>#DIV/0!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t="e">
        <f t="shared" si="33"/>
        <v>#DIV/0!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t="e">
        <f t="shared" si="40"/>
        <v>#DIV/0!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t="e">
        <f t="shared" si="33"/>
        <v>#DIV/0!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t="e">
        <f t="shared" si="40"/>
        <v>#DIV/0!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t="e">
        <f t="shared" si="33"/>
        <v>#DIV/0!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t="e">
        <f t="shared" si="40"/>
        <v>#DIV/0!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t="e">
        <f t="shared" si="33"/>
        <v>#DIV/0!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t="e">
        <f t="shared" si="40"/>
        <v>#DIV/0!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t="e">
        <f t="shared" si="33"/>
        <v>#DIV/0!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t="e">
        <f t="shared" si="40"/>
        <v>#DIV/0!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t="e">
        <f t="shared" si="33"/>
        <v>#DIV/0!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t="e">
        <f t="shared" si="40"/>
        <v>#DIV/0!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t="e">
        <f t="shared" si="33"/>
        <v>#DIV/0!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t="e">
        <f t="shared" si="40"/>
        <v>#DIV/0!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t="e">
        <f t="shared" si="33"/>
        <v>#DIV/0!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t="e">
        <f t="shared" si="40"/>
        <v>#DIV/0!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t="e">
        <f t="shared" si="33"/>
        <v>#DIV/0!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t="e">
        <f t="shared" si="40"/>
        <v>#DIV/0!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t="e">
        <f t="shared" si="33"/>
        <v>#DIV/0!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t="e">
        <f t="shared" si="40"/>
        <v>#DIV/0!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t="e">
        <f t="shared" si="33"/>
        <v>#DIV/0!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t="e">
        <f t="shared" si="40"/>
        <v>#DIV/0!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t="e">
        <f t="shared" si="33"/>
        <v>#DIV/0!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t="e">
        <f t="shared" si="40"/>
        <v>#DIV/0!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t="e">
        <f t="shared" si="33"/>
        <v>#DIV/0!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t="e">
        <f t="shared" si="40"/>
        <v>#DIV/0!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t="e">
        <f t="shared" si="33"/>
        <v>#DIV/0!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t="e">
        <f t="shared" si="40"/>
        <v>#DIV/0!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t="e">
        <f t="shared" si="33"/>
        <v>#DIV/0!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t="e">
        <f t="shared" si="40"/>
        <v>#DIV/0!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t="e">
        <f t="shared" si="33"/>
        <v>#DIV/0!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t="e">
        <f t="shared" si="40"/>
        <v>#DIV/0!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t="e">
        <f t="shared" si="33"/>
        <v>#DIV/0!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t="e">
        <f t="shared" si="40"/>
        <v>#DIV/0!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t="e">
        <f t="shared" si="33"/>
        <v>#DIV/0!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t="e">
        <f t="shared" si="40"/>
        <v>#DIV/0!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t="e">
        <f t="shared" si="33"/>
        <v>#DIV/0!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t="e">
        <f t="shared" si="40"/>
        <v>#DIV/0!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t="e">
        <f t="shared" si="33"/>
        <v>#DIV/0!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t="e">
        <f t="shared" si="40"/>
        <v>#DIV/0!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t="e">
        <f t="shared" si="33"/>
        <v>#DIV/0!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t="e">
        <f t="shared" si="40"/>
        <v>#DIV/0!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t="e">
        <f t="shared" si="33"/>
        <v>#DIV/0!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t="e">
        <f t="shared" si="40"/>
        <v>#DIV/0!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t="e">
        <f t="shared" si="33"/>
        <v>#DIV/0!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t="e">
        <f t="shared" si="40"/>
        <v>#DIV/0!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t="e">
        <f t="shared" si="33"/>
        <v>#DIV/0!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t="e">
        <f t="shared" si="40"/>
        <v>#DIV/0!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t="e">
        <f t="shared" si="33"/>
        <v>#DIV/0!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t="e">
        <f t="shared" si="40"/>
        <v>#DIV/0!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t="e">
        <f t="shared" si="33"/>
        <v>#DIV/0!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t="e">
        <f t="shared" si="40"/>
        <v>#DIV/0!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t="e">
        <f t="shared" si="33"/>
        <v>#DIV/0!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t="e">
        <f t="shared" si="40"/>
        <v>#DIV/0!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t="e">
        <f t="shared" si="33"/>
        <v>#DIV/0!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t="e">
        <f t="shared" si="40"/>
        <v>#DIV/0!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t="e">
        <f t="shared" si="33"/>
        <v>#DIV/0!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t="e">
        <f t="shared" si="40"/>
        <v>#DIV/0!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t="e">
        <f t="shared" si="33"/>
        <v>#DIV/0!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t="e">
        <f t="shared" si="40"/>
        <v>#DIV/0!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t="e">
        <f t="shared" si="33"/>
        <v>#DIV/0!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t="e">
        <f t="shared" ref="AY110:AY141" si="65">ROUND($AY$6*AZ110/$AZ$5,2)</f>
        <v>#DIV/0!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t="e">
        <f t="shared" si="33"/>
        <v>#DIV/0!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t="e">
        <f t="shared" si="65"/>
        <v>#DIV/0!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t="e">
        <f t="shared" si="33"/>
        <v>#DIV/0!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t="e">
        <f t="shared" si="65"/>
        <v>#DIV/0!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t="e">
        <f t="shared" ref="E113:E144" si="87">IF($C$3="是",ROUND($A$3*G113/$B$3,2),ROUND($A$3*(G113-AT113)/$B$3,2))</f>
        <v>#DIV/0!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t="e">
        <f t="shared" si="65"/>
        <v>#DIV/0!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t="e">
        <f t="shared" si="87"/>
        <v>#DIV/0!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t="e">
        <f t="shared" si="65"/>
        <v>#DIV/0!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t="e">
        <f t="shared" si="87"/>
        <v>#DIV/0!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t="e">
        <f t="shared" si="65"/>
        <v>#DIV/0!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t="e">
        <f t="shared" si="87"/>
        <v>#DIV/0!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t="e">
        <f t="shared" si="65"/>
        <v>#DIV/0!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t="e">
        <f t="shared" si="87"/>
        <v>#DIV/0!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t="e">
        <f t="shared" si="65"/>
        <v>#DIV/0!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t="e">
        <f t="shared" si="87"/>
        <v>#DIV/0!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t="e">
        <f t="shared" si="65"/>
        <v>#DIV/0!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t="e">
        <f t="shared" si="87"/>
        <v>#DIV/0!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t="e">
        <f t="shared" si="65"/>
        <v>#DIV/0!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t="e">
        <f t="shared" si="87"/>
        <v>#DIV/0!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t="e">
        <f t="shared" si="65"/>
        <v>#DIV/0!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t="e">
        <f t="shared" si="87"/>
        <v>#DIV/0!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t="e">
        <f t="shared" si="65"/>
        <v>#DIV/0!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t="e">
        <f t="shared" si="87"/>
        <v>#DIV/0!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t="e">
        <f t="shared" si="65"/>
        <v>#DIV/0!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t="e">
        <f t="shared" si="87"/>
        <v>#DIV/0!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t="e">
        <f t="shared" si="65"/>
        <v>#DIV/0!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t="e">
        <f t="shared" si="87"/>
        <v>#DIV/0!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t="e">
        <f t="shared" si="65"/>
        <v>#DIV/0!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t="e">
        <f t="shared" si="87"/>
        <v>#DIV/0!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t="e">
        <f t="shared" si="65"/>
        <v>#DIV/0!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t="e">
        <f t="shared" si="87"/>
        <v>#DIV/0!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t="e">
        <f t="shared" si="65"/>
        <v>#DIV/0!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t="e">
        <f t="shared" si="87"/>
        <v>#DIV/0!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t="e">
        <f t="shared" si="65"/>
        <v>#DIV/0!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t="e">
        <f t="shared" si="87"/>
        <v>#DIV/0!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t="e">
        <f t="shared" si="65"/>
        <v>#DIV/0!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t="e">
        <f t="shared" si="87"/>
        <v>#DIV/0!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t="e">
        <f t="shared" si="65"/>
        <v>#DIV/0!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t="e">
        <f t="shared" si="87"/>
        <v>#DIV/0!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t="e">
        <f t="shared" si="65"/>
        <v>#DIV/0!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t="e">
        <f t="shared" si="87"/>
        <v>#DIV/0!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t="e">
        <f t="shared" si="65"/>
        <v>#DIV/0!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t="e">
        <f t="shared" si="87"/>
        <v>#DIV/0!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t="e">
        <f t="shared" si="65"/>
        <v>#DIV/0!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t="e">
        <f t="shared" si="87"/>
        <v>#DIV/0!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t="e">
        <f t="shared" si="65"/>
        <v>#DIV/0!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t="e">
        <f t="shared" si="87"/>
        <v>#DIV/0!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t="e">
        <f t="shared" si="65"/>
        <v>#DIV/0!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t="e">
        <f t="shared" si="87"/>
        <v>#DIV/0!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t="e">
        <f t="shared" si="65"/>
        <v>#DIV/0!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t="e">
        <f t="shared" si="87"/>
        <v>#DIV/0!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t="e">
        <f t="shared" si="65"/>
        <v>#DIV/0!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t="e">
        <f t="shared" si="87"/>
        <v>#DIV/0!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t="e">
        <f t="shared" si="65"/>
        <v>#DIV/0!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t="e">
        <f t="shared" si="87"/>
        <v>#DIV/0!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t="e">
        <f t="shared" si="65"/>
        <v>#DIV/0!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t="e">
        <f t="shared" si="87"/>
        <v>#DIV/0!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t="e">
        <f t="shared" si="65"/>
        <v>#DIV/0!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t="e">
        <f t="shared" si="87"/>
        <v>#DIV/0!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t="e">
        <f t="shared" si="65"/>
        <v>#DIV/0!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t="e">
        <f t="shared" si="87"/>
        <v>#DIV/0!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t="e">
        <f t="shared" si="65"/>
        <v>#DIV/0!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t="e">
        <f t="shared" si="87"/>
        <v>#DIV/0!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t="e">
        <f t="shared" ref="AY142:AY173" si="94">ROUND($AY$6*AZ142/$AZ$5,2)</f>
        <v>#DIV/0!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t="e">
        <f t="shared" si="87"/>
        <v>#DIV/0!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t="e">
        <f t="shared" si="94"/>
        <v>#DIV/0!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t="e">
        <f t="shared" si="87"/>
        <v>#DIV/0!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t="e">
        <f t="shared" si="94"/>
        <v>#DIV/0!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t="e">
        <f t="shared" ref="E145:E176" si="116">IF($C$3="是",ROUND($A$3*G145/$B$3,2),ROUND($A$3*(G145-AT145)/$B$3,2))</f>
        <v>#DIV/0!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t="e">
        <f t="shared" si="94"/>
        <v>#DIV/0!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t="e">
        <f t="shared" si="116"/>
        <v>#DIV/0!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t="e">
        <f t="shared" si="94"/>
        <v>#DIV/0!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t="e">
        <f t="shared" si="116"/>
        <v>#DIV/0!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t="e">
        <f t="shared" si="94"/>
        <v>#DIV/0!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t="e">
        <f t="shared" si="116"/>
        <v>#DIV/0!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t="e">
        <f t="shared" si="94"/>
        <v>#DIV/0!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t="e">
        <f t="shared" si="116"/>
        <v>#DIV/0!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t="e">
        <f t="shared" si="94"/>
        <v>#DIV/0!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t="e">
        <f t="shared" si="116"/>
        <v>#DIV/0!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t="e">
        <f t="shared" si="94"/>
        <v>#DIV/0!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t="e">
        <f t="shared" si="116"/>
        <v>#DIV/0!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t="e">
        <f t="shared" si="94"/>
        <v>#DIV/0!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t="e">
        <f t="shared" si="116"/>
        <v>#DIV/0!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t="e">
        <f t="shared" si="94"/>
        <v>#DIV/0!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t="e">
        <f t="shared" si="116"/>
        <v>#DIV/0!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t="e">
        <f t="shared" si="94"/>
        <v>#DIV/0!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t="e">
        <f t="shared" si="116"/>
        <v>#DIV/0!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t="e">
        <f t="shared" si="94"/>
        <v>#DIV/0!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t="e">
        <f t="shared" si="116"/>
        <v>#DIV/0!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t="e">
        <f t="shared" si="94"/>
        <v>#DIV/0!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t="e">
        <f t="shared" si="116"/>
        <v>#DIV/0!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t="e">
        <f t="shared" si="94"/>
        <v>#DIV/0!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t="e">
        <f t="shared" si="116"/>
        <v>#DIV/0!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t="e">
        <f t="shared" si="94"/>
        <v>#DIV/0!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t="e">
        <f t="shared" si="116"/>
        <v>#DIV/0!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t="e">
        <f t="shared" si="94"/>
        <v>#DIV/0!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t="e">
        <f t="shared" si="116"/>
        <v>#DIV/0!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t="e">
        <f t="shared" si="94"/>
        <v>#DIV/0!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t="e">
        <f t="shared" si="116"/>
        <v>#DIV/0!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t="e">
        <f t="shared" si="94"/>
        <v>#DIV/0!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t="e">
        <f t="shared" si="116"/>
        <v>#DIV/0!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t="e">
        <f t="shared" si="94"/>
        <v>#DIV/0!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t="e">
        <f t="shared" si="116"/>
        <v>#DIV/0!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t="e">
        <f t="shared" si="94"/>
        <v>#DIV/0!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t="e">
        <f t="shared" si="116"/>
        <v>#DIV/0!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t="e">
        <f t="shared" si="94"/>
        <v>#DIV/0!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t="e">
        <f t="shared" si="116"/>
        <v>#DIV/0!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t="e">
        <f t="shared" si="94"/>
        <v>#DIV/0!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t="e">
        <f t="shared" si="116"/>
        <v>#DIV/0!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t="e">
        <f t="shared" si="94"/>
        <v>#DIV/0!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t="e">
        <f t="shared" si="116"/>
        <v>#DIV/0!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t="e">
        <f t="shared" si="94"/>
        <v>#DIV/0!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t="e">
        <f t="shared" si="116"/>
        <v>#DIV/0!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t="e">
        <f t="shared" si="94"/>
        <v>#DIV/0!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t="e">
        <f t="shared" si="116"/>
        <v>#DIV/0!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t="e">
        <f t="shared" si="94"/>
        <v>#DIV/0!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t="e">
        <f t="shared" si="116"/>
        <v>#DIV/0!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t="e">
        <f t="shared" si="94"/>
        <v>#DIV/0!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t="e">
        <f t="shared" si="116"/>
        <v>#DIV/0!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t="e">
        <f t="shared" si="94"/>
        <v>#DIV/0!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t="e">
        <f t="shared" si="116"/>
        <v>#DIV/0!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t="e">
        <f t="shared" si="94"/>
        <v>#DIV/0!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t="e">
        <f t="shared" si="116"/>
        <v>#DIV/0!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t="e">
        <f t="shared" si="94"/>
        <v>#DIV/0!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t="e">
        <f t="shared" si="116"/>
        <v>#DIV/0!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t="e">
        <f t="shared" si="94"/>
        <v>#DIV/0!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t="e">
        <f t="shared" si="116"/>
        <v>#DIV/0!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t="e">
        <f t="shared" ref="AY174:AY204" si="123">ROUND($AY$6*AZ174/$AZ$5,2)</f>
        <v>#DIV/0!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t="e">
        <f t="shared" si="116"/>
        <v>#DIV/0!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t="e">
        <f t="shared" si="123"/>
        <v>#DIV/0!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t="e">
        <f t="shared" si="116"/>
        <v>#DIV/0!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t="e">
        <f t="shared" si="123"/>
        <v>#DIV/0!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t="e">
        <f t="shared" ref="E177:E204" si="145">IF($C$3="是",ROUND($A$3*G177/$B$3,2),ROUND($A$3*(G177-AT177)/$B$3,2))</f>
        <v>#DIV/0!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t="e">
        <f t="shared" si="123"/>
        <v>#DIV/0!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t="e">
        <f t="shared" si="145"/>
        <v>#DIV/0!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t="e">
        <f t="shared" si="123"/>
        <v>#DIV/0!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t="e">
        <f t="shared" si="145"/>
        <v>#DIV/0!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t="e">
        <f t="shared" si="123"/>
        <v>#DIV/0!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t="e">
        <f t="shared" si="145"/>
        <v>#DIV/0!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t="e">
        <f t="shared" si="123"/>
        <v>#DIV/0!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t="e">
        <f t="shared" si="145"/>
        <v>#DIV/0!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t="e">
        <f t="shared" si="123"/>
        <v>#DIV/0!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t="e">
        <f t="shared" si="145"/>
        <v>#DIV/0!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t="e">
        <f t="shared" si="123"/>
        <v>#DIV/0!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t="e">
        <f t="shared" si="145"/>
        <v>#DIV/0!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t="e">
        <f t="shared" si="123"/>
        <v>#DIV/0!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t="e">
        <f t="shared" si="145"/>
        <v>#DIV/0!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t="e">
        <f t="shared" si="123"/>
        <v>#DIV/0!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t="e">
        <f t="shared" si="145"/>
        <v>#DIV/0!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t="e">
        <f t="shared" si="123"/>
        <v>#DIV/0!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t="e">
        <f t="shared" si="145"/>
        <v>#DIV/0!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t="e">
        <f t="shared" si="123"/>
        <v>#DIV/0!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t="e">
        <f t="shared" si="145"/>
        <v>#DIV/0!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t="e">
        <f t="shared" si="123"/>
        <v>#DIV/0!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t="e">
        <f t="shared" si="145"/>
        <v>#DIV/0!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t="e">
        <f t="shared" si="123"/>
        <v>#DIV/0!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t="e">
        <f t="shared" si="145"/>
        <v>#DIV/0!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t="e">
        <f t="shared" si="123"/>
        <v>#DIV/0!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t="e">
        <f t="shared" si="145"/>
        <v>#DIV/0!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t="e">
        <f t="shared" si="123"/>
        <v>#DIV/0!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t="e">
        <f t="shared" si="145"/>
        <v>#DIV/0!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t="e">
        <f t="shared" si="123"/>
        <v>#DIV/0!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t="e">
        <f t="shared" si="145"/>
        <v>#DIV/0!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t="e">
        <f t="shared" si="123"/>
        <v>#DIV/0!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t="e">
        <f t="shared" si="145"/>
        <v>#DIV/0!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t="e">
        <f t="shared" si="123"/>
        <v>#DIV/0!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t="e">
        <f t="shared" si="145"/>
        <v>#DIV/0!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t="e">
        <f t="shared" si="123"/>
        <v>#DIV/0!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t="e">
        <f t="shared" si="145"/>
        <v>#DIV/0!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t="e">
        <f t="shared" si="123"/>
        <v>#DIV/0!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t="e">
        <f t="shared" si="145"/>
        <v>#DIV/0!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t="e">
        <f t="shared" si="123"/>
        <v>#DIV/0!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t="e">
        <f t="shared" si="145"/>
        <v>#DIV/0!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t="e">
        <f t="shared" si="123"/>
        <v>#DIV/0!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t="e">
        <f t="shared" si="145"/>
        <v>#DIV/0!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t="e">
        <f t="shared" si="123"/>
        <v>#DIV/0!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t="e">
        <f t="shared" si="145"/>
        <v>#DIV/0!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t="e">
        <f t="shared" si="123"/>
        <v>#DIV/0!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t="e">
        <f t="shared" si="145"/>
        <v>#DIV/0!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t="e">
        <f t="shared" si="123"/>
        <v>#DIV/0!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t="e">
        <f t="shared" si="145"/>
        <v>#DIV/0!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t="e">
        <f t="shared" si="123"/>
        <v>#DIV/0!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t="e">
        <f t="shared" si="145"/>
        <v>#DIV/0!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t="e">
        <f t="shared" si="123"/>
        <v>#DIV/0!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t="e">
        <f t="shared" si="145"/>
        <v>#DIV/0!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t="e">
        <f t="shared" si="123"/>
        <v>#DIV/0!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t="e">
        <f t="shared" si="145"/>
        <v>#DIV/0!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t="e">
        <f t="shared" si="123"/>
        <v>#DIV/0!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t="e">
        <f t="shared" ref="E205:E296" si="149">IF($C$3="是",ROUND($A$3*G205/$B$3,2),ROUND($A$3*(G205-AT205)/$B$3,2))</f>
        <v>#DIV/0!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t="e">
        <f t="shared" ref="AY205:AY293" si="156">ROUND($AY$6*AZ205/$AZ$5,2)</f>
        <v>#DIV/0!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t="e">
        <f t="shared" si="149"/>
        <v>#DIV/0!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t="e">
        <f t="shared" si="156"/>
        <v>#DIV/0!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t="e">
        <f t="shared" si="149"/>
        <v>#DIV/0!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t="e">
        <f t="shared" si="156"/>
        <v>#DIV/0!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t="e">
        <f t="shared" si="149"/>
        <v>#DIV/0!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t="e">
        <f t="shared" si="156"/>
        <v>#DIV/0!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t="e">
        <f t="shared" si="149"/>
        <v>#DIV/0!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t="e">
        <f t="shared" si="156"/>
        <v>#DIV/0!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t="e">
        <f t="shared" si="149"/>
        <v>#DIV/0!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t="e">
        <f t="shared" si="156"/>
        <v>#DIV/0!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t="e">
        <f t="shared" si="149"/>
        <v>#DIV/0!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t="e">
        <f t="shared" si="156"/>
        <v>#DIV/0!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t="e">
        <f t="shared" si="149"/>
        <v>#DIV/0!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t="e">
        <f t="shared" si="156"/>
        <v>#DIV/0!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t="e">
        <f t="shared" si="149"/>
        <v>#DIV/0!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t="e">
        <f t="shared" si="156"/>
        <v>#DIV/0!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t="e">
        <f t="shared" si="149"/>
        <v>#DIV/0!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t="e">
        <f t="shared" si="156"/>
        <v>#DIV/0!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t="e">
        <f t="shared" si="149"/>
        <v>#DIV/0!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t="e">
        <f t="shared" si="156"/>
        <v>#DIV/0!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t="e">
        <f t="shared" si="149"/>
        <v>#DIV/0!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t="e">
        <f t="shared" si="156"/>
        <v>#DIV/0!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t="e">
        <f t="shared" si="149"/>
        <v>#DIV/0!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t="e">
        <f t="shared" si="156"/>
        <v>#DIV/0!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t="e">
        <f t="shared" si="149"/>
        <v>#DIV/0!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t="e">
        <f t="shared" si="156"/>
        <v>#DIV/0!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t="e">
        <f t="shared" si="149"/>
        <v>#DIV/0!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t="e">
        <f t="shared" si="156"/>
        <v>#DIV/0!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t="e">
        <f t="shared" si="149"/>
        <v>#DIV/0!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t="e">
        <f t="shared" si="156"/>
        <v>#DIV/0!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t="e">
        <f t="shared" si="149"/>
        <v>#DIV/0!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t="e">
        <f t="shared" si="156"/>
        <v>#DIV/0!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t="e">
        <f t="shared" si="149"/>
        <v>#DIV/0!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t="e">
        <f t="shared" si="156"/>
        <v>#DIV/0!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t="e">
        <f t="shared" si="149"/>
        <v>#DIV/0!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t="e">
        <f t="shared" si="156"/>
        <v>#DIV/0!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t="e">
        <f t="shared" si="149"/>
        <v>#DIV/0!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t="e">
        <f t="shared" si="156"/>
        <v>#DIV/0!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t="e">
        <f t="shared" si="149"/>
        <v>#DIV/0!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t="e">
        <f t="shared" si="156"/>
        <v>#DIV/0!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t="e">
        <f t="shared" si="149"/>
        <v>#DIV/0!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t="e">
        <f t="shared" si="156"/>
        <v>#DIV/0!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t="e">
        <f t="shared" si="149"/>
        <v>#DIV/0!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t="e">
        <f t="shared" si="156"/>
        <v>#DIV/0!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t="e">
        <f t="shared" si="149"/>
        <v>#DIV/0!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t="e">
        <f t="shared" si="156"/>
        <v>#DIV/0!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t="e">
        <f t="shared" si="149"/>
        <v>#DIV/0!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t="e">
        <f t="shared" si="156"/>
        <v>#DIV/0!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t="e">
        <f t="shared" si="149"/>
        <v>#DIV/0!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t="e">
        <f t="shared" si="156"/>
        <v>#DIV/0!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t="e">
        <f t="shared" si="149"/>
        <v>#DIV/0!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t="e">
        <f t="shared" si="156"/>
        <v>#DIV/0!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t="e">
        <f t="shared" si="149"/>
        <v>#DIV/0!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t="e">
        <f t="shared" si="156"/>
        <v>#DIV/0!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t="e">
        <f t="shared" si="149"/>
        <v>#DIV/0!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t="e">
        <f t="shared" si="156"/>
        <v>#DIV/0!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t="e">
        <f t="shared" si="149"/>
        <v>#DIV/0!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t="e">
        <f t="shared" si="156"/>
        <v>#DIV/0!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t="e">
        <f t="shared" si="149"/>
        <v>#DIV/0!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t="e">
        <f t="shared" si="156"/>
        <v>#DIV/0!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t="e">
        <f t="shared" si="149"/>
        <v>#DIV/0!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t="e">
        <f t="shared" si="156"/>
        <v>#DIV/0!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t="e">
        <f t="shared" si="149"/>
        <v>#DIV/0!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t="e">
        <f t="shared" si="156"/>
        <v>#DIV/0!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t="e">
        <f t="shared" si="149"/>
        <v>#DIV/0!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t="e">
        <f t="shared" si="156"/>
        <v>#DIV/0!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t="e">
        <f t="shared" si="149"/>
        <v>#DIV/0!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t="e">
        <f t="shared" si="156"/>
        <v>#DIV/0!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t="e">
        <f t="shared" si="149"/>
        <v>#DIV/0!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t="e">
        <f t="shared" si="156"/>
        <v>#DIV/0!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t="e">
        <f t="shared" si="149"/>
        <v>#DIV/0!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t="e">
        <f t="shared" si="156"/>
        <v>#DIV/0!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t="e">
        <f t="shared" si="149"/>
        <v>#DIV/0!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t="e">
        <f t="shared" si="156"/>
        <v>#DIV/0!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t="e">
        <f t="shared" si="149"/>
        <v>#DIV/0!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t="e">
        <f t="shared" si="156"/>
        <v>#DIV/0!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t="e">
        <f t="shared" si="149"/>
        <v>#DIV/0!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t="e">
        <f t="shared" si="156"/>
        <v>#DIV/0!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t="e">
        <f t="shared" si="149"/>
        <v>#DIV/0!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t="e">
        <f t="shared" si="156"/>
        <v>#DIV/0!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t="e">
        <f t="shared" si="149"/>
        <v>#DIV/0!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t="e">
        <f t="shared" si="156"/>
        <v>#DIV/0!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t="e">
        <f t="shared" si="149"/>
        <v>#DIV/0!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t="e">
        <f t="shared" si="156"/>
        <v>#DIV/0!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t="e">
        <f t="shared" si="149"/>
        <v>#DIV/0!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t="e">
        <f t="shared" si="156"/>
        <v>#DIV/0!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t="e">
        <f t="shared" si="149"/>
        <v>#DIV/0!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t="e">
        <f t="shared" si="156"/>
        <v>#DIV/0!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t="e">
        <f t="shared" si="149"/>
        <v>#DIV/0!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t="e">
        <f t="shared" si="156"/>
        <v>#DIV/0!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t="e">
        <f t="shared" si="149"/>
        <v>#DIV/0!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t="e">
        <f t="shared" si="156"/>
        <v>#DIV/0!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t="e">
        <f t="shared" si="149"/>
        <v>#DIV/0!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t="e">
        <f t="shared" si="156"/>
        <v>#DIV/0!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t="e">
        <f t="shared" si="149"/>
        <v>#DIV/0!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t="e">
        <f t="shared" si="156"/>
        <v>#DIV/0!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t="e">
        <f t="shared" si="149"/>
        <v>#DIV/0!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t="e">
        <f t="shared" si="156"/>
        <v>#DIV/0!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t="e">
        <f t="shared" si="149"/>
        <v>#DIV/0!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t="e">
        <f t="shared" si="156"/>
        <v>#DIV/0!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t="e">
        <f t="shared" si="149"/>
        <v>#DIV/0!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t="e">
        <f t="shared" si="156"/>
        <v>#DIV/0!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t="e">
        <f t="shared" si="149"/>
        <v>#DIV/0!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t="e">
        <f t="shared" si="156"/>
        <v>#DIV/0!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t="e">
        <f t="shared" si="149"/>
        <v>#DIV/0!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t="e">
        <f t="shared" si="156"/>
        <v>#DIV/0!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t="e">
        <f t="shared" si="149"/>
        <v>#DIV/0!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t="e">
        <f t="shared" si="156"/>
        <v>#DIV/0!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t="e">
        <f t="shared" si="149"/>
        <v>#DIV/0!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t="e">
        <f t="shared" si="156"/>
        <v>#DIV/0!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t="e">
        <f t="shared" si="149"/>
        <v>#DIV/0!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t="e">
        <f t="shared" si="156"/>
        <v>#DIV/0!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t="e">
        <f t="shared" si="149"/>
        <v>#DIV/0!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t="e">
        <f t="shared" si="156"/>
        <v>#DIV/0!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t="e">
        <f t="shared" si="149"/>
        <v>#DIV/0!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t="e">
        <f t="shared" si="156"/>
        <v>#DIV/0!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t="e">
        <f t="shared" si="149"/>
        <v>#DIV/0!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t="e">
        <f t="shared" si="156"/>
        <v>#DIV/0!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t="e">
        <f t="shared" si="149"/>
        <v>#DIV/0!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t="e">
        <f t="shared" si="156"/>
        <v>#DIV/0!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t="e">
        <f t="shared" si="149"/>
        <v>#DIV/0!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t="e">
        <f t="shared" si="156"/>
        <v>#DIV/0!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t="e">
        <f t="shared" si="149"/>
        <v>#DIV/0!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t="e">
        <f t="shared" si="156"/>
        <v>#DIV/0!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t="e">
        <f t="shared" si="149"/>
        <v>#DIV/0!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t="e">
        <f t="shared" si="156"/>
        <v>#DIV/0!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t="e">
        <f t="shared" si="149"/>
        <v>#DIV/0!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t="e">
        <f t="shared" si="156"/>
        <v>#DIV/0!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t="e">
        <f t="shared" si="149"/>
        <v>#DIV/0!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t="e">
        <f t="shared" si="156"/>
        <v>#DIV/0!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t="e">
        <f t="shared" si="149"/>
        <v>#DIV/0!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t="e">
        <f t="shared" si="156"/>
        <v>#DIV/0!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t="e">
        <f t="shared" si="149"/>
        <v>#DIV/0!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t="e">
        <f t="shared" si="156"/>
        <v>#DIV/0!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t="e">
        <f t="shared" si="149"/>
        <v>#DIV/0!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t="e">
        <f t="shared" si="156"/>
        <v>#DIV/0!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t="e">
        <f t="shared" si="149"/>
        <v>#DIV/0!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t="e">
        <f t="shared" si="156"/>
        <v>#DIV/0!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t="e">
        <f t="shared" si="149"/>
        <v>#DIV/0!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t="e">
        <f t="shared" si="156"/>
        <v>#DIV/0!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t="e">
        <f t="shared" si="149"/>
        <v>#DIV/0!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t="e">
        <f t="shared" si="156"/>
        <v>#DIV/0!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t="e">
        <f t="shared" si="149"/>
        <v>#DIV/0!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t="e">
        <f t="shared" si="156"/>
        <v>#DIV/0!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t="e">
        <f t="shared" si="149"/>
        <v>#DIV/0!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t="e">
        <f t="shared" si="156"/>
        <v>#DIV/0!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t="e">
        <f t="shared" si="149"/>
        <v>#DIV/0!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t="e">
        <f t="shared" si="156"/>
        <v>#DIV/0!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t="e">
        <f t="shared" si="149"/>
        <v>#DIV/0!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t="e">
        <f t="shared" si="156"/>
        <v>#DIV/0!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t="e">
        <f t="shared" si="149"/>
        <v>#DIV/0!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t="e">
        <f t="shared" si="156"/>
        <v>#DIV/0!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t="e">
        <f t="shared" si="149"/>
        <v>#DIV/0!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t="e">
        <f t="shared" si="156"/>
        <v>#DIV/0!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t="e">
        <f t="shared" si="149"/>
        <v>#DIV/0!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t="e">
        <f t="shared" si="156"/>
        <v>#DIV/0!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t="e">
        <f t="shared" si="149"/>
        <v>#DIV/0!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t="e">
        <f t="shared" si="156"/>
        <v>#DIV/0!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t="e">
        <f t="shared" si="149"/>
        <v>#DIV/0!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t="e">
        <f t="shared" si="156"/>
        <v>#DIV/0!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t="e">
        <f t="shared" si="149"/>
        <v>#DIV/0!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t="e">
        <f t="shared" si="156"/>
        <v>#DIV/0!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t="e">
        <f t="shared" si="149"/>
        <v>#DIV/0!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t="e">
        <f t="shared" si="156"/>
        <v>#DIV/0!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t="e">
        <f t="shared" si="149"/>
        <v>#DIV/0!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t="e">
        <f t="shared" si="156"/>
        <v>#DIV/0!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t="e">
        <f t="shared" si="149"/>
        <v>#DIV/0!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t="e">
        <f t="shared" si="156"/>
        <v>#DIV/0!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t="e">
        <f t="shared" si="149"/>
        <v>#DIV/0!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t="e">
        <f t="shared" si="156"/>
        <v>#DIV/0!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t="e">
        <f t="shared" si="149"/>
        <v>#DIV/0!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t="e">
        <f t="shared" si="156"/>
        <v>#DIV/0!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t="e">
        <f t="shared" si="149"/>
        <v>#DIV/0!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t="e">
        <f t="shared" si="156"/>
        <v>#DIV/0!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t="e">
        <f t="shared" si="149"/>
        <v>#DIV/0!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t="e">
        <f t="shared" si="156"/>
        <v>#DIV/0!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t="e">
        <f t="shared" si="149"/>
        <v>#DIV/0!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t="e">
        <f t="shared" ref="AY294:AY325" si="181">ROUND($AY$6*AZ294/$AZ$5,2)</f>
        <v>#DIV/0!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t="e">
        <f t="shared" si="149"/>
        <v>#DIV/0!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t="e">
        <f t="shared" si="181"/>
        <v>#DIV/0!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t="e">
        <f t="shared" si="149"/>
        <v>#DIV/0!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t="e">
        <f t="shared" si="181"/>
        <v>#DIV/0!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t="e">
        <f t="shared" ref="E297:E328" si="203">IF($C$3="是",ROUND($A$3*G297/$B$3,2),ROUND($A$3*(G297-AT297)/$B$3,2))</f>
        <v>#DIV/0!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t="e">
        <f t="shared" si="181"/>
        <v>#DIV/0!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t="e">
        <f t="shared" si="203"/>
        <v>#DIV/0!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t="e">
        <f t="shared" si="181"/>
        <v>#DIV/0!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t="e">
        <f t="shared" si="203"/>
        <v>#DIV/0!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t="e">
        <f t="shared" si="181"/>
        <v>#DIV/0!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t="e">
        <f t="shared" si="203"/>
        <v>#DIV/0!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t="e">
        <f t="shared" si="181"/>
        <v>#DIV/0!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t="e">
        <f t="shared" si="203"/>
        <v>#DIV/0!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t="e">
        <f t="shared" si="181"/>
        <v>#DIV/0!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t="e">
        <f t="shared" si="203"/>
        <v>#DIV/0!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t="e">
        <f t="shared" si="181"/>
        <v>#DIV/0!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t="e">
        <f t="shared" si="203"/>
        <v>#DIV/0!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t="e">
        <f t="shared" si="181"/>
        <v>#DIV/0!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t="e">
        <f t="shared" si="203"/>
        <v>#DIV/0!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t="e">
        <f t="shared" si="181"/>
        <v>#DIV/0!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t="e">
        <f t="shared" si="203"/>
        <v>#DIV/0!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t="e">
        <f t="shared" si="181"/>
        <v>#DIV/0!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t="e">
        <f t="shared" si="203"/>
        <v>#DIV/0!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t="e">
        <f t="shared" si="181"/>
        <v>#DIV/0!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t="e">
        <f t="shared" si="203"/>
        <v>#DIV/0!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t="e">
        <f t="shared" si="181"/>
        <v>#DIV/0!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t="e">
        <f t="shared" si="203"/>
        <v>#DIV/0!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t="e">
        <f t="shared" si="181"/>
        <v>#DIV/0!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t="e">
        <f t="shared" si="203"/>
        <v>#DIV/0!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t="e">
        <f t="shared" si="181"/>
        <v>#DIV/0!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t="e">
        <f t="shared" si="203"/>
        <v>#DIV/0!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t="e">
        <f t="shared" si="181"/>
        <v>#DIV/0!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t="e">
        <f t="shared" si="203"/>
        <v>#DIV/0!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t="e">
        <f t="shared" si="181"/>
        <v>#DIV/0!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t="e">
        <f t="shared" si="203"/>
        <v>#DIV/0!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t="e">
        <f t="shared" si="181"/>
        <v>#DIV/0!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t="e">
        <f t="shared" si="203"/>
        <v>#DIV/0!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t="e">
        <f t="shared" si="181"/>
        <v>#DIV/0!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t="e">
        <f t="shared" si="203"/>
        <v>#DIV/0!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t="e">
        <f t="shared" si="181"/>
        <v>#DIV/0!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t="e">
        <f t="shared" si="203"/>
        <v>#DIV/0!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t="e">
        <f t="shared" si="181"/>
        <v>#DIV/0!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t="e">
        <f t="shared" si="203"/>
        <v>#DIV/0!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t="e">
        <f t="shared" si="181"/>
        <v>#DIV/0!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t="e">
        <f t="shared" si="203"/>
        <v>#DIV/0!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t="e">
        <f t="shared" si="181"/>
        <v>#DIV/0!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t="e">
        <f t="shared" si="203"/>
        <v>#DIV/0!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t="e">
        <f t="shared" si="181"/>
        <v>#DIV/0!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t="e">
        <f t="shared" si="203"/>
        <v>#DIV/0!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t="e">
        <f t="shared" si="181"/>
        <v>#DIV/0!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t="e">
        <f t="shared" si="203"/>
        <v>#DIV/0!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t="e">
        <f t="shared" si="181"/>
        <v>#DIV/0!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t="e">
        <f t="shared" si="203"/>
        <v>#DIV/0!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t="e">
        <f t="shared" si="181"/>
        <v>#DIV/0!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t="e">
        <f t="shared" si="203"/>
        <v>#DIV/0!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t="e">
        <f t="shared" si="181"/>
        <v>#DIV/0!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t="e">
        <f t="shared" si="203"/>
        <v>#DIV/0!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t="e">
        <f t="shared" si="181"/>
        <v>#DIV/0!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t="e">
        <f t="shared" si="203"/>
        <v>#DIV/0!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t="e">
        <f t="shared" si="181"/>
        <v>#DIV/0!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t="e">
        <f t="shared" si="203"/>
        <v>#DIV/0!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t="e">
        <f t="shared" si="181"/>
        <v>#DIV/0!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t="e">
        <f t="shared" si="203"/>
        <v>#DIV/0!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t="e">
        <f t="shared" ref="AY326:AY357" si="210">ROUND($AY$6*AZ326/$AZ$5,2)</f>
        <v>#DIV/0!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t="e">
        <f t="shared" si="203"/>
        <v>#DIV/0!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t="e">
        <f t="shared" si="210"/>
        <v>#DIV/0!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t="e">
        <f t="shared" si="203"/>
        <v>#DIV/0!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t="e">
        <f t="shared" si="210"/>
        <v>#DIV/0!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t="e">
        <f t="shared" ref="E329:E360" si="232">IF($C$3="是",ROUND($A$3*G329/$B$3,2),ROUND($A$3*(G329-AT329)/$B$3,2))</f>
        <v>#DIV/0!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t="e">
        <f t="shared" si="210"/>
        <v>#DIV/0!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t="e">
        <f t="shared" si="232"/>
        <v>#DIV/0!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t="e">
        <f t="shared" si="210"/>
        <v>#DIV/0!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t="e">
        <f t="shared" si="232"/>
        <v>#DIV/0!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t="e">
        <f t="shared" si="210"/>
        <v>#DIV/0!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t="e">
        <f t="shared" si="232"/>
        <v>#DIV/0!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t="e">
        <f t="shared" si="210"/>
        <v>#DIV/0!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t="e">
        <f t="shared" si="232"/>
        <v>#DIV/0!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t="e">
        <f t="shared" si="210"/>
        <v>#DIV/0!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t="e">
        <f t="shared" si="232"/>
        <v>#DIV/0!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t="e">
        <f t="shared" si="210"/>
        <v>#DIV/0!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t="e">
        <f t="shared" si="232"/>
        <v>#DIV/0!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t="e">
        <f t="shared" si="210"/>
        <v>#DIV/0!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t="e">
        <f t="shared" si="232"/>
        <v>#DIV/0!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t="e">
        <f t="shared" si="210"/>
        <v>#DIV/0!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t="e">
        <f t="shared" si="232"/>
        <v>#DIV/0!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t="e">
        <f t="shared" si="210"/>
        <v>#DIV/0!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t="e">
        <f t="shared" si="232"/>
        <v>#DIV/0!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t="e">
        <f t="shared" si="210"/>
        <v>#DIV/0!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t="e">
        <f t="shared" si="232"/>
        <v>#DIV/0!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t="e">
        <f t="shared" si="210"/>
        <v>#DIV/0!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t="e">
        <f t="shared" si="232"/>
        <v>#DIV/0!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t="e">
        <f t="shared" si="210"/>
        <v>#DIV/0!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t="e">
        <f t="shared" si="232"/>
        <v>#DIV/0!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t="e">
        <f t="shared" si="210"/>
        <v>#DIV/0!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t="e">
        <f t="shared" si="232"/>
        <v>#DIV/0!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t="e">
        <f t="shared" si="210"/>
        <v>#DIV/0!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t="e">
        <f t="shared" si="232"/>
        <v>#DIV/0!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t="e">
        <f t="shared" si="210"/>
        <v>#DIV/0!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t="e">
        <f t="shared" si="232"/>
        <v>#DIV/0!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t="e">
        <f t="shared" si="210"/>
        <v>#DIV/0!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t="e">
        <f t="shared" si="232"/>
        <v>#DIV/0!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t="e">
        <f t="shared" si="210"/>
        <v>#DIV/0!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t="e">
        <f t="shared" si="232"/>
        <v>#DIV/0!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t="e">
        <f t="shared" si="210"/>
        <v>#DIV/0!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t="e">
        <f t="shared" si="232"/>
        <v>#DIV/0!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t="e">
        <f t="shared" si="210"/>
        <v>#DIV/0!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t="e">
        <f t="shared" si="232"/>
        <v>#DIV/0!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t="e">
        <f t="shared" si="210"/>
        <v>#DIV/0!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t="e">
        <f t="shared" si="232"/>
        <v>#DIV/0!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t="e">
        <f t="shared" si="210"/>
        <v>#DIV/0!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t="e">
        <f t="shared" si="232"/>
        <v>#DIV/0!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t="e">
        <f t="shared" si="210"/>
        <v>#DIV/0!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t="e">
        <f t="shared" si="232"/>
        <v>#DIV/0!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t="e">
        <f t="shared" si="210"/>
        <v>#DIV/0!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t="e">
        <f t="shared" si="232"/>
        <v>#DIV/0!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t="e">
        <f t="shared" si="210"/>
        <v>#DIV/0!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t="e">
        <f t="shared" si="232"/>
        <v>#DIV/0!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t="e">
        <f t="shared" si="210"/>
        <v>#DIV/0!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t="e">
        <f t="shared" si="232"/>
        <v>#DIV/0!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t="e">
        <f t="shared" si="210"/>
        <v>#DIV/0!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t="e">
        <f t="shared" si="232"/>
        <v>#DIV/0!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t="e">
        <f t="shared" si="210"/>
        <v>#DIV/0!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t="e">
        <f t="shared" si="232"/>
        <v>#DIV/0!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t="e">
        <f t="shared" si="210"/>
        <v>#DIV/0!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t="e">
        <f t="shared" si="232"/>
        <v>#DIV/0!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t="e">
        <f t="shared" si="210"/>
        <v>#DIV/0!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t="e">
        <f t="shared" si="232"/>
        <v>#DIV/0!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t="e">
        <f t="shared" ref="AY358:AY388" si="239">ROUND($AY$6*AZ358/$AZ$5,2)</f>
        <v>#DIV/0!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t="e">
        <f t="shared" si="232"/>
        <v>#DIV/0!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t="e">
        <f t="shared" si="239"/>
        <v>#DIV/0!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t="e">
        <f t="shared" si="232"/>
        <v>#DIV/0!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t="e">
        <f t="shared" si="239"/>
        <v>#DIV/0!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t="e">
        <f t="shared" ref="E361:E388" si="261">IF($C$3="是",ROUND($A$3*G361/$B$3,2),ROUND($A$3*(G361-AT361)/$B$3,2))</f>
        <v>#DIV/0!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t="e">
        <f t="shared" si="239"/>
        <v>#DIV/0!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t="e">
        <f t="shared" si="261"/>
        <v>#DIV/0!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t="e">
        <f t="shared" si="239"/>
        <v>#DIV/0!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t="e">
        <f t="shared" si="261"/>
        <v>#DIV/0!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t="e">
        <f t="shared" si="239"/>
        <v>#DIV/0!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t="e">
        <f t="shared" si="261"/>
        <v>#DIV/0!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t="e">
        <f t="shared" si="239"/>
        <v>#DIV/0!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t="e">
        <f t="shared" si="261"/>
        <v>#DIV/0!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t="e">
        <f t="shared" si="239"/>
        <v>#DIV/0!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t="e">
        <f t="shared" si="261"/>
        <v>#DIV/0!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t="e">
        <f t="shared" si="239"/>
        <v>#DIV/0!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t="e">
        <f t="shared" si="261"/>
        <v>#DIV/0!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t="e">
        <f t="shared" si="239"/>
        <v>#DIV/0!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t="e">
        <f t="shared" si="261"/>
        <v>#DIV/0!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t="e">
        <f t="shared" si="239"/>
        <v>#DIV/0!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t="e">
        <f t="shared" si="261"/>
        <v>#DIV/0!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t="e">
        <f t="shared" si="239"/>
        <v>#DIV/0!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t="e">
        <f t="shared" si="261"/>
        <v>#DIV/0!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t="e">
        <f t="shared" si="239"/>
        <v>#DIV/0!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t="e">
        <f t="shared" si="261"/>
        <v>#DIV/0!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t="e">
        <f t="shared" si="239"/>
        <v>#DIV/0!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t="e">
        <f t="shared" si="261"/>
        <v>#DIV/0!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t="e">
        <f t="shared" si="239"/>
        <v>#DIV/0!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t="e">
        <f t="shared" si="261"/>
        <v>#DIV/0!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t="e">
        <f t="shared" si="239"/>
        <v>#DIV/0!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t="e">
        <f t="shared" si="261"/>
        <v>#DIV/0!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t="e">
        <f t="shared" si="239"/>
        <v>#DIV/0!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t="e">
        <f t="shared" si="261"/>
        <v>#DIV/0!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t="e">
        <f t="shared" si="239"/>
        <v>#DIV/0!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t="e">
        <f t="shared" si="261"/>
        <v>#DIV/0!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t="e">
        <f t="shared" si="239"/>
        <v>#DIV/0!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t="e">
        <f t="shared" si="261"/>
        <v>#DIV/0!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t="e">
        <f t="shared" si="239"/>
        <v>#DIV/0!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t="e">
        <f t="shared" si="261"/>
        <v>#DIV/0!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t="e">
        <f t="shared" si="239"/>
        <v>#DIV/0!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t="e">
        <f t="shared" si="261"/>
        <v>#DIV/0!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t="e">
        <f t="shared" si="239"/>
        <v>#DIV/0!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t="e">
        <f t="shared" si="261"/>
        <v>#DIV/0!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t="e">
        <f t="shared" si="239"/>
        <v>#DIV/0!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t="e">
        <f t="shared" si="261"/>
        <v>#DIV/0!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t="e">
        <f t="shared" si="239"/>
        <v>#DIV/0!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t="e">
        <f t="shared" si="261"/>
        <v>#DIV/0!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t="e">
        <f t="shared" si="239"/>
        <v>#DIV/0!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t="e">
        <f t="shared" si="261"/>
        <v>#DIV/0!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t="e">
        <f t="shared" si="239"/>
        <v>#DIV/0!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t="e">
        <f t="shared" si="261"/>
        <v>#DIV/0!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t="e">
        <f t="shared" si="239"/>
        <v>#DIV/0!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t="e">
        <f t="shared" si="261"/>
        <v>#DIV/0!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t="e">
        <f t="shared" si="239"/>
        <v>#DIV/0!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t="e">
        <f t="shared" si="261"/>
        <v>#DIV/0!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t="e">
        <f t="shared" si="239"/>
        <v>#DIV/0!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t="e">
        <f t="shared" si="261"/>
        <v>#DIV/0!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t="e">
        <f t="shared" si="239"/>
        <v>#DIV/0!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t="e">
        <f t="shared" si="261"/>
        <v>#DIV/0!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t="e">
        <f t="shared" si="239"/>
        <v>#DIV/0!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t="e">
        <f t="shared" ref="E389:E480" si="265">IF($C$3="是",ROUND($A$3*G389/$B$3,2),ROUND($A$3*(G389-AT389)/$B$3,2))</f>
        <v>#DIV/0!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t="e">
        <f t="shared" ref="AY389:AY477" si="272">ROUND($AY$6*AZ389/$AZ$5,2)</f>
        <v>#DIV/0!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t="e">
        <f t="shared" si="265"/>
        <v>#DIV/0!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t="e">
        <f t="shared" si="272"/>
        <v>#DIV/0!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t="e">
        <f t="shared" si="265"/>
        <v>#DIV/0!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t="e">
        <f t="shared" si="272"/>
        <v>#DIV/0!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t="e">
        <f t="shared" si="265"/>
        <v>#DIV/0!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t="e">
        <f t="shared" si="272"/>
        <v>#DIV/0!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t="e">
        <f t="shared" si="265"/>
        <v>#DIV/0!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t="e">
        <f t="shared" si="272"/>
        <v>#DIV/0!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t="e">
        <f t="shared" si="265"/>
        <v>#DIV/0!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t="e">
        <f t="shared" si="272"/>
        <v>#DIV/0!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t="e">
        <f t="shared" si="265"/>
        <v>#DIV/0!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t="e">
        <f t="shared" si="272"/>
        <v>#DIV/0!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t="e">
        <f t="shared" si="265"/>
        <v>#DIV/0!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t="e">
        <f t="shared" si="272"/>
        <v>#DIV/0!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t="e">
        <f t="shared" si="265"/>
        <v>#DIV/0!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t="e">
        <f t="shared" si="272"/>
        <v>#DIV/0!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t="e">
        <f t="shared" si="265"/>
        <v>#DIV/0!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t="e">
        <f t="shared" si="272"/>
        <v>#DIV/0!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t="e">
        <f t="shared" si="265"/>
        <v>#DIV/0!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t="e">
        <f t="shared" si="272"/>
        <v>#DIV/0!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t="e">
        <f t="shared" si="265"/>
        <v>#DIV/0!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t="e">
        <f t="shared" si="272"/>
        <v>#DIV/0!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t="e">
        <f t="shared" si="265"/>
        <v>#DIV/0!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t="e">
        <f t="shared" si="272"/>
        <v>#DIV/0!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t="e">
        <f t="shared" si="265"/>
        <v>#DIV/0!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t="e">
        <f t="shared" si="272"/>
        <v>#DIV/0!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t="e">
        <f t="shared" si="265"/>
        <v>#DIV/0!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t="e">
        <f t="shared" si="272"/>
        <v>#DIV/0!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t="e">
        <f t="shared" si="265"/>
        <v>#DIV/0!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t="e">
        <f t="shared" si="272"/>
        <v>#DIV/0!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t="e">
        <f t="shared" si="265"/>
        <v>#DIV/0!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t="e">
        <f t="shared" si="272"/>
        <v>#DIV/0!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t="e">
        <f t="shared" si="265"/>
        <v>#DIV/0!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t="e">
        <f t="shared" si="272"/>
        <v>#DIV/0!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t="e">
        <f t="shared" si="265"/>
        <v>#DIV/0!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t="e">
        <f t="shared" si="272"/>
        <v>#DIV/0!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t="e">
        <f t="shared" si="265"/>
        <v>#DIV/0!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t="e">
        <f t="shared" si="272"/>
        <v>#DIV/0!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t="e">
        <f t="shared" si="265"/>
        <v>#DIV/0!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t="e">
        <f t="shared" si="272"/>
        <v>#DIV/0!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t="e">
        <f t="shared" si="265"/>
        <v>#DIV/0!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t="e">
        <f t="shared" si="272"/>
        <v>#DIV/0!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t="e">
        <f t="shared" si="265"/>
        <v>#DIV/0!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t="e">
        <f t="shared" si="272"/>
        <v>#DIV/0!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t="e">
        <f t="shared" si="265"/>
        <v>#DIV/0!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t="e">
        <f t="shared" si="272"/>
        <v>#DIV/0!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t="e">
        <f t="shared" si="265"/>
        <v>#DIV/0!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t="e">
        <f t="shared" si="272"/>
        <v>#DIV/0!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t="e">
        <f t="shared" si="265"/>
        <v>#DIV/0!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t="e">
        <f t="shared" si="272"/>
        <v>#DIV/0!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t="e">
        <f t="shared" si="265"/>
        <v>#DIV/0!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t="e">
        <f t="shared" si="272"/>
        <v>#DIV/0!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t="e">
        <f t="shared" si="265"/>
        <v>#DIV/0!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t="e">
        <f t="shared" si="272"/>
        <v>#DIV/0!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t="e">
        <f t="shared" si="265"/>
        <v>#DIV/0!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t="e">
        <f t="shared" si="272"/>
        <v>#DIV/0!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t="e">
        <f t="shared" si="265"/>
        <v>#DIV/0!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t="e">
        <f t="shared" si="272"/>
        <v>#DIV/0!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t="e">
        <f t="shared" si="265"/>
        <v>#DIV/0!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t="e">
        <f t="shared" si="272"/>
        <v>#DIV/0!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t="e">
        <f t="shared" si="265"/>
        <v>#DIV/0!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t="e">
        <f t="shared" si="272"/>
        <v>#DIV/0!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t="e">
        <f t="shared" si="265"/>
        <v>#DIV/0!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t="e">
        <f t="shared" si="272"/>
        <v>#DIV/0!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t="e">
        <f t="shared" si="265"/>
        <v>#DIV/0!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t="e">
        <f t="shared" si="272"/>
        <v>#DIV/0!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t="e">
        <f t="shared" si="265"/>
        <v>#DIV/0!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t="e">
        <f t="shared" si="272"/>
        <v>#DIV/0!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t="e">
        <f t="shared" si="265"/>
        <v>#DIV/0!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t="e">
        <f t="shared" si="272"/>
        <v>#DIV/0!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t="e">
        <f t="shared" si="265"/>
        <v>#DIV/0!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t="e">
        <f t="shared" si="272"/>
        <v>#DIV/0!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t="e">
        <f t="shared" si="265"/>
        <v>#DIV/0!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t="e">
        <f t="shared" si="272"/>
        <v>#DIV/0!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t="e">
        <f t="shared" si="265"/>
        <v>#DIV/0!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t="e">
        <f t="shared" si="272"/>
        <v>#DIV/0!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t="e">
        <f t="shared" si="265"/>
        <v>#DIV/0!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t="e">
        <f t="shared" si="272"/>
        <v>#DIV/0!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t="e">
        <f t="shared" si="265"/>
        <v>#DIV/0!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t="e">
        <f t="shared" si="272"/>
        <v>#DIV/0!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t="e">
        <f t="shared" si="265"/>
        <v>#DIV/0!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t="e">
        <f t="shared" si="272"/>
        <v>#DIV/0!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t="e">
        <f t="shared" si="265"/>
        <v>#DIV/0!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t="e">
        <f t="shared" si="272"/>
        <v>#DIV/0!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t="e">
        <f t="shared" si="265"/>
        <v>#DIV/0!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t="e">
        <f t="shared" si="272"/>
        <v>#DIV/0!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t="e">
        <f t="shared" si="265"/>
        <v>#DIV/0!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t="e">
        <f t="shared" si="272"/>
        <v>#DIV/0!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t="e">
        <f t="shared" si="265"/>
        <v>#DIV/0!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t="e">
        <f t="shared" si="272"/>
        <v>#DIV/0!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t="e">
        <f t="shared" si="265"/>
        <v>#DIV/0!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t="e">
        <f t="shared" si="272"/>
        <v>#DIV/0!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t="e">
        <f t="shared" si="265"/>
        <v>#DIV/0!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t="e">
        <f t="shared" si="272"/>
        <v>#DIV/0!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t="e">
        <f t="shared" si="265"/>
        <v>#DIV/0!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t="e">
        <f t="shared" si="272"/>
        <v>#DIV/0!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t="e">
        <f t="shared" si="265"/>
        <v>#DIV/0!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t="e">
        <f t="shared" si="272"/>
        <v>#DIV/0!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t="e">
        <f t="shared" si="265"/>
        <v>#DIV/0!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t="e">
        <f t="shared" si="272"/>
        <v>#DIV/0!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t="e">
        <f t="shared" si="265"/>
        <v>#DIV/0!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t="e">
        <f t="shared" si="272"/>
        <v>#DIV/0!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t="e">
        <f t="shared" si="265"/>
        <v>#DIV/0!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t="e">
        <f t="shared" si="272"/>
        <v>#DIV/0!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t="e">
        <f t="shared" si="265"/>
        <v>#DIV/0!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t="e">
        <f t="shared" si="272"/>
        <v>#DIV/0!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t="e">
        <f t="shared" si="265"/>
        <v>#DIV/0!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t="e">
        <f t="shared" si="272"/>
        <v>#DIV/0!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t="e">
        <f t="shared" si="265"/>
        <v>#DIV/0!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t="e">
        <f t="shared" si="272"/>
        <v>#DIV/0!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t="e">
        <f t="shared" si="265"/>
        <v>#DIV/0!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t="e">
        <f t="shared" si="272"/>
        <v>#DIV/0!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t="e">
        <f t="shared" si="265"/>
        <v>#DIV/0!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t="e">
        <f t="shared" si="272"/>
        <v>#DIV/0!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t="e">
        <f t="shared" si="265"/>
        <v>#DIV/0!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t="e">
        <f t="shared" si="272"/>
        <v>#DIV/0!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t="e">
        <f t="shared" si="265"/>
        <v>#DIV/0!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t="e">
        <f t="shared" si="272"/>
        <v>#DIV/0!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t="e">
        <f t="shared" si="265"/>
        <v>#DIV/0!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t="e">
        <f t="shared" si="272"/>
        <v>#DIV/0!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t="e">
        <f t="shared" si="265"/>
        <v>#DIV/0!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t="e">
        <f t="shared" si="272"/>
        <v>#DIV/0!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t="e">
        <f t="shared" si="265"/>
        <v>#DIV/0!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t="e">
        <f t="shared" si="272"/>
        <v>#DIV/0!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t="e">
        <f t="shared" si="265"/>
        <v>#DIV/0!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t="e">
        <f t="shared" si="272"/>
        <v>#DIV/0!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t="e">
        <f t="shared" si="265"/>
        <v>#DIV/0!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t="e">
        <f t="shared" si="272"/>
        <v>#DIV/0!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t="e">
        <f t="shared" si="265"/>
        <v>#DIV/0!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t="e">
        <f t="shared" si="272"/>
        <v>#DIV/0!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t="e">
        <f t="shared" si="265"/>
        <v>#DIV/0!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t="e">
        <f t="shared" si="272"/>
        <v>#DIV/0!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t="e">
        <f t="shared" si="265"/>
        <v>#DIV/0!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t="e">
        <f t="shared" si="272"/>
        <v>#DIV/0!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t="e">
        <f t="shared" si="265"/>
        <v>#DIV/0!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t="e">
        <f t="shared" si="272"/>
        <v>#DIV/0!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t="e">
        <f t="shared" si="265"/>
        <v>#DIV/0!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t="e">
        <f t="shared" si="272"/>
        <v>#DIV/0!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t="e">
        <f t="shared" si="265"/>
        <v>#DIV/0!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t="e">
        <f t="shared" si="272"/>
        <v>#DIV/0!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t="e">
        <f t="shared" si="265"/>
        <v>#DIV/0!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t="e">
        <f t="shared" si="272"/>
        <v>#DIV/0!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t="e">
        <f t="shared" si="265"/>
        <v>#DIV/0!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t="e">
        <f t="shared" si="272"/>
        <v>#DIV/0!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t="e">
        <f t="shared" si="265"/>
        <v>#DIV/0!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t="e">
        <f t="shared" si="272"/>
        <v>#DIV/0!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t="e">
        <f t="shared" si="265"/>
        <v>#DIV/0!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t="e">
        <f t="shared" si="272"/>
        <v>#DIV/0!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t="e">
        <f t="shared" si="265"/>
        <v>#DIV/0!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t="e">
        <f t="shared" si="272"/>
        <v>#DIV/0!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t="e">
        <f t="shared" si="265"/>
        <v>#DIV/0!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t="e">
        <f t="shared" si="272"/>
        <v>#DIV/0!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t="e">
        <f t="shared" si="265"/>
        <v>#DIV/0!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t="e">
        <f t="shared" si="272"/>
        <v>#DIV/0!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t="e">
        <f t="shared" si="265"/>
        <v>#DIV/0!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t="e">
        <f t="shared" si="272"/>
        <v>#DIV/0!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t="e">
        <f t="shared" si="265"/>
        <v>#DIV/0!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t="e">
        <f t="shared" si="272"/>
        <v>#DIV/0!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t="e">
        <f t="shared" si="265"/>
        <v>#DIV/0!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t="e">
        <f t="shared" si="272"/>
        <v>#DIV/0!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t="e">
        <f t="shared" si="265"/>
        <v>#DIV/0!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t="e">
        <f t="shared" si="272"/>
        <v>#DIV/0!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t="e">
        <f t="shared" si="265"/>
        <v>#DIV/0!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t="e">
        <f t="shared" si="272"/>
        <v>#DIV/0!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t="e">
        <f t="shared" si="265"/>
        <v>#DIV/0!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t="e">
        <f t="shared" si="272"/>
        <v>#DIV/0!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t="e">
        <f t="shared" si="265"/>
        <v>#DIV/0!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t="e">
        <f t="shared" si="272"/>
        <v>#DIV/0!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t="e">
        <f t="shared" si="265"/>
        <v>#DIV/0!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t="e">
        <f t="shared" si="272"/>
        <v>#DIV/0!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t="e">
        <f t="shared" si="265"/>
        <v>#DIV/0!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t="e">
        <f t="shared" si="272"/>
        <v>#DIV/0!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t="e">
        <f t="shared" si="265"/>
        <v>#DIV/0!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t="e">
        <f t="shared" si="272"/>
        <v>#DIV/0!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t="e">
        <f t="shared" si="265"/>
        <v>#DIV/0!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t="e">
        <f t="shared" si="272"/>
        <v>#DIV/0!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t="e">
        <f t="shared" si="265"/>
        <v>#DIV/0!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t="e">
        <f t="shared" ref="AY478:AY509" si="297">ROUND($AY$6*AZ478/$AZ$5,2)</f>
        <v>#DIV/0!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t="e">
        <f t="shared" si="265"/>
        <v>#DIV/0!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t="e">
        <f t="shared" si="297"/>
        <v>#DIV/0!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t="e">
        <f t="shared" si="265"/>
        <v>#DIV/0!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t="e">
        <f t="shared" si="297"/>
        <v>#DIV/0!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t="e">
        <f t="shared" ref="E481:E504" si="319">IF($C$3="是",ROUND($A$3*G481/$B$3,2),ROUND($A$3*(G481-AT481)/$B$3,2))</f>
        <v>#DIV/0!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t="e">
        <f t="shared" si="297"/>
        <v>#DIV/0!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t="e">
        <f t="shared" si="319"/>
        <v>#DIV/0!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t="e">
        <f t="shared" si="297"/>
        <v>#DIV/0!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t="e">
        <f t="shared" si="319"/>
        <v>#DIV/0!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t="e">
        <f t="shared" si="297"/>
        <v>#DIV/0!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t="e">
        <f t="shared" si="319"/>
        <v>#DIV/0!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t="e">
        <f t="shared" si="297"/>
        <v>#DIV/0!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t="e">
        <f t="shared" si="319"/>
        <v>#DIV/0!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t="e">
        <f t="shared" si="297"/>
        <v>#DIV/0!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t="e">
        <f t="shared" si="319"/>
        <v>#DIV/0!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t="e">
        <f t="shared" si="297"/>
        <v>#DIV/0!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t="e">
        <f t="shared" si="319"/>
        <v>#DIV/0!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t="e">
        <f t="shared" si="297"/>
        <v>#DIV/0!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t="e">
        <f t="shared" si="319"/>
        <v>#DIV/0!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t="e">
        <f t="shared" si="297"/>
        <v>#DIV/0!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t="e">
        <f t="shared" si="319"/>
        <v>#DIV/0!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t="e">
        <f t="shared" si="297"/>
        <v>#DIV/0!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t="e">
        <f t="shared" si="319"/>
        <v>#DIV/0!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t="e">
        <f t="shared" si="297"/>
        <v>#DIV/0!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t="e">
        <f t="shared" si="319"/>
        <v>#DIV/0!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t="e">
        <f t="shared" si="297"/>
        <v>#DIV/0!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t="e">
        <f t="shared" si="319"/>
        <v>#DIV/0!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t="e">
        <f t="shared" si="297"/>
        <v>#DIV/0!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t="e">
        <f t="shared" si="319"/>
        <v>#DIV/0!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t="e">
        <f t="shared" si="297"/>
        <v>#DIV/0!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t="e">
        <f t="shared" si="319"/>
        <v>#DIV/0!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t="e">
        <f t="shared" si="297"/>
        <v>#DIV/0!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t="e">
        <f t="shared" si="319"/>
        <v>#DIV/0!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t="e">
        <f t="shared" si="297"/>
        <v>#DIV/0!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t="e">
        <f t="shared" si="319"/>
        <v>#DIV/0!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t="e">
        <f t="shared" si="297"/>
        <v>#DIV/0!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t="e">
        <f t="shared" si="319"/>
        <v>#DIV/0!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t="e">
        <f t="shared" si="297"/>
        <v>#DIV/0!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t="e">
        <f t="shared" si="319"/>
        <v>#DIV/0!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t="e">
        <f t="shared" si="297"/>
        <v>#DIV/0!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t="e">
        <f t="shared" si="319"/>
        <v>#DIV/0!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t="e">
        <f t="shared" si="297"/>
        <v>#DIV/0!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t="e">
        <f t="shared" si="319"/>
        <v>#DIV/0!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t="e">
        <f t="shared" si="297"/>
        <v>#DIV/0!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t="e">
        <f t="shared" si="319"/>
        <v>#DIV/0!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t="e">
        <f t="shared" si="297"/>
        <v>#DIV/0!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t="e">
        <f t="shared" si="319"/>
        <v>#DIV/0!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t="e">
        <f t="shared" si="297"/>
        <v>#DIV/0!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t="e">
        <f t="shared" si="319"/>
        <v>#DIV/0!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t="e">
        <f t="shared" si="297"/>
        <v>#DIV/0!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t="e">
        <f t="shared" si="319"/>
        <v>#DIV/0!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t="e">
        <f t="shared" si="297"/>
        <v>#DIV/0!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t="e">
        <f t="shared" ref="E505:E536" si="323">IF($C$3="是",ROUND($A$3*G505/$B$3,2),ROUND($A$3*(G505-AT505)/$B$3,2))</f>
        <v>#DIV/0!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t="e">
        <f t="shared" si="297"/>
        <v>#DIV/0!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t="e">
        <f t="shared" si="323"/>
        <v>#DIV/0!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t="e">
        <f t="shared" si="297"/>
        <v>#DIV/0!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t="e">
        <f t="shared" si="323"/>
        <v>#DIV/0!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t="e">
        <f t="shared" si="297"/>
        <v>#DIV/0!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t="e">
        <f t="shared" si="323"/>
        <v>#DIV/0!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t="e">
        <f t="shared" si="297"/>
        <v>#DIV/0!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t="e">
        <f t="shared" si="323"/>
        <v>#DIV/0!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t="e">
        <f t="shared" si="297"/>
        <v>#DIV/0!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t="e">
        <f t="shared" si="323"/>
        <v>#DIV/0!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t="e">
        <f t="shared" ref="AY510:AY537" si="330">ROUND($AY$6*AZ510/$AZ$5,2)</f>
        <v>#DIV/0!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t="e">
        <f t="shared" si="323"/>
        <v>#DIV/0!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t="e">
        <f t="shared" si="330"/>
        <v>#DIV/0!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t="e">
        <f t="shared" si="323"/>
        <v>#DIV/0!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t="e">
        <f t="shared" si="330"/>
        <v>#DIV/0!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t="e">
        <f t="shared" si="323"/>
        <v>#DIV/0!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t="e">
        <f t="shared" si="330"/>
        <v>#DIV/0!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t="e">
        <f t="shared" si="323"/>
        <v>#DIV/0!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t="e">
        <f t="shared" si="330"/>
        <v>#DIV/0!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t="e">
        <f t="shared" si="323"/>
        <v>#DIV/0!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t="e">
        <f t="shared" si="330"/>
        <v>#DIV/0!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t="e">
        <f t="shared" si="323"/>
        <v>#DIV/0!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t="e">
        <f t="shared" si="330"/>
        <v>#DIV/0!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t="e">
        <f t="shared" si="323"/>
        <v>#DIV/0!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t="e">
        <f t="shared" si="330"/>
        <v>#DIV/0!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t="e">
        <f t="shared" si="323"/>
        <v>#DIV/0!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t="e">
        <f t="shared" si="330"/>
        <v>#DIV/0!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t="e">
        <f t="shared" si="323"/>
        <v>#DIV/0!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t="e">
        <f t="shared" si="330"/>
        <v>#DIV/0!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t="e">
        <f t="shared" si="323"/>
        <v>#DIV/0!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t="e">
        <f t="shared" si="330"/>
        <v>#DIV/0!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t="e">
        <f t="shared" si="323"/>
        <v>#DIV/0!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t="e">
        <f t="shared" si="330"/>
        <v>#DIV/0!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t="e">
        <f t="shared" si="323"/>
        <v>#DIV/0!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t="e">
        <f t="shared" si="330"/>
        <v>#DIV/0!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t="e">
        <f t="shared" si="323"/>
        <v>#DIV/0!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t="e">
        <f t="shared" si="330"/>
        <v>#DIV/0!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t="e">
        <f t="shared" si="323"/>
        <v>#DIV/0!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t="e">
        <f t="shared" si="330"/>
        <v>#DIV/0!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t="e">
        <f t="shared" si="323"/>
        <v>#DIV/0!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t="e">
        <f t="shared" si="330"/>
        <v>#DIV/0!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t="e">
        <f t="shared" si="323"/>
        <v>#DIV/0!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t="e">
        <f t="shared" si="330"/>
        <v>#DIV/0!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t="e">
        <f t="shared" si="323"/>
        <v>#DIV/0!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t="e">
        <f t="shared" si="330"/>
        <v>#DIV/0!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t="e">
        <f t="shared" si="323"/>
        <v>#DIV/0!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t="e">
        <f t="shared" si="330"/>
        <v>#DIV/0!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t="e">
        <f t="shared" si="323"/>
        <v>#DIV/0!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t="e">
        <f t="shared" si="330"/>
        <v>#DIV/0!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t="e">
        <f t="shared" si="323"/>
        <v>#DIV/0!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t="e">
        <f t="shared" si="330"/>
        <v>#DIV/0!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t="e">
        <f t="shared" si="323"/>
        <v>#DIV/0!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t="e">
        <f t="shared" si="330"/>
        <v>#DIV/0!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t="e">
        <f t="shared" si="323"/>
        <v>#DIV/0!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t="e">
        <f t="shared" si="330"/>
        <v>#DIV/0!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t="e">
        <f t="shared" si="323"/>
        <v>#DIV/0!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t="e">
        <f t="shared" si="330"/>
        <v>#DIV/0!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t="e">
        <f t="shared" si="323"/>
        <v>#DIV/0!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t="e">
        <f t="shared" si="330"/>
        <v>#DIV/0!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t="e">
        <f t="shared" si="323"/>
        <v>#DIV/0!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t="e">
        <f t="shared" si="330"/>
        <v>#DIV/0!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t="e">
        <f t="shared" si="323"/>
        <v>#DIV/0!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t="e">
        <f t="shared" si="330"/>
        <v>#DIV/0!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t="e">
        <f t="shared" ref="E537:E572" si="352">IF($C$3="是",ROUND($A$3*G537/$B$3,2),ROUND($A$3*(G537-AT537)/$B$3,2))</f>
        <v>#DIV/0!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t="e">
        <f t="shared" si="330"/>
        <v>#DIV/0!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t="e">
        <f t="shared" si="352"/>
        <v>#DIV/0!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t="e">
        <f t="shared" ref="AY538:AY569" si="359">ROUND($AY$6*AZ538/$AZ$5,2)</f>
        <v>#DIV/0!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t="e">
        <f t="shared" si="352"/>
        <v>#DIV/0!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t="e">
        <f t="shared" si="359"/>
        <v>#DIV/0!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t="e">
        <f t="shared" si="352"/>
        <v>#DIV/0!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t="e">
        <f t="shared" si="359"/>
        <v>#DIV/0!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t="e">
        <f t="shared" si="352"/>
        <v>#DIV/0!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t="e">
        <f t="shared" si="359"/>
        <v>#DIV/0!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t="e">
        <f t="shared" si="352"/>
        <v>#DIV/0!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t="e">
        <f t="shared" si="359"/>
        <v>#DIV/0!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t="e">
        <f t="shared" si="352"/>
        <v>#DIV/0!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t="e">
        <f t="shared" si="359"/>
        <v>#DIV/0!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t="e">
        <f t="shared" si="352"/>
        <v>#DIV/0!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t="e">
        <f t="shared" si="359"/>
        <v>#DIV/0!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t="e">
        <f t="shared" si="352"/>
        <v>#DIV/0!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t="e">
        <f t="shared" si="359"/>
        <v>#DIV/0!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t="e">
        <f t="shared" si="352"/>
        <v>#DIV/0!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t="e">
        <f t="shared" si="359"/>
        <v>#DIV/0!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t="e">
        <f t="shared" si="352"/>
        <v>#DIV/0!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t="e">
        <f t="shared" si="359"/>
        <v>#DIV/0!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t="e">
        <f t="shared" si="352"/>
        <v>#DIV/0!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t="e">
        <f t="shared" si="359"/>
        <v>#DIV/0!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t="e">
        <f t="shared" si="352"/>
        <v>#DIV/0!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t="e">
        <f t="shared" si="359"/>
        <v>#DIV/0!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t="e">
        <f t="shared" si="352"/>
        <v>#DIV/0!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t="e">
        <f t="shared" si="359"/>
        <v>#DIV/0!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t="e">
        <f t="shared" si="352"/>
        <v>#DIV/0!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t="e">
        <f t="shared" si="359"/>
        <v>#DIV/0!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t="e">
        <f t="shared" si="352"/>
        <v>#DIV/0!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t="e">
        <f t="shared" si="359"/>
        <v>#DIV/0!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t="e">
        <f t="shared" si="352"/>
        <v>#DIV/0!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t="e">
        <f t="shared" si="359"/>
        <v>#DIV/0!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t="e">
        <f t="shared" si="352"/>
        <v>#DIV/0!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t="e">
        <f t="shared" si="359"/>
        <v>#DIV/0!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t="e">
        <f t="shared" si="352"/>
        <v>#DIV/0!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t="e">
        <f t="shared" si="359"/>
        <v>#DIV/0!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t="e">
        <f t="shared" si="352"/>
        <v>#DIV/0!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t="e">
        <f t="shared" si="359"/>
        <v>#DIV/0!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t="e">
        <f t="shared" si="352"/>
        <v>#DIV/0!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t="e">
        <f t="shared" si="359"/>
        <v>#DIV/0!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t="e">
        <f t="shared" si="352"/>
        <v>#DIV/0!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t="e">
        <f t="shared" si="359"/>
        <v>#DIV/0!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t="e">
        <f t="shared" si="352"/>
        <v>#DIV/0!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t="e">
        <f t="shared" si="359"/>
        <v>#DIV/0!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t="e">
        <f t="shared" si="352"/>
        <v>#DIV/0!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t="e">
        <f t="shared" si="359"/>
        <v>#DIV/0!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t="e">
        <f t="shared" si="352"/>
        <v>#DIV/0!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t="e">
        <f t="shared" si="359"/>
        <v>#DIV/0!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t="e">
        <f t="shared" si="352"/>
        <v>#DIV/0!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t="e">
        <f t="shared" si="359"/>
        <v>#DIV/0!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t="e">
        <f t="shared" si="352"/>
        <v>#DIV/0!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t="e">
        <f t="shared" si="359"/>
        <v>#DIV/0!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t="e">
        <f t="shared" si="352"/>
        <v>#DIV/0!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t="e">
        <f t="shared" si="359"/>
        <v>#DIV/0!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t="e">
        <f t="shared" si="352"/>
        <v>#DIV/0!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t="e">
        <f t="shared" si="359"/>
        <v>#DIV/0!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t="e">
        <f t="shared" si="352"/>
        <v>#DIV/0!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t="e">
        <f t="shared" si="359"/>
        <v>#DIV/0!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t="e">
        <f t="shared" si="352"/>
        <v>#DIV/0!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t="e">
        <f t="shared" si="359"/>
        <v>#DIV/0!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t="e">
        <f t="shared" si="352"/>
        <v>#DIV/0!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t="e">
        <f t="shared" si="359"/>
        <v>#DIV/0!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t="e">
        <f t="shared" si="352"/>
        <v>#DIV/0!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t="e">
        <f t="shared" si="359"/>
        <v>#DIV/0!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t="e">
        <f t="shared" si="352"/>
        <v>#DIV/0!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t="e">
        <f>ROUND($AY$6*AZ570/$AZ$5,2)</f>
        <v>#DIV/0!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t="e">
        <f t="shared" si="352"/>
        <v>#DIV/0!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t="e">
        <f>ROUND($AY$6*AZ571/$AZ$5,2)</f>
        <v>#DIV/0!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t="e">
        <f t="shared" si="352"/>
        <v>#DIV/0!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t="e">
        <f>ROUND($AY$6*AZ572/$AZ$5,2)</f>
        <v>#DIV/0!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7" sqref="I7"/>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73" t="s">
        <v>169</v>
      </c>
      <c r="B2" s="3773"/>
      <c r="C2" s="3773"/>
      <c r="D2" s="1729" t="s">
        <v>170</v>
      </c>
      <c r="E2" s="102" t="s">
        <v>171</v>
      </c>
      <c r="F2" s="2825"/>
      <c r="G2" s="1096"/>
      <c r="H2" s="1097"/>
      <c r="I2" s="1098" t="s">
        <v>795</v>
      </c>
      <c r="J2" s="2825"/>
      <c r="K2" s="2825"/>
      <c r="L2" s="2825"/>
      <c r="M2" s="2825"/>
      <c r="N2" s="2825"/>
      <c r="O2" s="2825"/>
      <c r="P2" s="2825"/>
    </row>
    <row r="3" spans="1:16" ht="15.75" thickBot="1">
      <c r="A3" s="3774" t="s">
        <v>172</v>
      </c>
      <c r="B3" s="3774"/>
      <c r="C3" s="3774"/>
      <c r="D3" s="103" t="e">
        <f>'数据-基础表'!AY6</f>
        <v>#DIV/0!</v>
      </c>
      <c r="E3" s="103">
        <f>'数据-基础表'!AZ5</f>
        <v>0</v>
      </c>
      <c r="F3" s="2825"/>
      <c r="G3" s="271" t="s">
        <v>796</v>
      </c>
      <c r="H3" s="266" t="s">
        <v>797</v>
      </c>
      <c r="I3" s="1730" t="e">
        <f>ROUND('数据-基础表'!B3/'数据-基础表'!A3,2)</f>
        <v>#DIV/0!</v>
      </c>
      <c r="J3" s="2825"/>
      <c r="K3" s="2825"/>
      <c r="L3" s="2825"/>
      <c r="M3" s="2825"/>
      <c r="N3" s="2825"/>
      <c r="O3" s="2825"/>
      <c r="P3" s="2825"/>
    </row>
    <row r="4" spans="1:16" ht="15">
      <c r="A4" s="3775"/>
      <c r="B4" s="3776"/>
      <c r="C4" s="3777"/>
      <c r="D4" s="104" t="s">
        <v>170</v>
      </c>
      <c r="E4" s="105" t="s">
        <v>171</v>
      </c>
      <c r="F4" s="2825"/>
      <c r="G4" s="1099"/>
      <c r="H4" s="266" t="s">
        <v>798</v>
      </c>
      <c r="I4" s="1730" t="e">
        <f>ROUND(SUMIF('数据-基础表'!I9:AS9,"地上",'数据-基础表'!I5:AS5)/'数据-基础表'!A3,2)</f>
        <v>#DIV/0!</v>
      </c>
      <c r="J4" s="2825"/>
      <c r="K4" s="2825"/>
      <c r="L4" s="2825"/>
      <c r="M4" s="2825"/>
      <c r="N4" s="2825"/>
      <c r="O4" s="2825"/>
      <c r="P4" s="2825"/>
    </row>
    <row r="5" spans="1:16">
      <c r="A5" s="106" t="s">
        <v>173</v>
      </c>
      <c r="B5" s="3778" t="s">
        <v>196</v>
      </c>
      <c r="C5" s="3778"/>
      <c r="D5" s="107" t="e">
        <f>ROUND($D$3*E5/$E$3,2)</f>
        <v>#DIV/0!</v>
      </c>
      <c r="E5" s="108">
        <f>SUMIF('数据-基础表'!$11:$11,"住宅",'数据-基础表'!$5:$5)</f>
        <v>0</v>
      </c>
      <c r="F5" s="2825"/>
      <c r="G5" s="271" t="s">
        <v>799</v>
      </c>
      <c r="H5" s="266" t="s">
        <v>797</v>
      </c>
      <c r="I5" s="1730" t="e">
        <f>ROUND(E31/D31,2)</f>
        <v>#DIV/0!</v>
      </c>
      <c r="J5" s="2825"/>
      <c r="K5" s="2825"/>
      <c r="L5" s="2825"/>
      <c r="M5" s="2825"/>
      <c r="N5" s="2825"/>
      <c r="O5" s="2825"/>
      <c r="P5" s="2825"/>
    </row>
    <row r="6" spans="1:16" ht="15" thickBot="1">
      <c r="A6" s="109"/>
      <c r="B6" s="3778" t="s">
        <v>174</v>
      </c>
      <c r="C6" s="3778"/>
      <c r="D6" s="107" t="e">
        <f>ROUND($D$3*E6/$E$3,2)</f>
        <v>#DIV/0!</v>
      </c>
      <c r="E6" s="108">
        <f>E3-E5</f>
        <v>0</v>
      </c>
      <c r="F6" s="2825"/>
      <c r="G6" s="1099"/>
      <c r="H6" s="266" t="s">
        <v>798</v>
      </c>
      <c r="I6" s="1730" t="e">
        <f>ROUND(F31/D31,2)</f>
        <v>#DIV/0!</v>
      </c>
      <c r="J6" s="2825"/>
      <c r="K6" s="2825"/>
      <c r="L6" s="2825"/>
      <c r="M6" s="2825"/>
      <c r="N6" s="2825"/>
      <c r="O6" s="2825"/>
      <c r="P6" s="2825"/>
    </row>
    <row r="7" spans="1:16" ht="15">
      <c r="A7" s="3770"/>
      <c r="B7" s="3771"/>
      <c r="C7" s="3772"/>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t="e">
        <f t="shared" ref="D8:D15" si="0">ROUND($D$3*E8/$E$3,2)</f>
        <v>#DIV/0!</v>
      </c>
      <c r="E8" s="112">
        <f>SUMIF('数据-基础表'!BB10:BK10,"地上",'数据-基础表'!BB5:BK5)</f>
        <v>0</v>
      </c>
      <c r="F8" s="2825"/>
      <c r="G8" s="2826"/>
      <c r="H8" s="2826"/>
      <c r="I8" s="2825"/>
      <c r="J8" s="2825"/>
      <c r="K8" s="2825"/>
      <c r="L8" s="2825"/>
      <c r="M8" s="2825"/>
      <c r="N8" s="2825"/>
      <c r="O8" s="2825"/>
      <c r="P8" s="2825"/>
    </row>
    <row r="9" spans="1:16">
      <c r="A9" s="113"/>
      <c r="B9" s="114"/>
      <c r="C9" s="107" t="s">
        <v>178</v>
      </c>
      <c r="D9" s="107" t="e">
        <f t="shared" si="0"/>
        <v>#DIV/0!</v>
      </c>
      <c r="E9" s="115">
        <v>0</v>
      </c>
      <c r="F9" s="2825"/>
      <c r="G9" s="2826"/>
      <c r="H9" s="2826"/>
      <c r="I9" s="2825"/>
      <c r="J9" s="2825"/>
      <c r="K9" s="2825"/>
      <c r="L9" s="2825"/>
      <c r="M9" s="2825"/>
      <c r="N9" s="2825"/>
      <c r="O9" s="2825"/>
      <c r="P9" s="2825"/>
    </row>
    <row r="10" spans="1:16">
      <c r="A10" s="113"/>
      <c r="B10" s="114"/>
      <c r="C10" s="107" t="s">
        <v>179</v>
      </c>
      <c r="D10" s="107" t="e">
        <f t="shared" si="0"/>
        <v>#DIV/0!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t="e">
        <f t="shared" si="0"/>
        <v>#DIV/0!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t="e">
        <f t="shared" si="0"/>
        <v>#DIV/0!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t="e">
        <f t="shared" si="0"/>
        <v>#DIV/0!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t="e">
        <f t="shared" si="0"/>
        <v>#DIV/0!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t="e">
        <f t="shared" si="0"/>
        <v>#DIV/0!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t="e">
        <f>SUM(D8:D15)</f>
        <v>#DIV/0!</v>
      </c>
      <c r="E16" s="116">
        <f>SUM(E8:E15)</f>
        <v>0</v>
      </c>
      <c r="F16" s="2825"/>
      <c r="G16" s="2826"/>
      <c r="H16" s="930" t="s">
        <v>185</v>
      </c>
      <c r="I16" s="931"/>
      <c r="J16" s="1738"/>
      <c r="K16" s="3764" t="s">
        <v>1849</v>
      </c>
      <c r="L16" s="3765"/>
      <c r="M16" s="3765"/>
      <c r="N16" s="3765"/>
      <c r="O16" s="3765"/>
      <c r="P16" s="3766"/>
    </row>
    <row r="17" spans="1:19" ht="15">
      <c r="A17" s="117" t="s">
        <v>182</v>
      </c>
      <c r="B17" s="118" t="s">
        <v>183</v>
      </c>
      <c r="C17" s="2016" t="s">
        <v>1670</v>
      </c>
      <c r="D17" s="104" t="s">
        <v>170</v>
      </c>
      <c r="E17" s="120" t="s">
        <v>171</v>
      </c>
      <c r="F17" s="121"/>
      <c r="G17" s="1225"/>
      <c r="H17" s="932" t="s">
        <v>184</v>
      </c>
      <c r="I17" s="933" t="s">
        <v>1669</v>
      </c>
      <c r="J17" s="1738"/>
      <c r="K17" s="3767" t="s">
        <v>1850</v>
      </c>
      <c r="L17" s="3768"/>
      <c r="M17" s="3769"/>
      <c r="N17" s="3767" t="s">
        <v>1851</v>
      </c>
      <c r="O17" s="3768"/>
      <c r="P17" s="3769"/>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c r="D19" s="107" t="e">
        <f t="shared" ref="D19:D26" si="1">ROUND($D$3*E19/$E$3,2)</f>
        <v>#DIV/0!</v>
      </c>
      <c r="E19" s="130">
        <f t="shared" ref="E19:E26" si="2">SUM(F19:G19)</f>
        <v>0</v>
      </c>
      <c r="F19" s="2827"/>
      <c r="G19" s="2828"/>
      <c r="H19" s="936" t="e">
        <f>ROUND($D$3*I19/$E$3,2)</f>
        <v>#DIV/0!</v>
      </c>
      <c r="I19" s="112" t="e">
        <f>IF($I$17="自定义",P19,M19)</f>
        <v>#DIV/0!</v>
      </c>
      <c r="J19" s="1738"/>
      <c r="K19" s="2215" t="e">
        <f t="shared" ref="K19:K26" si="3">ROUND(E$28*E19/E$27,2)</f>
        <v>#DIV/0!</v>
      </c>
      <c r="L19" s="266">
        <f t="shared" ref="L19:L26" si="4">ROUND(IF(COUNTIF(C19,"*住宅*")&gt;0,E$29*E19/E$32,0),2)</f>
        <v>0</v>
      </c>
      <c r="M19" s="2216" t="e">
        <f>K19+L19</f>
        <v>#DIV/0!</v>
      </c>
      <c r="N19" s="2217"/>
      <c r="O19" s="2218"/>
      <c r="P19" s="2219">
        <f>N19+O19</f>
        <v>0</v>
      </c>
      <c r="R19" s="266" t="e">
        <f t="shared" ref="R19:S26" si="5">D19+H19</f>
        <v>#DIV/0!</v>
      </c>
      <c r="S19" s="2019" t="e">
        <f t="shared" si="5"/>
        <v>#DIV/0!</v>
      </c>
    </row>
    <row r="20" spans="1:19">
      <c r="A20" s="133"/>
      <c r="B20" s="111" t="s">
        <v>192</v>
      </c>
      <c r="C20" s="2497"/>
      <c r="D20" s="107" t="e">
        <f t="shared" si="1"/>
        <v>#DIV/0!</v>
      </c>
      <c r="E20" s="130">
        <f t="shared" si="2"/>
        <v>0</v>
      </c>
      <c r="F20" s="2827"/>
      <c r="G20" s="2828"/>
      <c r="H20" s="936" t="e">
        <f t="shared" ref="H20:H26" si="6">ROUND($D$3*I20/$E$3,2)</f>
        <v>#DIV/0!</v>
      </c>
      <c r="I20" s="112" t="e">
        <f t="shared" ref="I20:I26" si="7">IF($I$17="自定义",P20,M20)</f>
        <v>#DIV/0!</v>
      </c>
      <c r="J20" s="1738"/>
      <c r="K20" s="2215" t="e">
        <f t="shared" si="3"/>
        <v>#DIV/0!</v>
      </c>
      <c r="L20" s="266">
        <f t="shared" si="4"/>
        <v>0</v>
      </c>
      <c r="M20" s="2216" t="e">
        <f t="shared" ref="M20:M26" si="8">K20+L20</f>
        <v>#DIV/0!</v>
      </c>
      <c r="N20" s="2217"/>
      <c r="O20" s="2218"/>
      <c r="P20" s="2219">
        <f t="shared" ref="P20:P26" si="9">N20+O20</f>
        <v>0</v>
      </c>
      <c r="R20" s="266" t="e">
        <f t="shared" si="5"/>
        <v>#DIV/0!</v>
      </c>
      <c r="S20" s="2019" t="e">
        <f t="shared" si="5"/>
        <v>#DIV/0!</v>
      </c>
    </row>
    <row r="21" spans="1:19">
      <c r="A21" s="133"/>
      <c r="B21" s="111" t="s">
        <v>192</v>
      </c>
      <c r="C21" s="2497"/>
      <c r="D21" s="107" t="e">
        <f t="shared" si="1"/>
        <v>#DIV/0!</v>
      </c>
      <c r="E21" s="130">
        <f t="shared" si="2"/>
        <v>0</v>
      </c>
      <c r="F21" s="2827"/>
      <c r="G21" s="2828"/>
      <c r="H21" s="936" t="e">
        <f t="shared" si="6"/>
        <v>#DIV/0!</v>
      </c>
      <c r="I21" s="112" t="e">
        <f t="shared" si="7"/>
        <v>#DIV/0!</v>
      </c>
      <c r="J21" s="1738"/>
      <c r="K21" s="2215" t="e">
        <f t="shared" si="3"/>
        <v>#DIV/0!</v>
      </c>
      <c r="L21" s="266">
        <f t="shared" si="4"/>
        <v>0</v>
      </c>
      <c r="M21" s="2216" t="e">
        <f t="shared" si="8"/>
        <v>#DIV/0!</v>
      </c>
      <c r="N21" s="2217"/>
      <c r="O21" s="2218"/>
      <c r="P21" s="2219">
        <f t="shared" si="9"/>
        <v>0</v>
      </c>
      <c r="R21" s="266" t="e">
        <f t="shared" si="5"/>
        <v>#DIV/0!</v>
      </c>
      <c r="S21" s="2019" t="e">
        <f t="shared" si="5"/>
        <v>#DIV/0!</v>
      </c>
    </row>
    <row r="22" spans="1:19">
      <c r="A22" s="133"/>
      <c r="B22" s="111" t="s">
        <v>192</v>
      </c>
      <c r="C22" s="3337"/>
      <c r="D22" s="107" t="e">
        <f t="shared" si="1"/>
        <v>#DIV/0!</v>
      </c>
      <c r="E22" s="130">
        <f t="shared" si="2"/>
        <v>0</v>
      </c>
      <c r="F22" s="2829"/>
      <c r="G22" s="2830"/>
      <c r="H22" s="936" t="e">
        <f t="shared" si="6"/>
        <v>#DIV/0!</v>
      </c>
      <c r="I22" s="112" t="e">
        <f t="shared" si="7"/>
        <v>#DIV/0!</v>
      </c>
      <c r="J22" s="1738"/>
      <c r="K22" s="2215" t="e">
        <f t="shared" si="3"/>
        <v>#DIV/0!</v>
      </c>
      <c r="L22" s="266">
        <f t="shared" si="4"/>
        <v>0</v>
      </c>
      <c r="M22" s="2216" t="e">
        <f t="shared" si="8"/>
        <v>#DIV/0!</v>
      </c>
      <c r="N22" s="2217"/>
      <c r="O22" s="2218"/>
      <c r="P22" s="2219">
        <f t="shared" si="9"/>
        <v>0</v>
      </c>
      <c r="R22" s="266" t="e">
        <f t="shared" si="5"/>
        <v>#DIV/0!</v>
      </c>
      <c r="S22" s="2019" t="e">
        <f t="shared" si="5"/>
        <v>#DIV/0!</v>
      </c>
    </row>
    <row r="23" spans="1:19">
      <c r="A23" s="133"/>
      <c r="B23" s="111" t="s">
        <v>192</v>
      </c>
      <c r="C23" s="3337"/>
      <c r="D23" s="107" t="e">
        <f>ROUND($D$3*E23/$E$3,2)</f>
        <v>#DIV/0!</v>
      </c>
      <c r="E23" s="130">
        <f>SUM(F23:G23)</f>
        <v>0</v>
      </c>
      <c r="F23" s="2829"/>
      <c r="G23" s="2830"/>
      <c r="H23" s="936" t="e">
        <f>ROUND($D$3*I23/$E$3,2)</f>
        <v>#DIV/0!</v>
      </c>
      <c r="I23" s="112" t="e">
        <f t="shared" si="7"/>
        <v>#DIV/0!</v>
      </c>
      <c r="J23" s="1738"/>
      <c r="K23" s="2215" t="e">
        <f t="shared" si="3"/>
        <v>#DIV/0!</v>
      </c>
      <c r="L23" s="266">
        <f t="shared" si="4"/>
        <v>0</v>
      </c>
      <c r="M23" s="2216" t="e">
        <f t="shared" si="8"/>
        <v>#DIV/0!</v>
      </c>
      <c r="N23" s="2217"/>
      <c r="O23" s="2218"/>
      <c r="P23" s="2219">
        <f t="shared" si="9"/>
        <v>0</v>
      </c>
      <c r="R23" s="266" t="e">
        <f t="shared" si="5"/>
        <v>#DIV/0!</v>
      </c>
      <c r="S23" s="2019" t="e">
        <f t="shared" si="5"/>
        <v>#DIV/0!</v>
      </c>
    </row>
    <row r="24" spans="1:19">
      <c r="A24" s="133"/>
      <c r="B24" s="111" t="s">
        <v>192</v>
      </c>
      <c r="C24" s="3337"/>
      <c r="D24" s="107" t="e">
        <f>ROUND($D$3*E24/$E$3,2)</f>
        <v>#DIV/0!</v>
      </c>
      <c r="E24" s="130">
        <f>SUM(F24:G24)</f>
        <v>0</v>
      </c>
      <c r="F24" s="2829"/>
      <c r="G24" s="2830"/>
      <c r="H24" s="936" t="e">
        <f>ROUND($D$3*I24/$E$3,2)</f>
        <v>#DIV/0!</v>
      </c>
      <c r="I24" s="112" t="e">
        <f t="shared" si="7"/>
        <v>#DIV/0!</v>
      </c>
      <c r="J24" s="1738"/>
      <c r="K24" s="2215" t="e">
        <f t="shared" si="3"/>
        <v>#DIV/0!</v>
      </c>
      <c r="L24" s="266">
        <f t="shared" si="4"/>
        <v>0</v>
      </c>
      <c r="M24" s="2216" t="e">
        <f t="shared" si="8"/>
        <v>#DIV/0!</v>
      </c>
      <c r="N24" s="2217"/>
      <c r="O24" s="2218"/>
      <c r="P24" s="2219">
        <f t="shared" si="9"/>
        <v>0</v>
      </c>
      <c r="R24" s="266" t="e">
        <f t="shared" si="5"/>
        <v>#DIV/0!</v>
      </c>
      <c r="S24" s="2019" t="e">
        <f t="shared" si="5"/>
        <v>#DIV/0!</v>
      </c>
    </row>
    <row r="25" spans="1:19">
      <c r="A25" s="133"/>
      <c r="B25" s="111" t="s">
        <v>192</v>
      </c>
      <c r="C25" s="3337"/>
      <c r="D25" s="107" t="e">
        <f t="shared" si="1"/>
        <v>#DIV/0!</v>
      </c>
      <c r="E25" s="130">
        <f t="shared" si="2"/>
        <v>0</v>
      </c>
      <c r="F25" s="2829"/>
      <c r="G25" s="2830"/>
      <c r="H25" s="106" t="e">
        <f t="shared" si="6"/>
        <v>#DIV/0!</v>
      </c>
      <c r="I25" s="112" t="e">
        <f t="shared" si="7"/>
        <v>#DIV/0!</v>
      </c>
      <c r="J25" s="1738"/>
      <c r="K25" s="2215" t="e">
        <f t="shared" si="3"/>
        <v>#DIV/0!</v>
      </c>
      <c r="L25" s="266">
        <f t="shared" si="4"/>
        <v>0</v>
      </c>
      <c r="M25" s="2216" t="e">
        <f t="shared" si="8"/>
        <v>#DIV/0!</v>
      </c>
      <c r="N25" s="2217"/>
      <c r="O25" s="2218"/>
      <c r="P25" s="2219">
        <f t="shared" si="9"/>
        <v>0</v>
      </c>
      <c r="R25" s="266" t="e">
        <f t="shared" si="5"/>
        <v>#DIV/0!</v>
      </c>
      <c r="S25" s="2019" t="e">
        <f t="shared" si="5"/>
        <v>#DIV/0!</v>
      </c>
    </row>
    <row r="26" spans="1:19">
      <c r="A26" s="133"/>
      <c r="B26" s="111" t="s">
        <v>192</v>
      </c>
      <c r="C26" s="135"/>
      <c r="D26" s="107" t="e">
        <f t="shared" si="1"/>
        <v>#DIV/0!</v>
      </c>
      <c r="E26" s="130">
        <f t="shared" si="2"/>
        <v>0</v>
      </c>
      <c r="F26" s="2829"/>
      <c r="G26" s="2830"/>
      <c r="H26" s="106" t="e">
        <f t="shared" si="6"/>
        <v>#DIV/0!</v>
      </c>
      <c r="I26" s="112" t="e">
        <f t="shared" si="7"/>
        <v>#DIV/0!</v>
      </c>
      <c r="J26" s="1738"/>
      <c r="K26" s="2220" t="e">
        <f t="shared" si="3"/>
        <v>#DIV/0!</v>
      </c>
      <c r="L26" s="271">
        <f t="shared" si="4"/>
        <v>0</v>
      </c>
      <c r="M26" s="139" t="e">
        <f t="shared" si="8"/>
        <v>#DIV/0!</v>
      </c>
      <c r="N26" s="2221"/>
      <c r="O26" s="2222"/>
      <c r="P26" s="2223">
        <f t="shared" si="9"/>
        <v>0</v>
      </c>
      <c r="R26" s="266" t="e">
        <f t="shared" si="5"/>
        <v>#DIV/0!</v>
      </c>
      <c r="S26" s="2019" t="e">
        <f t="shared" si="5"/>
        <v>#DIV/0!</v>
      </c>
    </row>
    <row r="27" spans="1:19" ht="15.75" thickBot="1">
      <c r="A27" s="133"/>
      <c r="B27" s="107"/>
      <c r="C27" s="123" t="s">
        <v>181</v>
      </c>
      <c r="D27" s="130" t="e">
        <f>SUM(D19:D26)</f>
        <v>#DIV/0!</v>
      </c>
      <c r="E27" s="136">
        <f>IF(SUM(E19:E26)='数据-基础表'!BA5,SUM(E19:E26),IF(F27="地上面积有误","面积有误","地下面积有误"))</f>
        <v>0</v>
      </c>
      <c r="F27" s="130">
        <f>IF(SUM(F19:F26)=E8,SUM(F19:F26),"地上面积有误")</f>
        <v>0</v>
      </c>
      <c r="G27" s="108">
        <f>SUM(G19:G26)</f>
        <v>0</v>
      </c>
      <c r="H27" s="937" t="e">
        <f>SUM(H19:H26)</f>
        <v>#DIV/0!</v>
      </c>
      <c r="I27" s="938" t="e">
        <f>SUM(I19:I26)</f>
        <v>#DIV/0!</v>
      </c>
      <c r="J27" s="1738"/>
      <c r="K27" s="2224" t="e">
        <f t="shared" ref="K27:P27" si="10">SUM(K19:K26)</f>
        <v>#DIV/0!</v>
      </c>
      <c r="L27" s="2225">
        <f t="shared" si="10"/>
        <v>0</v>
      </c>
      <c r="M27" s="2226" t="e">
        <f t="shared" si="10"/>
        <v>#DIV/0!</v>
      </c>
      <c r="N27" s="2224">
        <f t="shared" si="10"/>
        <v>0</v>
      </c>
      <c r="O27" s="2225">
        <f t="shared" si="10"/>
        <v>0</v>
      </c>
      <c r="P27" s="2227">
        <f t="shared" si="10"/>
        <v>0</v>
      </c>
      <c r="R27" s="2023" t="e">
        <f>IF(SUM(R19:R26)=$D$3,SUM(R19:R26),SUM(R19:R26)&amp;"误差"&amp;ROUND(SUM(R19:R26)-$D$3,2))</f>
        <v>#DIV/0!</v>
      </c>
      <c r="S27" s="266" t="e">
        <f>IF(SUM(S19:S26)=$E$3,SUM(S19:S26),SUM(S19:S26)&amp;"误差"&amp;ROUND(SUM(S19:S26)-E3,2))</f>
        <v>#DIV/0!</v>
      </c>
    </row>
    <row r="28" spans="1:19">
      <c r="A28" s="133"/>
      <c r="B28" s="111" t="s">
        <v>193</v>
      </c>
      <c r="C28" s="131" t="s">
        <v>194</v>
      </c>
      <c r="D28" s="107" t="e">
        <f>ROUND($D$3*E28/$E$3,2)</f>
        <v>#DIV/0!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t="e">
        <f>ROUND($D$3*E29/$E$3,2)</f>
        <v>#DIV/0!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t="e">
        <f>SUM(D28:D29)</f>
        <v>#DIV/0!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t="e">
        <f>D27+D30</f>
        <v>#DIV/0!</v>
      </c>
      <c r="E31" s="1229">
        <f>E27+E30</f>
        <v>0</v>
      </c>
      <c r="F31" s="1230">
        <f>F27+F30</f>
        <v>0</v>
      </c>
      <c r="G31" s="1231">
        <f>G27+G30</f>
        <v>0</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C40" sqref="C40"/>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0</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3242</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f>'数据-汇总表'!C19</f>
        <v>0</v>
      </c>
      <c r="B6" s="2055" t="str">
        <f>IF(A6=0,"","经营性")</f>
        <v/>
      </c>
      <c r="C6" s="166"/>
      <c r="D6" s="2026">
        <f>SUMIF(项目基本情况!C$15:I$15,C6,项目基本情况!C$18:I$18)</f>
        <v>0</v>
      </c>
      <c r="E6" s="2027" t="str">
        <f>IF(B6="","",SUMIF(项目基本情况!C$15:I$15,C6,项目基本情况!C$17:I$17))</f>
        <v/>
      </c>
      <c r="F6" s="167">
        <f>SUMIF(项目基本情况!C$15:I$15,C6,项目基本情况!C$19:I$19)</f>
        <v>0</v>
      </c>
      <c r="G6" s="168">
        <f t="shared" ref="G6:G13" si="0">IF(ISERROR(ROUND(POWER(1+H6,D6-F6)*(POWER(1+H6,F6)-1)/(POWER(1+H6,D6)-1),3)),0,ROUND(POWER(1+H6,D6-F6)*(POWER(1+H6,F6)-1)/(POWER(1+H6,D6)-1),3))</f>
        <v>0</v>
      </c>
      <c r="H6" s="2498"/>
      <c r="I6" s="2498"/>
      <c r="J6" s="169"/>
      <c r="K6" s="172">
        <f>SUMIF('数据-汇总表'!C$19:C$33,'数据-取费表'!A6,'数据-汇总表'!E$19:E$33)</f>
        <v>0</v>
      </c>
      <c r="L6" s="2499"/>
      <c r="M6" s="170">
        <f t="shared" ref="M6:M14" si="1">ROUND(K6*L6/10000,0)</f>
        <v>0</v>
      </c>
      <c r="N6" s="2500"/>
      <c r="O6" s="170">
        <f>IF($N$5="成新度","——",ROUND(M6*N6,0))</f>
        <v>0</v>
      </c>
      <c r="P6" s="171">
        <f>IF($N$5="成新度","——",M6-O6)</f>
        <v>0</v>
      </c>
      <c r="Q6" s="2501"/>
      <c r="R6" s="172">
        <f>SUMIF('数据-汇总表'!C$19:C$33,A6,'数据-汇总表'!R$19:R$33)</f>
        <v>0</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t="e">
        <f>ROUND(SUMPRODUCT(G6:G13,K6:K13)/SUMPRODUCT((G6:G13&gt;0)*(K6:K13)),3)</f>
        <v>#DIV/0!</v>
      </c>
      <c r="H16" s="194" t="e">
        <f>ROUND(SUMPRODUCT(H6:H13,K6:K13)/SUMPRODUCT((H6:H13&gt;0)*(K6:K13)),3)</f>
        <v>#DIV/0!</v>
      </c>
      <c r="I16" s="195"/>
      <c r="J16" s="195"/>
      <c r="K16" s="196">
        <f>SUM(K6:K15)</f>
        <v>0</v>
      </c>
      <c r="L16" s="197" t="e">
        <f>ROUND(M16*10000/SUM(K6:K14),0)</f>
        <v>#DIV/0!</v>
      </c>
      <c r="M16" s="197">
        <f>SUM(M6:M14)</f>
        <v>0</v>
      </c>
      <c r="N16" s="198" t="e">
        <f>ROUND(SUMPRODUCT(M6:M14,N6:N14)/M16,3)</f>
        <v>#DIV/0!</v>
      </c>
      <c r="O16" s="197">
        <f>SUM(O6:O14)</f>
        <v>0</v>
      </c>
      <c r="P16" s="197">
        <f>SUM(P6:P14)</f>
        <v>0</v>
      </c>
      <c r="Q16" s="199" t="e">
        <f>ROUND(SUMPRODUCT(Q6:Q13,K6:K13)/SUMPRODUCT((Q6:Q13&gt;0)*(K6:K13)),2)</f>
        <v>#DIV/0!</v>
      </c>
      <c r="R16" s="2029">
        <f>SUM(R6:R13)</f>
        <v>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t="e">
        <f>ROUND(SUMPRODUCT(AP6:AP13,K6:K13)/SUMPRODUCT((AP6:AP13&gt;0)*(K6:K13)),3)</f>
        <v>#DIV/0!</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c r="C19" s="2847" t="s">
        <v>2272</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0</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c r="C27" s="2848" t="s">
        <v>2273</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c r="C33" s="2850" t="s">
        <v>3268</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c r="C34" s="2850" t="s">
        <v>2265</v>
      </c>
      <c r="D34" s="2851" t="s">
        <v>2270</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c r="C35" s="2850" t="s">
        <v>2266</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c r="C36" s="2850" t="s">
        <v>3311</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c r="C37" s="2850" t="s">
        <v>3269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c r="C38" s="2850" t="s">
        <v>3270</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0</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2287</v>
      </c>
      <c r="B40" s="2129">
        <f ca="1">IF(A40="利息：取LPR",存贷款利率!E2,存贷款利率!E2+C40)</f>
        <v>0</v>
      </c>
      <c r="C40" s="3022"/>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0</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c r="C42" s="2852">
        <f>IF(B2&lt;DATE(2016,5,1),0,B42)</f>
        <v>0</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0</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c r="C44" s="2850" t="s">
        <v>3271</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c r="C45" s="2853" t="s">
        <v>2267</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c r="C46" s="2853" t="s">
        <v>2268</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2274</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c r="C48" s="2853" t="s">
        <v>2267</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c r="C49" s="2853" t="s">
        <v>2269</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0</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c r="C53" s="2843" t="s">
        <v>2167</v>
      </c>
      <c r="D53" s="2854" t="s">
        <v>2271</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79" t="s">
        <v>1198</v>
      </c>
      <c r="B1" s="3780"/>
      <c r="C1" s="3780"/>
      <c r="D1" s="3780"/>
      <c r="E1" s="3780"/>
      <c r="F1" s="3780"/>
      <c r="G1" s="3780"/>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9" customWidth="1"/>
    <col min="2" max="16384" width="14.625" style="2929"/>
  </cols>
  <sheetData>
    <row r="1" spans="1:10" ht="16.5">
      <c r="A1" s="2928" t="s">
        <v>2118</v>
      </c>
      <c r="B1" s="2928">
        <f>SUM(B14:B23)</f>
        <v>0</v>
      </c>
      <c r="C1" s="2937"/>
      <c r="D1" s="2937"/>
      <c r="E1" s="2937"/>
      <c r="F1" s="2937"/>
      <c r="G1" s="2938"/>
      <c r="H1" s="2938"/>
      <c r="I1" s="2938"/>
      <c r="J1" s="2938"/>
    </row>
    <row r="2" spans="1:10" ht="16.5">
      <c r="A2" s="2928" t="s">
        <v>2119</v>
      </c>
      <c r="B2" s="2928">
        <f>SUM(C14:C23)</f>
        <v>0</v>
      </c>
      <c r="C2" s="2937"/>
      <c r="D2" s="2937"/>
      <c r="E2" s="2937"/>
      <c r="F2" s="2937"/>
      <c r="G2" s="2938"/>
      <c r="H2" s="2938"/>
      <c r="I2" s="2938"/>
      <c r="J2" s="2938"/>
    </row>
    <row r="3" spans="1:10" ht="16.5">
      <c r="A3" s="2928" t="s">
        <v>2120</v>
      </c>
      <c r="B3" s="2930">
        <f>项目基本情况!D3</f>
        <v>0</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SUM(D14:D23)</f>
        <v>0</v>
      </c>
      <c r="C5" s="2928" t="e">
        <f>ROUND(B5*10000/$B$1,0)</f>
        <v>#DIV/0!</v>
      </c>
      <c r="D5" s="2928" t="e">
        <f>ROUND(B5*10000/$B$2,0)</f>
        <v>#DIV/0!</v>
      </c>
      <c r="E5" s="2937"/>
      <c r="F5" s="2937"/>
      <c r="G5" s="2938"/>
      <c r="H5" s="2938"/>
      <c r="I5" s="2938"/>
      <c r="J5" s="2938"/>
    </row>
    <row r="6" spans="1:10" ht="16.5">
      <c r="A6" s="2928" t="s">
        <v>2126</v>
      </c>
      <c r="B6" s="2928">
        <f>SUM(G14:G23)</f>
        <v>0</v>
      </c>
      <c r="C6" s="2928" t="e">
        <f>ROUND(B6*10000/$B$1,0)</f>
        <v>#DIV/0!</v>
      </c>
      <c r="D6" s="2928" t="e">
        <f>ROUND(B6*10000/$B$2,0)</f>
        <v>#DIV/0!</v>
      </c>
      <c r="E6" s="2937"/>
      <c r="F6" s="2937"/>
      <c r="G6" s="2938"/>
      <c r="H6" s="2938"/>
      <c r="I6" s="2938"/>
      <c r="J6" s="2938"/>
    </row>
    <row r="7" spans="1:10" ht="16.5">
      <c r="A7" s="2928" t="s">
        <v>2127</v>
      </c>
      <c r="B7" s="2928">
        <f>SUM(H14:H23)</f>
        <v>0</v>
      </c>
      <c r="C7" s="2928" t="e">
        <f>ROUND(B7*10000/$B$1,0)</f>
        <v>#DIV/0!</v>
      </c>
      <c r="D7" s="2928" t="e">
        <f>ROUND(B7*10000/$B$2,0)</f>
        <v>#DIV/0!</v>
      </c>
      <c r="E7" s="2937"/>
      <c r="F7" s="2937"/>
      <c r="G7" s="2938"/>
      <c r="H7" s="2938"/>
      <c r="I7" s="2938"/>
      <c r="J7" s="2938"/>
    </row>
    <row r="8" spans="1:10" ht="16.5">
      <c r="A8" s="2928" t="s">
        <v>2128</v>
      </c>
      <c r="B8" s="2928">
        <f>SUM(I14:I23)</f>
        <v>0</v>
      </c>
      <c r="C8" s="2928" t="e">
        <f>ROUND(B8*10000/$B$1,0)</f>
        <v>#DIV/0!</v>
      </c>
      <c r="D8" s="2928" t="e">
        <f>ROUND(B8*10000/$B$2,0)</f>
        <v>#DIV/0!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c r="C14" s="2934"/>
      <c r="D14" s="2934"/>
      <c r="E14" s="2934" t="e">
        <f>ROUND(D14*10000/B14,0)</f>
        <v>#DIV/0!</v>
      </c>
      <c r="F14" s="2934" t="e">
        <f>ROUND(D14*10000/C14,0)</f>
        <v>#DIV/0!</v>
      </c>
      <c r="G14" s="2934"/>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0" zoomScale="70" zoomScaleNormal="100" zoomScaleSheetLayoutView="70" zoomScalePageLayoutView="80" workbookViewId="0">
      <selection activeCell="D77" sqref="D77"/>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25" t="str">
        <f>项目基本情况!K2</f>
        <v>出让国有建设用地使用权</v>
      </c>
      <c r="B2" s="3826"/>
      <c r="C2" s="3827"/>
      <c r="D2" s="3827"/>
      <c r="E2" s="3827"/>
      <c r="F2" s="3827"/>
      <c r="G2" s="3826"/>
      <c r="H2" s="3826"/>
      <c r="I2" s="3828"/>
      <c r="J2" s="1753"/>
      <c r="K2" s="1752"/>
      <c r="L2" s="1752"/>
      <c r="M2" s="1752"/>
      <c r="N2" s="1752"/>
      <c r="O2" s="1752"/>
      <c r="P2" s="1752"/>
      <c r="Q2" s="1752"/>
      <c r="R2" s="1752"/>
      <c r="S2" s="1752"/>
      <c r="T2" s="1752"/>
      <c r="U2" s="1752"/>
      <c r="V2" s="1752"/>
    </row>
    <row r="3" spans="1:22" ht="14.25">
      <c r="A3" s="3818" t="s">
        <v>264</v>
      </c>
      <c r="B3" s="3819"/>
      <c r="C3" s="3819"/>
      <c r="D3" s="3819"/>
      <c r="E3" s="3819"/>
      <c r="F3" s="3819"/>
      <c r="G3" s="3819"/>
      <c r="H3" s="3819"/>
      <c r="I3" s="3819"/>
      <c r="J3" s="1753"/>
      <c r="K3" s="1752"/>
      <c r="L3" s="1752"/>
      <c r="M3" s="1752"/>
      <c r="N3" s="1752"/>
      <c r="O3" s="1752"/>
      <c r="P3" s="1752"/>
      <c r="Q3" s="1752"/>
      <c r="R3" s="1752"/>
      <c r="S3" s="1752"/>
      <c r="T3" s="1752"/>
      <c r="U3" s="1752"/>
      <c r="V3" s="1752"/>
    </row>
    <row r="4" spans="1:22" ht="14.25">
      <c r="A4" s="249" t="s">
        <v>265</v>
      </c>
      <c r="B4" s="250" t="s">
        <v>266</v>
      </c>
      <c r="C4" s="251"/>
      <c r="D4" s="251"/>
      <c r="E4" s="3784" t="s">
        <v>267</v>
      </c>
      <c r="F4" s="3785"/>
      <c r="G4" s="3785"/>
      <c r="H4" s="3785"/>
      <c r="I4" s="3820"/>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4.25">
      <c r="A5" s="3783" t="s">
        <v>268</v>
      </c>
      <c r="B5" s="3812">
        <v>25</v>
      </c>
      <c r="C5" s="3810"/>
      <c r="D5" s="3814"/>
      <c r="E5" s="252" t="s">
        <v>269</v>
      </c>
      <c r="F5" s="253"/>
      <c r="G5" s="253"/>
      <c r="H5" s="253"/>
      <c r="I5" s="254"/>
      <c r="J5" s="1753"/>
      <c r="K5" s="1752"/>
      <c r="L5" s="1752"/>
      <c r="M5" s="1752"/>
      <c r="N5" s="1752"/>
      <c r="O5" s="1752"/>
      <c r="P5" s="1752"/>
      <c r="Q5" s="1752"/>
      <c r="R5" s="1752"/>
      <c r="S5" s="1752"/>
      <c r="T5" s="1752"/>
      <c r="U5" s="1752"/>
      <c r="V5" s="1752"/>
    </row>
    <row r="6" spans="1:22" ht="14.25">
      <c r="A6" s="3783"/>
      <c r="B6" s="3812"/>
      <c r="C6" s="3813"/>
      <c r="D6" s="3814"/>
      <c r="E6" s="252" t="s">
        <v>270</v>
      </c>
      <c r="F6" s="253"/>
      <c r="G6" s="253"/>
      <c r="H6" s="253"/>
      <c r="I6" s="254"/>
      <c r="J6" s="1753"/>
      <c r="K6" s="1752"/>
      <c r="L6" s="1752"/>
      <c r="M6" s="1752"/>
      <c r="N6" s="1752"/>
      <c r="O6" s="1752"/>
      <c r="P6" s="1752"/>
      <c r="Q6" s="1752"/>
      <c r="R6" s="1752"/>
      <c r="S6" s="1752"/>
      <c r="T6" s="1752"/>
      <c r="U6" s="1752"/>
      <c r="V6" s="1752"/>
    </row>
    <row r="7" spans="1:22" ht="14.25">
      <c r="A7" s="3783"/>
      <c r="B7" s="3812"/>
      <c r="C7" s="3811"/>
      <c r="D7" s="3814"/>
      <c r="E7" s="252" t="s">
        <v>271</v>
      </c>
      <c r="F7" s="253"/>
      <c r="G7" s="253"/>
      <c r="H7" s="253"/>
      <c r="I7" s="254"/>
      <c r="J7" s="1753"/>
      <c r="K7" s="1752"/>
      <c r="L7" s="1752"/>
      <c r="M7" s="1752"/>
      <c r="N7" s="1752"/>
      <c r="O7" s="1752"/>
      <c r="P7" s="1752"/>
      <c r="Q7" s="1752"/>
      <c r="R7" s="1752"/>
      <c r="S7" s="1752"/>
      <c r="T7" s="1752"/>
      <c r="U7" s="1752"/>
      <c r="V7" s="1752"/>
    </row>
    <row r="8" spans="1:22" ht="14.25">
      <c r="A8" s="3783" t="s">
        <v>272</v>
      </c>
      <c r="B8" s="3812">
        <v>15</v>
      </c>
      <c r="C8" s="3810"/>
      <c r="D8" s="3814"/>
      <c r="E8" s="252" t="s">
        <v>273</v>
      </c>
      <c r="F8" s="253"/>
      <c r="G8" s="253"/>
      <c r="H8" s="253"/>
      <c r="I8" s="254"/>
      <c r="J8" s="1753"/>
      <c r="K8" s="1752"/>
      <c r="L8" s="1752"/>
      <c r="M8" s="1752"/>
      <c r="N8" s="1752"/>
      <c r="O8" s="1752"/>
      <c r="P8" s="1752"/>
      <c r="Q8" s="1752"/>
      <c r="R8" s="1752"/>
      <c r="S8" s="1752"/>
      <c r="T8" s="1752"/>
      <c r="U8" s="1752"/>
      <c r="V8" s="1752"/>
    </row>
    <row r="9" spans="1:22" ht="14.25">
      <c r="A9" s="3783"/>
      <c r="B9" s="3812"/>
      <c r="C9" s="3811"/>
      <c r="D9" s="3814"/>
      <c r="E9" s="252" t="s">
        <v>274</v>
      </c>
      <c r="F9" s="253"/>
      <c r="G9" s="253"/>
      <c r="H9" s="253"/>
      <c r="I9" s="254"/>
      <c r="J9" s="1753"/>
      <c r="K9" s="1752"/>
      <c r="L9" s="1752"/>
      <c r="M9" s="1752"/>
      <c r="N9" s="1752"/>
      <c r="O9" s="1752"/>
      <c r="P9" s="1752"/>
      <c r="Q9" s="1752"/>
      <c r="R9" s="1752"/>
      <c r="S9" s="1752"/>
      <c r="T9" s="1752"/>
      <c r="U9" s="1752"/>
      <c r="V9" s="1752"/>
    </row>
    <row r="10" spans="1:22" ht="14.25">
      <c r="A10" s="3783" t="s">
        <v>275</v>
      </c>
      <c r="B10" s="3812">
        <v>15</v>
      </c>
      <c r="C10" s="3810"/>
      <c r="D10" s="3814"/>
      <c r="E10" s="252" t="s">
        <v>276</v>
      </c>
      <c r="F10" s="253"/>
      <c r="G10" s="253"/>
      <c r="H10" s="253"/>
      <c r="I10" s="254"/>
      <c r="J10" s="1753"/>
      <c r="K10" s="1752"/>
      <c r="L10" s="1752"/>
      <c r="M10" s="1752"/>
      <c r="N10" s="1752"/>
      <c r="O10" s="1752"/>
      <c r="P10" s="1752"/>
      <c r="Q10" s="1752"/>
      <c r="R10" s="1752"/>
      <c r="S10" s="1752"/>
      <c r="T10" s="1752"/>
      <c r="U10" s="1752"/>
      <c r="V10" s="1752"/>
    </row>
    <row r="11" spans="1:22" ht="14.25">
      <c r="A11" s="3783"/>
      <c r="B11" s="3812"/>
      <c r="C11" s="3811"/>
      <c r="D11" s="3814"/>
      <c r="E11" s="252" t="s">
        <v>277</v>
      </c>
      <c r="F11" s="253"/>
      <c r="G11" s="253"/>
      <c r="H11" s="253"/>
      <c r="I11" s="254"/>
      <c r="J11" s="1753"/>
      <c r="K11" s="1752"/>
      <c r="L11" s="1752"/>
      <c r="M11" s="1752"/>
      <c r="N11" s="1752"/>
      <c r="O11" s="1752"/>
      <c r="P11" s="1752"/>
      <c r="Q11" s="1752"/>
      <c r="R11" s="1752"/>
      <c r="S11" s="1752"/>
      <c r="T11" s="1752"/>
      <c r="U11" s="1752"/>
      <c r="V11" s="1752"/>
    </row>
    <row r="12" spans="1:22" ht="14.25">
      <c r="A12" s="3783" t="s">
        <v>278</v>
      </c>
      <c r="B12" s="3812">
        <v>15</v>
      </c>
      <c r="C12" s="3810"/>
      <c r="D12" s="3814"/>
      <c r="E12" s="252" t="s">
        <v>279</v>
      </c>
      <c r="F12" s="253"/>
      <c r="G12" s="253"/>
      <c r="H12" s="253"/>
      <c r="I12" s="254"/>
      <c r="J12" s="1753"/>
      <c r="K12" s="1752"/>
      <c r="L12" s="1752"/>
      <c r="M12" s="1752"/>
      <c r="N12" s="1752"/>
      <c r="O12" s="1752"/>
      <c r="P12" s="1752"/>
      <c r="Q12" s="1752"/>
      <c r="R12" s="1752"/>
      <c r="S12" s="1752"/>
      <c r="T12" s="1752"/>
      <c r="U12" s="1752"/>
      <c r="V12" s="1752"/>
    </row>
    <row r="13" spans="1:22" ht="14.25">
      <c r="A13" s="3783"/>
      <c r="B13" s="3812"/>
      <c r="C13" s="3811"/>
      <c r="D13" s="3814"/>
      <c r="E13" s="252" t="s">
        <v>280</v>
      </c>
      <c r="F13" s="253"/>
      <c r="G13" s="253"/>
      <c r="H13" s="253"/>
      <c r="I13" s="254"/>
      <c r="J13" s="1753"/>
      <c r="K13" s="1752"/>
      <c r="L13" s="1752"/>
      <c r="M13" s="1752"/>
      <c r="N13" s="1752"/>
      <c r="O13" s="1752"/>
      <c r="P13" s="1752"/>
      <c r="Q13" s="1752"/>
      <c r="R13" s="1752"/>
      <c r="S13" s="1752"/>
      <c r="T13" s="1752"/>
      <c r="U13" s="1752"/>
      <c r="V13" s="1752"/>
    </row>
    <row r="14" spans="1:22" ht="14.25">
      <c r="A14" s="3783" t="s">
        <v>281</v>
      </c>
      <c r="B14" s="3812">
        <v>30</v>
      </c>
      <c r="C14" s="3810"/>
      <c r="D14" s="3814"/>
      <c r="E14" s="252" t="s">
        <v>282</v>
      </c>
      <c r="F14" s="253"/>
      <c r="G14" s="253"/>
      <c r="H14" s="253"/>
      <c r="I14" s="254"/>
      <c r="J14" s="1753"/>
      <c r="K14" s="1752"/>
      <c r="L14" s="1752"/>
      <c r="M14" s="1752"/>
      <c r="N14" s="1752"/>
      <c r="O14" s="1752"/>
      <c r="P14" s="1752"/>
      <c r="Q14" s="1752"/>
      <c r="R14" s="1752"/>
      <c r="S14" s="1752"/>
      <c r="T14" s="1752"/>
      <c r="U14" s="1752"/>
      <c r="V14" s="1752"/>
    </row>
    <row r="15" spans="1:22" ht="14.25">
      <c r="A15" s="3783"/>
      <c r="B15" s="3812"/>
      <c r="C15" s="3813"/>
      <c r="D15" s="3814"/>
      <c r="E15" s="252" t="s">
        <v>283</v>
      </c>
      <c r="F15" s="253"/>
      <c r="G15" s="253"/>
      <c r="H15" s="253"/>
      <c r="I15" s="254"/>
      <c r="J15" s="1753"/>
      <c r="K15" s="1752"/>
      <c r="L15" s="1752"/>
      <c r="M15" s="1752"/>
      <c r="N15" s="1752"/>
      <c r="O15" s="1752"/>
      <c r="P15" s="1752"/>
      <c r="Q15" s="1752"/>
      <c r="R15" s="1752"/>
      <c r="S15" s="1752"/>
      <c r="T15" s="1752"/>
      <c r="U15" s="1752"/>
      <c r="V15" s="1752"/>
    </row>
    <row r="16" spans="1:22" ht="14.25">
      <c r="A16" s="3783"/>
      <c r="B16" s="3812"/>
      <c r="C16" s="3811"/>
      <c r="D16" s="3814"/>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0</v>
      </c>
      <c r="D17" s="256">
        <f>SUM(D5:D16)</f>
        <v>0</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t="e">
        <f>ROUND(C17/SUM(C17:D17),2)</f>
        <v>#DIV/0!</v>
      </c>
      <c r="D18" s="258" t="e">
        <f>1-C18</f>
        <v>#DIV/0!</v>
      </c>
      <c r="E18" s="3815" t="s">
        <v>2254</v>
      </c>
      <c r="F18" s="3816"/>
      <c r="G18" s="3816"/>
      <c r="H18" s="3816"/>
      <c r="I18" s="3816"/>
      <c r="J18" s="1752"/>
      <c r="K18" s="1752"/>
      <c r="L18" s="1752"/>
      <c r="M18" s="1752"/>
      <c r="N18" s="1752"/>
      <c r="O18" s="1752"/>
      <c r="P18" s="1752"/>
      <c r="Q18" s="1752"/>
      <c r="R18" s="1752"/>
      <c r="S18" s="1752"/>
      <c r="T18" s="1752"/>
      <c r="U18" s="1752"/>
      <c r="V18" s="1752"/>
    </row>
    <row r="19" spans="1:26" ht="15">
      <c r="A19" s="259" t="s">
        <v>287</v>
      </c>
      <c r="B19" s="260" t="s">
        <v>288</v>
      </c>
      <c r="C19" s="261" t="e">
        <f ca="1">SUMIF(INDIRECT("'"&amp;C4&amp;"'"&amp;"!A:A"),结果表!B19,INDIRECT("'"&amp;C4&amp;"'"&amp;"!B:B"))</f>
        <v>#REF!</v>
      </c>
      <c r="D19" s="262" t="e">
        <f ca="1">SUMIF(INDIRECT("'"&amp;D4&amp;"'"&amp;"!A:A"),结果表!B19,INDIRECT("'"&amp;D4&amp;"'"&amp;"!B:B"))</f>
        <v>#REF!</v>
      </c>
      <c r="E19" s="259" t="s">
        <v>289</v>
      </c>
      <c r="F19" s="260" t="s">
        <v>288</v>
      </c>
      <c r="G19" s="263" t="e">
        <f ca="1">ROUND(C19*$C$18+D19*$D$18,0)</f>
        <v>#REF!</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t="e">
        <f ca="1">SUMIF(INDIRECT("'"&amp;C4&amp;"'"&amp;"!A:A"),结果表!B20,INDIRECT("'"&amp;C4&amp;"'"&amp;"!B:B"))</f>
        <v>#REF!</v>
      </c>
      <c r="D20" s="268" t="e">
        <f ca="1">SUMIF(INDIRECT("'"&amp;D4&amp;"'"&amp;"!A:A"),结果表!B20,INDIRECT("'"&amp;D4&amp;"'"&amp;"!B:B"))</f>
        <v>#REF!</v>
      </c>
      <c r="E20" s="265"/>
      <c r="F20" s="266" t="s">
        <v>291</v>
      </c>
      <c r="G20" s="269" t="e">
        <f ca="1">ROUND(C20*$C$18+D20*$D$18,0)</f>
        <v>#REF!</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t="e">
        <f ca="1">SUMIF(INDIRECT("'"&amp;C4&amp;"'"&amp;"!A:A"),结果表!B21,INDIRECT("'"&amp;C4&amp;"'"&amp;"!B:B"))</f>
        <v>#REF!</v>
      </c>
      <c r="D21" s="144" t="e">
        <f ca="1">SUMIF(INDIRECT("'"&amp;D4&amp;"'"&amp;"!A:A"),结果表!B21,INDIRECT("'"&amp;D4&amp;"'"&amp;"!B:B"))</f>
        <v>#REF!</v>
      </c>
      <c r="E21" s="265"/>
      <c r="F21" s="271" t="s">
        <v>293</v>
      </c>
      <c r="G21" s="273" t="e">
        <f ca="1">ROUND(C21*$C$18+D21*$D$18,0)</f>
        <v>#REF!</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t="e">
        <f ca="1">IF(C19&lt;D19,D19/C19-1,C19/D19-1)</f>
        <v>#REF!</v>
      </c>
      <c r="E22" s="275"/>
      <c r="F22" s="276"/>
      <c r="G22" s="277" t="e">
        <f ca="1">ROUND(G19/('数据-汇总表'!D3/666.67),0)</f>
        <v>#REF!</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89"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790"/>
      <c r="B25" s="1190" t="s">
        <v>297</v>
      </c>
      <c r="C25" s="281">
        <f>IF(B30=0,0,C30)</f>
        <v>0</v>
      </c>
      <c r="D25" s="282"/>
      <c r="E25" s="302"/>
      <c r="F25" s="302"/>
      <c r="G25" s="302"/>
      <c r="H25" s="302"/>
      <c r="I25" s="302"/>
      <c r="J25" s="1752"/>
      <c r="K25" s="1124" t="e">
        <f ca="1">项目基本情况!A17&amp;"国有建设用地使用权价格："&amp;O38&amp;"万元"</f>
        <v>#REF!</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e">
        <f ca="1">"大写金额：人民币"&amp;NUMBERSTRING(INT(O38*10000),2)&amp;"元整"</f>
        <v>#REF!</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e">
        <f ca="1">"单位面积地价："&amp;M38&amp;"元/平方米"</f>
        <v>#REF!</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e">
        <f ca="1">"楼面地价："&amp;N38&amp;"元/平方米"</f>
        <v>#REF!</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17" t="s">
        <v>2256</v>
      </c>
      <c r="B31" s="3817"/>
      <c r="C31" s="3817"/>
      <c r="D31" s="3817"/>
      <c r="E31" s="3817"/>
      <c r="F31" s="3817"/>
      <c r="G31" s="3817"/>
      <c r="H31" s="3817"/>
      <c r="I31" s="3817"/>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7" t="s">
        <v>1221</v>
      </c>
      <c r="C32" s="257" t="e">
        <f ca="1">G19-C24</f>
        <v>#REF!</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t="e">
        <f ca="1">ROUND(C32*10000/'数据-汇总表'!E3,0)</f>
        <v>#REF!</v>
      </c>
      <c r="D33" s="1240" t="s">
        <v>1224</v>
      </c>
      <c r="E33" s="3789"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t="e">
        <f ca="1">ROUND(C32*10000/'数据-汇总表'!D3,0)</f>
        <v>#REF!</v>
      </c>
      <c r="D34" s="1242" t="s">
        <v>1224</v>
      </c>
      <c r="E34" s="3833"/>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t="e">
        <f ca="1">ROUND(C32/('数据-汇总表'!D3/666.67),0)</f>
        <v>#REF!</v>
      </c>
      <c r="D35" s="1245" t="s">
        <v>1226</v>
      </c>
      <c r="E35" s="3834"/>
      <c r="F35" s="292" t="s">
        <v>308</v>
      </c>
      <c r="G35" s="944"/>
      <c r="H35" s="943" t="s">
        <v>309</v>
      </c>
      <c r="I35" s="302"/>
      <c r="J35" s="1752"/>
      <c r="K35" s="3807" t="s">
        <v>316</v>
      </c>
      <c r="L35" s="3807" t="s">
        <v>317</v>
      </c>
      <c r="M35" s="1133" t="s">
        <v>318</v>
      </c>
      <c r="N35" s="3807" t="s">
        <v>319</v>
      </c>
      <c r="O35" s="3807" t="s">
        <v>320</v>
      </c>
      <c r="P35" s="1752"/>
      <c r="V35" s="1752"/>
    </row>
    <row r="36" spans="1:26" ht="16.5" customHeight="1">
      <c r="A36" s="294" t="s">
        <v>310</v>
      </c>
      <c r="B36" s="295" t="s">
        <v>299</v>
      </c>
      <c r="C36" s="296" t="s">
        <v>311</v>
      </c>
      <c r="D36" s="296" t="s">
        <v>312</v>
      </c>
      <c r="E36" s="297" t="s">
        <v>313</v>
      </c>
      <c r="F36" s="302"/>
      <c r="G36" s="302"/>
      <c r="H36" s="302"/>
      <c r="I36" s="302"/>
      <c r="J36" s="1754"/>
      <c r="K36" s="3808"/>
      <c r="L36" s="3808"/>
      <c r="M36" s="1135" t="s">
        <v>321</v>
      </c>
      <c r="N36" s="3808"/>
      <c r="O36" s="3808"/>
      <c r="P36" s="1752"/>
      <c r="V36" s="1752"/>
    </row>
    <row r="37" spans="1:26" ht="16.5" customHeight="1" thickBot="1">
      <c r="A37" s="1129" t="s">
        <v>314</v>
      </c>
      <c r="B37" s="298"/>
      <c r="C37" s="285"/>
      <c r="D37" s="285"/>
      <c r="E37" s="286"/>
      <c r="F37" s="302"/>
      <c r="G37" s="302"/>
      <c r="H37" s="302"/>
      <c r="I37" s="302"/>
      <c r="J37" s="1754"/>
      <c r="K37" s="3809"/>
      <c r="L37" s="3809"/>
      <c r="M37" s="1136"/>
      <c r="N37" s="3809"/>
      <c r="O37" s="3809"/>
      <c r="P37" s="1752"/>
      <c r="V37" s="1752"/>
    </row>
    <row r="38" spans="1:26" ht="16.5" customHeight="1" thickBot="1">
      <c r="A38" s="1129" t="s">
        <v>315</v>
      </c>
      <c r="B38" s="298"/>
      <c r="C38" s="285"/>
      <c r="D38" s="285"/>
      <c r="E38" s="286"/>
      <c r="F38" s="302"/>
      <c r="G38" s="302"/>
      <c r="H38" s="302"/>
      <c r="I38" s="302"/>
      <c r="J38" s="1754"/>
      <c r="K38" s="1137" t="e">
        <f>'数据-汇总表'!D3</f>
        <v>#DIV/0!</v>
      </c>
      <c r="L38" s="1138">
        <f>'数据-汇总表'!E3</f>
        <v>0</v>
      </c>
      <c r="M38" s="1138" t="e">
        <f ca="1">C34</f>
        <v>#REF!</v>
      </c>
      <c r="N38" s="1138" t="e">
        <f ca="1">C33</f>
        <v>#REF!</v>
      </c>
      <c r="O38" s="1139" t="e">
        <f ca="1">C32</f>
        <v>#REF!</v>
      </c>
      <c r="P38" s="1752"/>
      <c r="V38" s="1752"/>
    </row>
    <row r="39" spans="1:26" ht="16.5" customHeight="1" thickBot="1">
      <c r="A39" s="1134"/>
      <c r="B39" s="299"/>
      <c r="C39" s="300"/>
      <c r="D39" s="300"/>
      <c r="E39" s="301"/>
      <c r="F39" s="302"/>
      <c r="G39" s="302"/>
      <c r="H39" s="302"/>
      <c r="I39" s="302"/>
      <c r="J39" s="1754"/>
      <c r="K39" s="3847" t="str">
        <f>MID(A44,3,LEN(A44)-2)</f>
        <v/>
      </c>
      <c r="L39" s="3848"/>
      <c r="M39" s="3848"/>
      <c r="N39" s="3849"/>
      <c r="O39" s="1247" t="str">
        <f>C44</f>
        <v>——</v>
      </c>
      <c r="P39" s="1752"/>
      <c r="V39" s="1752"/>
    </row>
    <row r="40" spans="1:26" ht="19.5" thickBot="1">
      <c r="A40" s="100" t="s">
        <v>810</v>
      </c>
      <c r="B40" s="302"/>
      <c r="C40" s="302"/>
      <c r="D40" s="302"/>
      <c r="E40" s="302"/>
      <c r="F40" s="302"/>
      <c r="G40" s="302"/>
      <c r="H40" s="302"/>
      <c r="I40" s="302"/>
      <c r="J40" s="1754"/>
      <c r="K40" s="3847" t="str">
        <f>MID(A45,3,LEN(A45)-2)</f>
        <v/>
      </c>
      <c r="L40" s="3848"/>
      <c r="M40" s="3848"/>
      <c r="N40" s="3849"/>
      <c r="O40" s="1247" t="str">
        <f>C45</f>
        <v>——</v>
      </c>
      <c r="P40" s="1752"/>
      <c r="V40" s="1752"/>
    </row>
    <row r="41" spans="1:26" ht="16.5" thickBot="1">
      <c r="A41" s="303" t="s">
        <v>322</v>
      </c>
      <c r="B41" s="304"/>
      <c r="C41" s="305" t="s">
        <v>323</v>
      </c>
      <c r="D41" s="306" t="s">
        <v>324</v>
      </c>
      <c r="E41" s="306" t="s">
        <v>325</v>
      </c>
      <c r="F41" s="307" t="s">
        <v>326</v>
      </c>
      <c r="G41" s="302"/>
      <c r="H41" s="302"/>
      <c r="I41" s="302"/>
      <c r="J41" s="1754"/>
      <c r="K41" s="3847" t="str">
        <f>MID(A46,3,LEN(A46)-2)</f>
        <v/>
      </c>
      <c r="L41" s="3848"/>
      <c r="M41" s="3848"/>
      <c r="N41" s="3849"/>
      <c r="O41" s="1247" t="str">
        <f>C46</f>
        <v>——</v>
      </c>
      <c r="P41" s="1752"/>
      <c r="V41" s="1752"/>
    </row>
    <row r="42" spans="1:26" ht="29.25">
      <c r="A42" s="3791" t="s">
        <v>1585</v>
      </c>
      <c r="B42" s="3792"/>
      <c r="C42" s="255" t="e">
        <f ca="1">C32</f>
        <v>#REF!</v>
      </c>
      <c r="D42" s="308" t="e">
        <f ca="1">C33</f>
        <v>#REF!</v>
      </c>
      <c r="E42" s="308" t="e">
        <f ca="1">C34</f>
        <v>#REF!</v>
      </c>
      <c r="F42" s="309" t="e">
        <f ca="1">C35</f>
        <v>#REF!</v>
      </c>
      <c r="G42" s="302"/>
      <c r="H42" s="302"/>
      <c r="I42" s="310"/>
      <c r="J42" s="1754"/>
      <c r="K42" s="1140" t="s">
        <v>327</v>
      </c>
      <c r="L42" s="1771" t="s">
        <v>328</v>
      </c>
      <c r="M42" s="1141" t="s">
        <v>329</v>
      </c>
      <c r="N42" s="1772" t="s">
        <v>330</v>
      </c>
      <c r="O42" s="1773" t="s">
        <v>331</v>
      </c>
      <c r="P42" s="1752"/>
      <c r="V42" s="1752"/>
    </row>
    <row r="43" spans="1:26" ht="18">
      <c r="A43" s="3802" t="s">
        <v>2012</v>
      </c>
      <c r="B43" s="3803"/>
      <c r="C43" s="255">
        <f>IF(H33="正常操作",G33+G34+G35,G34+G35)</f>
        <v>0</v>
      </c>
      <c r="D43" s="308" t="s">
        <v>17</v>
      </c>
      <c r="E43" s="308" t="s">
        <v>18</v>
      </c>
      <c r="F43" s="309" t="s">
        <v>18</v>
      </c>
      <c r="G43" s="2346" t="s">
        <v>877</v>
      </c>
      <c r="H43" s="302"/>
      <c r="I43" s="310"/>
      <c r="J43" s="1754"/>
      <c r="K43" s="1142">
        <f>C4</f>
        <v>0</v>
      </c>
      <c r="L43" s="1143" t="e">
        <f ca="1">IF(L42="估价结果/万元",C19,C20)</f>
        <v>#REF!</v>
      </c>
      <c r="M43" s="1144" t="e">
        <f>C18</f>
        <v>#DIV/0!</v>
      </c>
      <c r="N43" s="1145" t="e">
        <f ca="1">IF(N42="测算结果/万元",G19,G20)</f>
        <v>#REF!</v>
      </c>
      <c r="O43" s="1146" t="e">
        <f ca="1">IF(O42="最终结果/万元",C32,C33)</f>
        <v>#REF!</v>
      </c>
      <c r="P43" s="1752"/>
      <c r="V43" s="1752"/>
    </row>
    <row r="44" spans="1:26" ht="18.75" thickBot="1">
      <c r="A44" s="3791" t="str">
        <f>IF(OR(项目基本情况!E8="抵押价格",项目基本情况!E8="已注销及未注销"),"3.抵押价格","——")</f>
        <v>——</v>
      </c>
      <c r="B44" s="3792"/>
      <c r="C44" s="255" t="str">
        <f>IF(A44="——","——",C42-C43)</f>
        <v>——</v>
      </c>
      <c r="D44" s="308" t="e">
        <f>ROUND(C44*10000/'数据-汇总表'!E3,0)</f>
        <v>#VALUE!</v>
      </c>
      <c r="E44" s="308" t="e">
        <f>ROUND(C44*10000/'数据-汇总表'!D3,0)</f>
        <v>#VALUE!</v>
      </c>
      <c r="F44" s="309" t="e">
        <f>ROUND(C44/('数据-汇总表'!D3/666.67),0)</f>
        <v>#VALUE!</v>
      </c>
      <c r="G44" s="302"/>
      <c r="H44" s="302"/>
      <c r="I44" s="310"/>
      <c r="J44" s="1754"/>
      <c r="K44" s="1147">
        <f>D4</f>
        <v>0</v>
      </c>
      <c r="L44" s="1148" t="e">
        <f ca="1">IF(L42="估价结果/万元",D19,D20)</f>
        <v>#REF!</v>
      </c>
      <c r="M44" s="1149" t="e">
        <f>D18</f>
        <v>#DIV/0!</v>
      </c>
      <c r="N44" s="1150"/>
      <c r="O44" s="1151"/>
      <c r="P44" s="1752"/>
      <c r="V44" s="1752"/>
    </row>
    <row r="45" spans="1:26" ht="15">
      <c r="A45" s="3797" t="str">
        <f>IF(项目基本情况!E8="已注销及未注销","4.抵押担保权已注销时的抵押价格",IF(项目基本情况!E8="已注销","3.抵押担保权已注销时的抵押价格","——"))</f>
        <v>——</v>
      </c>
      <c r="B45" s="3798"/>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793" t="str">
        <f>IF(项目基本情况!E9="抵押净值",IF(A45="——","4.抵押净值","5.抵押净值"),"——")</f>
        <v>——</v>
      </c>
      <c r="B46" s="3794"/>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41" t="s">
        <v>340</v>
      </c>
      <c r="B63" s="3842"/>
      <c r="C63" s="3843"/>
      <c r="D63" s="332" t="e">
        <f ca="1">ROUND(C42*F63,0)</f>
        <v>#REF!</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799" t="s">
        <v>344</v>
      </c>
      <c r="B64" s="3800"/>
      <c r="C64" s="3800"/>
      <c r="D64" s="3800"/>
      <c r="E64" s="3800"/>
      <c r="F64" s="3800"/>
      <c r="G64" s="3801"/>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795" t="s">
        <v>352</v>
      </c>
      <c r="B66" s="3796"/>
      <c r="C66" s="3796"/>
      <c r="D66" s="252" t="b">
        <f>IF(H66="情况1",0,IF(H66="情况2",D70,IF(H66="情况3",D71,IF(H66="情况4",D72))))</f>
        <v>0</v>
      </c>
      <c r="E66" s="955" t="str">
        <f>IF(H66="情况4","(销售额-原购置价)×税（费）率","销售额×税（费）率")</f>
        <v>销售额×税（费）率</v>
      </c>
      <c r="F66" s="341">
        <f>IF(H66="情况1","免征",'数据-取费表'!B41)</f>
        <v>0</v>
      </c>
      <c r="G66" s="342" t="s">
        <v>353</v>
      </c>
      <c r="H66" s="184"/>
      <c r="I66" s="1157"/>
      <c r="J66" s="1758"/>
      <c r="K66" s="1160">
        <v>1</v>
      </c>
      <c r="L66" s="3856" t="s">
        <v>351</v>
      </c>
      <c r="M66" s="3857"/>
      <c r="N66" s="2110"/>
      <c r="O66" s="2111"/>
      <c r="P66" s="2112"/>
      <c r="Q66" s="1752"/>
      <c r="R66" s="1752"/>
      <c r="S66" s="1752"/>
      <c r="T66" s="1752"/>
      <c r="U66" s="1752"/>
      <c r="V66" s="1752"/>
    </row>
    <row r="67" spans="1:22" ht="25.5" customHeight="1">
      <c r="A67" s="343" t="s">
        <v>355</v>
      </c>
      <c r="B67" s="3786" t="s">
        <v>356</v>
      </c>
      <c r="C67" s="3786"/>
      <c r="D67" s="344">
        <v>0</v>
      </c>
      <c r="E67" s="39" t="s">
        <v>357</v>
      </c>
      <c r="F67" s="60" t="s">
        <v>15</v>
      </c>
      <c r="G67" s="3844"/>
      <c r="H67" s="2749" t="s">
        <v>2257</v>
      </c>
      <c r="I67" s="2751"/>
      <c r="J67" s="1759"/>
      <c r="K67" s="1731">
        <v>2</v>
      </c>
      <c r="L67" s="3850" t="s">
        <v>354</v>
      </c>
      <c r="M67" s="3850"/>
      <c r="N67" s="1194">
        <f>'数据-取费表'!B2</f>
        <v>0</v>
      </c>
      <c r="O67" s="1194"/>
      <c r="P67" s="1194"/>
      <c r="Q67" s="1752"/>
      <c r="R67" s="1752"/>
      <c r="S67" s="1752"/>
      <c r="T67" s="1752"/>
      <c r="U67" s="1752"/>
      <c r="V67" s="1752"/>
    </row>
    <row r="68" spans="1:22" ht="25.5" customHeight="1">
      <c r="A68" s="345"/>
      <c r="B68" s="3786" t="s">
        <v>359</v>
      </c>
      <c r="C68" s="3786"/>
      <c r="D68" s="346"/>
      <c r="E68" s="75"/>
      <c r="F68" s="347"/>
      <c r="G68" s="3845"/>
      <c r="H68" s="2750" t="s">
        <v>2258</v>
      </c>
      <c r="I68" s="2751"/>
      <c r="J68" s="1759"/>
      <c r="K68" s="1731">
        <v>3</v>
      </c>
      <c r="L68" s="3850" t="s">
        <v>358</v>
      </c>
      <c r="M68" s="3850"/>
      <c r="N68" s="1162" t="e">
        <f ca="1">C42</f>
        <v>#REF!</v>
      </c>
      <c r="O68" s="1162"/>
      <c r="P68" s="1162"/>
      <c r="Q68" s="1752"/>
      <c r="R68" s="1752"/>
      <c r="S68" s="1752"/>
      <c r="T68" s="1752"/>
      <c r="U68" s="1752"/>
      <c r="V68" s="1752"/>
    </row>
    <row r="69" spans="1:22" ht="23.45" customHeight="1">
      <c r="A69" s="348"/>
      <c r="B69" s="3786" t="s">
        <v>360</v>
      </c>
      <c r="C69" s="3786"/>
      <c r="D69" s="349"/>
      <c r="E69" s="71"/>
      <c r="F69" s="347"/>
      <c r="G69" s="3846"/>
      <c r="H69" s="2750" t="s">
        <v>2259</v>
      </c>
      <c r="I69" s="2751"/>
      <c r="J69" s="1759"/>
      <c r="K69" s="1163">
        <v>4</v>
      </c>
      <c r="L69" s="3860" t="s">
        <v>2157</v>
      </c>
      <c r="M69" s="3861"/>
      <c r="N69" s="1164" t="str">
        <f>C44</f>
        <v>——</v>
      </c>
      <c r="O69" s="1164"/>
      <c r="P69" s="1164"/>
      <c r="Q69" s="1752"/>
      <c r="R69" s="1752"/>
      <c r="S69" s="1752"/>
      <c r="T69" s="1752"/>
      <c r="U69" s="1752"/>
      <c r="V69" s="1752"/>
    </row>
    <row r="70" spans="1:22" ht="24" customHeight="1">
      <c r="A70" s="350" t="s">
        <v>361</v>
      </c>
      <c r="B70" s="3786" t="s">
        <v>362</v>
      </c>
      <c r="C70" s="3786"/>
      <c r="D70" s="349" t="e">
        <f ca="1">ROUND(D63*'数据-取费表'!B41/(1+'数据-取费表'!C42),0)</f>
        <v>#REF!</v>
      </c>
      <c r="E70" s="15" t="s">
        <v>363</v>
      </c>
      <c r="F70" s="351">
        <f>'数据-取费表'!B41</f>
        <v>0</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787" t="s">
        <v>2282</v>
      </c>
      <c r="C71" s="3788"/>
      <c r="D71" s="349" t="e">
        <f ca="1">ROUND(D63*'数据-取费表'!B41/(1+'数据-取费表'!C42),0)</f>
        <v>#REF!</v>
      </c>
      <c r="E71" s="15" t="s">
        <v>363</v>
      </c>
      <c r="F71" s="351">
        <f>'数据-取费表'!B41</f>
        <v>0</v>
      </c>
      <c r="G71" s="352"/>
      <c r="H71" s="302"/>
      <c r="I71" s="1161"/>
      <c r="J71" s="1759"/>
      <c r="K71" s="2521" t="s">
        <v>364</v>
      </c>
      <c r="L71" s="3862" t="s">
        <v>365</v>
      </c>
      <c r="M71" s="3862"/>
      <c r="N71" s="2521" t="s">
        <v>366</v>
      </c>
      <c r="O71" s="2521" t="s">
        <v>367</v>
      </c>
      <c r="P71" s="2521" t="s">
        <v>368</v>
      </c>
      <c r="Q71" s="1752"/>
      <c r="R71" s="1752"/>
      <c r="S71" s="1752"/>
      <c r="T71" s="1752"/>
      <c r="U71" s="1752"/>
      <c r="V71" s="1752"/>
    </row>
    <row r="72" spans="1:22" ht="12" customHeight="1">
      <c r="A72" s="350" t="s">
        <v>371</v>
      </c>
      <c r="B72" s="3787" t="s">
        <v>2283</v>
      </c>
      <c r="C72" s="3788"/>
      <c r="D72" s="349" t="e">
        <f ca="1">C86</f>
        <v>#REF!</v>
      </c>
      <c r="E72" s="71" t="s">
        <v>372</v>
      </c>
      <c r="F72" s="351">
        <f>'数据-取费表'!B41</f>
        <v>0</v>
      </c>
      <c r="G72" s="352"/>
      <c r="H72" s="1167"/>
      <c r="I72" s="1161"/>
      <c r="J72" s="1759"/>
      <c r="K72" s="1731">
        <v>1</v>
      </c>
      <c r="L72" s="3837" t="s">
        <v>370</v>
      </c>
      <c r="M72" s="3837"/>
      <c r="N72" s="1165" t="b">
        <f>D66</f>
        <v>0</v>
      </c>
      <c r="O72" s="1636" t="str">
        <f>E66</f>
        <v>销售额×税（费）率</v>
      </c>
      <c r="P72" s="1166">
        <f>F66</f>
        <v>0</v>
      </c>
      <c r="Q72" s="1752"/>
      <c r="R72" s="1752"/>
      <c r="S72" s="1752"/>
      <c r="T72" s="1752"/>
      <c r="U72" s="1752"/>
      <c r="V72" s="1752"/>
    </row>
    <row r="73" spans="1:22" ht="24" customHeight="1">
      <c r="A73" s="3832" t="s">
        <v>374</v>
      </c>
      <c r="B73" s="3796"/>
      <c r="C73" s="3796"/>
      <c r="D73" s="353" t="e">
        <f ca="1">IF(H73="个人住宅",0,ROUND(D63*I73,0))</f>
        <v>#REF!</v>
      </c>
      <c r="E73" s="15" t="s">
        <v>375</v>
      </c>
      <c r="F73" s="351" t="str">
        <f>IF(H73="正常",I73,"免征")</f>
        <v>免征</v>
      </c>
      <c r="G73" s="352"/>
      <c r="H73" s="184"/>
      <c r="I73" s="351">
        <f>'数据-取费表'!B49</f>
        <v>0</v>
      </c>
      <c r="J73" s="1759"/>
      <c r="K73" s="1731">
        <v>2</v>
      </c>
      <c r="L73" s="3837" t="s">
        <v>373</v>
      </c>
      <c r="M73" s="3837"/>
      <c r="N73" s="1165" t="e">
        <f t="shared" ref="N73:P74" ca="1" si="0">D73</f>
        <v>#REF!</v>
      </c>
      <c r="O73" s="1636" t="str">
        <f t="shared" si="0"/>
        <v>销售额×税（费）率</v>
      </c>
      <c r="P73" s="1166" t="str">
        <f t="shared" si="0"/>
        <v>免征</v>
      </c>
      <c r="Q73" s="1752"/>
      <c r="R73" s="1752"/>
      <c r="S73" s="1752"/>
      <c r="T73" s="1752"/>
      <c r="U73" s="1752"/>
      <c r="V73" s="1752"/>
    </row>
    <row r="74" spans="1:22" ht="24.75">
      <c r="A74" s="3832" t="s">
        <v>377</v>
      </c>
      <c r="B74" s="3796"/>
      <c r="C74" s="3796"/>
      <c r="D74" s="353" t="e">
        <f ca="1">IF(H74="个人住宅",D75,D76)</f>
        <v>#REF!</v>
      </c>
      <c r="E74" s="15" t="s">
        <v>378</v>
      </c>
      <c r="F74" s="351" t="str">
        <f>IF(H74="正常",F76,"免征")</f>
        <v>免征</v>
      </c>
      <c r="G74" s="945" t="s">
        <v>379</v>
      </c>
      <c r="H74" s="354"/>
      <c r="I74" s="40"/>
      <c r="J74" s="1759"/>
      <c r="K74" s="1731">
        <v>3</v>
      </c>
      <c r="L74" s="3837" t="s">
        <v>376</v>
      </c>
      <c r="M74" s="3837"/>
      <c r="N74" s="1165" t="e">
        <f t="shared" ca="1" si="0"/>
        <v>#REF!</v>
      </c>
      <c r="O74" s="1636" t="str">
        <f t="shared" si="0"/>
        <v>增值额×税（费）率</v>
      </c>
      <c r="P74" s="1168" t="str">
        <f t="shared" si="0"/>
        <v>免征</v>
      </c>
      <c r="Q74" s="1752"/>
      <c r="R74" s="1752"/>
      <c r="S74" s="1752"/>
      <c r="T74" s="1752"/>
      <c r="U74" s="1752"/>
      <c r="V74" s="1752"/>
    </row>
    <row r="75" spans="1:22" ht="12.75">
      <c r="A75" s="350" t="s">
        <v>380</v>
      </c>
      <c r="B75" s="3784" t="s">
        <v>381</v>
      </c>
      <c r="C75" s="3820"/>
      <c r="D75" s="355">
        <v>0</v>
      </c>
      <c r="E75" s="39" t="s">
        <v>382</v>
      </c>
      <c r="F75" s="356"/>
      <c r="G75" s="352"/>
      <c r="H75" s="40"/>
      <c r="I75" s="40"/>
      <c r="J75" s="1759"/>
      <c r="K75" s="2515">
        <f>IF(H77="非个人房产","",4)</f>
        <v>4</v>
      </c>
      <c r="L75" s="3837" t="str">
        <f>IF(H77="非个人房产","——","个人所得税")</f>
        <v>个人所得税</v>
      </c>
      <c r="M75" s="3837"/>
      <c r="N75" s="1169">
        <f>D77</f>
        <v>0</v>
      </c>
      <c r="O75" s="1637" t="str">
        <f>E77</f>
        <v>差额计税</v>
      </c>
      <c r="P75" s="1170">
        <f>F77</f>
        <v>0.01</v>
      </c>
      <c r="Q75" s="1752"/>
      <c r="R75" s="1752"/>
      <c r="S75" s="1752"/>
      <c r="T75" s="1752"/>
      <c r="U75" s="1752"/>
      <c r="V75" s="1752"/>
    </row>
    <row r="76" spans="1:22" ht="24.75">
      <c r="A76" s="350" t="s">
        <v>361</v>
      </c>
      <c r="B76" s="3784" t="s">
        <v>384</v>
      </c>
      <c r="C76" s="3785"/>
      <c r="D76" s="353" t="e">
        <f ca="1">IF(H76="转让取得",C99,C115)</f>
        <v>#REF!</v>
      </c>
      <c r="E76" s="15" t="s">
        <v>385</v>
      </c>
      <c r="F76" s="51" t="s">
        <v>15</v>
      </c>
      <c r="G76" s="352"/>
      <c r="H76" s="354"/>
      <c r="I76" s="40"/>
      <c r="J76" s="1759"/>
      <c r="K76" s="2515" t="str">
        <f>IF(项目基本情况!K6="上海银行",IF(K75="",4,K75+1),"")</f>
        <v/>
      </c>
      <c r="L76" s="3852" t="str">
        <f>IF(项目基本情况!K6="上海银行","其他处置费用","")</f>
        <v/>
      </c>
      <c r="M76" s="3853"/>
      <c r="N76" s="1165" t="str">
        <f>IF(项目基本情况!K6="上海银行",N89,"")</f>
        <v/>
      </c>
      <c r="O76" s="3854" t="str">
        <f>IF(项目基本情况!K6="上海银行","包含处置中涉及的律师、诉讼、拍卖、评估等费用","")</f>
        <v/>
      </c>
      <c r="P76" s="3855"/>
      <c r="Q76" s="1752"/>
      <c r="R76" s="1752"/>
      <c r="S76" s="1752"/>
      <c r="T76" s="1752"/>
      <c r="U76" s="1752"/>
      <c r="V76" s="1752"/>
    </row>
    <row r="77" spans="1:22" ht="24.75" thickBot="1">
      <c r="A77" s="3839" t="s">
        <v>387</v>
      </c>
      <c r="B77" s="3840"/>
      <c r="C77" s="3840"/>
      <c r="D77" s="2754">
        <f>IF(H77="非个人房产","——",IF(H77="个人住宅（满五唯一有凭证）",0,IF(H77="个人其他（无凭证）",ROUND(D63(1+'数据-取费表'!C42)*F77,0),ROUND(C84*F77,0))))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38">
        <f>IF(AND(K75="",K76=""),4,IF(项目基本情况!K6="上海银行",K76+1,K75+1))</f>
        <v>5</v>
      </c>
      <c r="L77" s="3837" t="s">
        <v>2158</v>
      </c>
      <c r="M77" s="2520" t="s">
        <v>383</v>
      </c>
      <c r="N77" s="1171"/>
      <c r="O77" s="1172">
        <f ca="1">SUMIF(N72:N76,"&lt;9e307")</f>
        <v>0</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38"/>
      <c r="L78" s="3837"/>
      <c r="M78" s="2520" t="s">
        <v>386</v>
      </c>
      <c r="N78" s="1171"/>
      <c r="O78" s="1172" t="str">
        <f ca="1">NUMBERSTRING(INT(O77*10000),2)&amp;"元整"</f>
        <v>零元整</v>
      </c>
      <c r="P78" s="1173"/>
      <c r="Q78" s="1752"/>
      <c r="R78" s="1752"/>
      <c r="S78" s="1752"/>
      <c r="T78" s="1752"/>
      <c r="U78" s="1752"/>
      <c r="V78" s="1752"/>
    </row>
    <row r="79" spans="1:22" ht="13.5" thickBot="1">
      <c r="A79" s="3804" t="s">
        <v>388</v>
      </c>
      <c r="B79" s="3804"/>
      <c r="C79" s="3804"/>
      <c r="D79" s="3804"/>
      <c r="E79" s="3804"/>
      <c r="F79" s="40"/>
      <c r="G79" s="40"/>
      <c r="H79" s="965"/>
      <c r="I79" s="302"/>
      <c r="J79" s="1759"/>
      <c r="K79" s="3858">
        <f>K77+1</f>
        <v>6</v>
      </c>
      <c r="L79" s="3837" t="s">
        <v>2159</v>
      </c>
      <c r="M79" s="2520" t="s">
        <v>383</v>
      </c>
      <c r="N79" s="1171"/>
      <c r="O79" s="1172" t="e">
        <f ca="1">N69-O77</f>
        <v>#VALUE!</v>
      </c>
      <c r="P79" s="1173"/>
      <c r="Q79" s="1752"/>
      <c r="R79" s="1752"/>
      <c r="S79" s="1752"/>
      <c r="T79" s="1752"/>
      <c r="U79" s="1752"/>
      <c r="V79" s="1752"/>
    </row>
    <row r="80" spans="1:22" ht="12.75">
      <c r="A80" s="3805" t="s">
        <v>389</v>
      </c>
      <c r="B80" s="3806"/>
      <c r="C80" s="956"/>
      <c r="D80" s="956" t="s">
        <v>390</v>
      </c>
      <c r="E80" s="357" t="s">
        <v>391</v>
      </c>
      <c r="F80" s="40"/>
      <c r="G80" s="40"/>
      <c r="H80" s="965"/>
      <c r="I80" s="302"/>
      <c r="J80" s="1752"/>
      <c r="K80" s="3859"/>
      <c r="L80" s="3837"/>
      <c r="M80" s="2520" t="s">
        <v>386</v>
      </c>
      <c r="N80" s="1171"/>
      <c r="O80" s="1172" t="e">
        <f ca="1">NUMBERSTRING(INT(O79*10000),2)&amp;"元整"</f>
        <v>#VALUE!</v>
      </c>
      <c r="P80" s="1173"/>
      <c r="Q80" s="1752"/>
      <c r="R80" s="1752"/>
      <c r="S80" s="1752"/>
      <c r="T80" s="1752"/>
      <c r="U80" s="1752"/>
      <c r="V80" s="1752"/>
    </row>
    <row r="81" spans="1:26" ht="13.5" thickBot="1">
      <c r="A81" s="368" t="s">
        <v>1352</v>
      </c>
      <c r="B81" s="358" t="s">
        <v>392</v>
      </c>
      <c r="C81" s="359" t="e">
        <f ca="1">ROUND((C82+C83)/(1+'数据-取费表'!C42),0)</f>
        <v>#REF!</v>
      </c>
      <c r="D81" s="360"/>
      <c r="E81" s="361"/>
      <c r="F81" s="40"/>
      <c r="G81" s="40"/>
      <c r="H81" s="965"/>
      <c r="I81" s="302"/>
      <c r="J81" s="1752"/>
      <c r="K81" s="2515">
        <f>K79+1</f>
        <v>7</v>
      </c>
      <c r="L81" s="3835" t="s">
        <v>2160</v>
      </c>
      <c r="M81" s="3836"/>
      <c r="N81" s="1175"/>
      <c r="O81" s="1176" t="e">
        <f ca="1">ROUND(O79*10000/'数据-汇总表'!E3,0)</f>
        <v>#VALUE!</v>
      </c>
      <c r="P81" s="1177"/>
      <c r="Q81" s="1752"/>
      <c r="R81" s="1752"/>
      <c r="S81" s="1752"/>
      <c r="T81" s="1752"/>
      <c r="U81" s="1752"/>
      <c r="V81" s="1752"/>
    </row>
    <row r="82" spans="1:26" ht="13.5" thickTop="1">
      <c r="A82" s="362" t="s">
        <v>1353</v>
      </c>
      <c r="B82" s="363" t="s">
        <v>393</v>
      </c>
      <c r="C82" s="364" t="e">
        <f ca="1">D63</f>
        <v>#REF!</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51"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851"/>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t="e">
        <f ca="1">C81-C84</f>
        <v>#REF!</v>
      </c>
      <c r="D85" s="365" t="s">
        <v>13</v>
      </c>
      <c r="E85" s="366"/>
      <c r="F85" s="40"/>
      <c r="G85" s="40"/>
      <c r="H85" s="965"/>
      <c r="I85" s="302"/>
      <c r="J85" s="1752"/>
      <c r="K85" s="3851"/>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t="e">
        <f ca="1">IF(C85&lt;=0,0,ROUND(C85*D86,0))</f>
        <v>#REF!</v>
      </c>
      <c r="D86" s="376">
        <f>'数据-取费表'!B41</f>
        <v>0</v>
      </c>
      <c r="E86" s="377"/>
      <c r="F86" s="40"/>
      <c r="G86" s="40"/>
      <c r="H86" s="965"/>
      <c r="I86" s="302"/>
      <c r="J86" s="1752"/>
      <c r="K86" s="3851"/>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51"/>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5" thickBot="1">
      <c r="A88" s="3830" t="s">
        <v>398</v>
      </c>
      <c r="B88" s="3831"/>
      <c r="C88" s="3831"/>
      <c r="D88" s="3831"/>
      <c r="E88" s="3831"/>
      <c r="F88" s="3831"/>
      <c r="G88" s="3831"/>
      <c r="H88" s="3831"/>
      <c r="I88" s="1184"/>
      <c r="J88" s="1760"/>
      <c r="K88" s="3851"/>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4.25">
      <c r="A89" s="3805" t="s">
        <v>389</v>
      </c>
      <c r="B89" s="3806"/>
      <c r="C89" s="956"/>
      <c r="D89" s="956" t="s">
        <v>390</v>
      </c>
      <c r="E89" s="378" t="s">
        <v>399</v>
      </c>
      <c r="F89" s="379"/>
      <c r="G89" s="379"/>
      <c r="H89" s="380"/>
      <c r="I89" s="1185"/>
      <c r="J89" s="1762"/>
      <c r="K89" s="3851"/>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4.25">
      <c r="A90" s="368" t="s">
        <v>1352</v>
      </c>
      <c r="B90" s="369" t="s">
        <v>400</v>
      </c>
      <c r="C90" s="372" t="e">
        <f ca="1">ROUND(D63/(1+'数据-取费表'!C42),0)</f>
        <v>#REF!</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t="e">
        <f ca="1">C92+C96</f>
        <v>#REF!</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787" t="s">
        <v>407</v>
      </c>
      <c r="F94" s="3786"/>
      <c r="G94" s="3786"/>
      <c r="H94" s="3829"/>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0</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t="e">
        <f ca="1">ROUND(D63*D96/(1+'数据-取费表'!C42),0)</f>
        <v>#REF!</v>
      </c>
      <c r="D96" s="393">
        <f>'数据-取费表'!B43</f>
        <v>0</v>
      </c>
      <c r="E96" s="3821" t="s">
        <v>1780</v>
      </c>
      <c r="F96" s="3822"/>
      <c r="G96" s="3822"/>
      <c r="H96" s="3823"/>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t="e">
        <f ca="1">C90-C91</f>
        <v>#REF!</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t="e">
        <f ca="1">IF(C97&lt;=0,0,C97/C91)</f>
        <v>#REF!</v>
      </c>
      <c r="D98" s="365" t="s">
        <v>13</v>
      </c>
      <c r="E98" s="24" t="e">
        <f ca="1">IF(C98&gt;=200%,"增值额超过扣除项目金额200%",IF(C98&gt;=100%,"增值额超过扣除项目金额100%，未超过200%",IF(C98&gt;=50%,"增值额超过扣除项目金额50%，未超过100%",IF(C98&lt;50%,"增值额未超过扣除项目金额50%"))))</f>
        <v>#REF!</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t="e">
        <f ca="1">ROUND(IF(C97&lt;=0,0,IF(C98&gt;=200%,C97*60%-C91*35%,IF(C98&gt;=100%,C97*50%-C91*15%,IF(C98&gt;=50%,C97*40%-C91*5%,IF(C98&lt;50%,C97*30%,0))))),0)</f>
        <v>#REF!</v>
      </c>
      <c r="D99" s="396" t="s">
        <v>13</v>
      </c>
      <c r="E99" s="3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30" t="s">
        <v>414</v>
      </c>
      <c r="B101" s="3831"/>
      <c r="C101" s="3831"/>
      <c r="D101" s="3831"/>
      <c r="E101" s="3831"/>
      <c r="F101" s="3831"/>
      <c r="G101" s="3831"/>
      <c r="H101" s="3831"/>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805" t="s">
        <v>389</v>
      </c>
      <c r="B102" s="3806"/>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t="e">
        <f ca="1">ROUND(D63/(1+'数据-取费表'!C42),0)</f>
        <v>#REF!</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t="e">
        <f ca="1">IF(H106="仅含出让金",C105+C108+C109+C110+C111+C112,C105+C109+C110+C111+C112)</f>
        <v>#REF!</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2276</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0</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781" t="s">
        <v>2252</v>
      </c>
      <c r="H108" s="3782"/>
      <c r="I108" s="2612"/>
      <c r="J108" s="1757"/>
      <c r="K108" s="2986" t="s">
        <v>2277</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24" t="s">
        <v>422</v>
      </c>
      <c r="F109" s="3822"/>
      <c r="G109" s="3822"/>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24" t="s">
        <v>424</v>
      </c>
      <c r="F110" s="3822"/>
      <c r="G110" s="3822"/>
      <c r="H110" s="3823"/>
      <c r="I110" s="9"/>
      <c r="J110" s="1757"/>
      <c r="K110" s="2987" t="s">
        <v>2278</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t="e">
        <f ca="1">ROUND(D63*D111/(1+'数据-取费表'!C42),0)</f>
        <v>#REF!</v>
      </c>
      <c r="D111" s="393">
        <f>'数据-取费表'!B43</f>
        <v>0</v>
      </c>
      <c r="E111" s="3821" t="s">
        <v>1780</v>
      </c>
      <c r="F111" s="3822"/>
      <c r="G111" s="3822"/>
      <c r="H111" s="3823"/>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24" t="s">
        <v>1799</v>
      </c>
      <c r="F112" s="3822"/>
      <c r="G112" s="3822"/>
      <c r="H112" s="3823"/>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t="e">
        <f ca="1">ROUND(C103-C104,0)</f>
        <v>#REF!</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t="e">
        <f ca="1">IF(C113&lt;=0,0,C113/C104)</f>
        <v>#REF!</v>
      </c>
      <c r="D114" s="365" t="s">
        <v>13</v>
      </c>
      <c r="E114" s="24" t="e">
        <f ca="1">IF(C114&gt;=200%,"增值额超过扣除项目金额200%",IF(C114&gt;=100%,"增值额超过扣除项目金额100%，未超过200%",IF(C114&gt;=50%,"增值额超过扣除项目金额50%，未超过100%",IF(C114&lt;50%,"增值额未超过扣除项目金额50%"))))</f>
        <v>#REF!</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t="e">
        <f ca="1">ROUND(IF(C113&lt;=0,0,IF(C114&gt;=200%,C113*60%-C104*35%,IF(C114&gt;=100%,C113*50%-C104*15%,IF(C114&gt;=50%,C113*40%-C104*5%,IF(C114&lt;50%,C113*30%,0))))),0)</f>
        <v>#REF!</v>
      </c>
      <c r="D115" s="396" t="s">
        <v>13</v>
      </c>
      <c r="E115" s="3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26" sqref="F26"/>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31" s="1765" customFormat="1" ht="18" customHeight="1">
      <c r="A2" s="1824" t="s">
        <v>427</v>
      </c>
      <c r="B2" s="1828" t="e">
        <f ca="1">C36</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4"/>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0</v>
      </c>
      <c r="D16" s="2324">
        <f ca="1">IF(B1="",'数据-汇总表'!E3,INDIRECT("'数据-取费表'!K"&amp;$K$1)+INDIRECT("'数据-取费表'!S"&amp;$K$1))</f>
        <v>0</v>
      </c>
      <c r="E16" s="51">
        <f>'数据-取费表'!B35</f>
        <v>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0</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0</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0</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0</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0</v>
      </c>
      <c r="D22" s="2324">
        <f ca="1">IF(B1="",'数据-汇总表'!E6,IF(INDIRECT("'数据-取费表'!c"&amp;$K$1)="住宅",INDIRECT("'数据-取费表'!s"&amp;$K$1),INDIRECT("'数据-取费表'!k"&amp;$K$1)+INDIRECT("'数据-取费表'!s"&amp;$K$1)))</f>
        <v>0</v>
      </c>
      <c r="E22" s="51">
        <f>'数据-取费表'!B28</f>
        <v>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0</v>
      </c>
      <c r="D23" s="454"/>
      <c r="E23" s="454"/>
      <c r="F23" s="2336">
        <f>'数据-取费表'!B37</f>
        <v>0</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2105</v>
      </c>
      <c r="E25" s="455"/>
      <c r="F25" s="2336">
        <f>IF(项目基本情况!B8="出让",0,'数据-取费表'!B48+'数据-取费表'!B49)</f>
        <v>0</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0</v>
      </c>
      <c r="D26" s="453">
        <f ca="1">C27</f>
        <v>0</v>
      </c>
      <c r="E26" s="455" t="s">
        <v>455</v>
      </c>
      <c r="F26" s="457">
        <f ca="1">'数据-取费表'!B40</f>
        <v>0</v>
      </c>
      <c r="G26" s="2188" t="str">
        <f>IF('数据-取费表'!B22&lt;=1,"单利计息。","复利计息。")&amp;"后续开发成本、管理费用及销售费用产生的利息。"</f>
        <v>单利计息。后续开发成本、管理费用及销售费用产生的利息。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0</v>
      </c>
      <c r="D27" s="458"/>
      <c r="E27" s="459"/>
      <c r="F27" s="460"/>
      <c r="G27" s="2188" t="str">
        <f>IF('数据-取费表'!B22&lt;=1,"（1+取得税费率/(1+5%)）×年利率×建设期","（1+取得税费率）/(1+5%)×((1+年利率)^建设期-1)")</f>
        <v>（1+取得税费率/(1+5%)）×年利率×建设期</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0</v>
      </c>
      <c r="D28" s="458"/>
      <c r="E28" s="459"/>
      <c r="F28" s="460"/>
      <c r="G28" s="2188" t="str">
        <f>IF('数据-取费表'!B22&lt;=1,"（1）-（4）项×年利率×建设期÷2","（1）-（4）项×((1+年利率)^(建设期÷2)-1)")</f>
        <v>（1）-（4）项×年利率×建设期÷2</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0</v>
      </c>
      <c r="D29" s="454"/>
      <c r="E29" s="454"/>
      <c r="F29" s="2508">
        <f>'数据-取费表'!B41</f>
        <v>0</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0</v>
      </c>
      <c r="D30" s="463">
        <f ca="1">C32</f>
        <v>0</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0</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0</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t="e">
        <f ca="1">C35</f>
        <v>#DIV/0!</v>
      </c>
      <c r="D33" s="453" t="e">
        <f ca="1">C34</f>
        <v>#DIV/0!</v>
      </c>
      <c r="E33" s="455" t="s">
        <v>455</v>
      </c>
      <c r="F33" s="465" t="e">
        <f ca="1">IF(B1="",'数据-取费表'!Q16,INDIRECT("'数据-取费表'!q"&amp;$K$1))</f>
        <v>#DIV/0!</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t="e">
        <f ca="1">ROUND((1+C25)*F33,4)</f>
        <v>#DIV/0!</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t="e">
        <f ca="1">ROUND((C18+C19+C20+C23+C24)*F33,0)</f>
        <v>#DIV/0!</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t="e">
        <f ca="1">ROUND((C6-C30-C33)/(1+D30+D33),0)</f>
        <v>#DIV/0!</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41" s="1765" customFormat="1" ht="18" customHeight="1">
      <c r="A2" s="410" t="s">
        <v>427</v>
      </c>
      <c r="B2" s="411" t="e">
        <f ca="1">C27</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t="e">
        <f ca="1">ROUND(B2*10000/IF(B1="",'数据-汇总表'!D3,INDIRECT("'数据-取费表'!R"&amp;$K$1)),0)</f>
        <v>#DIV/0!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t="e">
        <f ca="1">ROUND(B2/(IF(B1="",'数据-汇总表'!D3,INDIRECT("'数据-取费表'!R"&amp;$K$1))/666.67),0)</f>
        <v>#DIV/0!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0</v>
      </c>
      <c r="D14" s="437"/>
      <c r="E14" s="356"/>
      <c r="F14" s="442">
        <f>'数据-取费表'!B33</f>
        <v>0</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0</v>
      </c>
      <c r="D16" s="437">
        <f ca="1">IF(B1="",'数据-汇总表'!E3,INDIRECT("'数据-取费表'!K"&amp;$K$1)+INDIRECT("'数据-取费表'!S"&amp;$K$1))</f>
        <v>0</v>
      </c>
      <c r="E16" s="51">
        <f>'数据-取费表'!B35</f>
        <v>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0</v>
      </c>
      <c r="D17" s="441"/>
      <c r="E17" s="440"/>
      <c r="F17" s="442">
        <f>'数据-取费表'!B36</f>
        <v>0</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0</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0</v>
      </c>
      <c r="D19" s="447"/>
      <c r="E19" s="448"/>
      <c r="F19" s="452">
        <f>'数据-取费表'!B37</f>
        <v>0</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0</v>
      </c>
      <c r="D20" s="448">
        <f ca="1">ROUND(((1+F20)^'数据-取费表'!B20)-1,4)</f>
        <v>0</v>
      </c>
      <c r="E20" s="448"/>
      <c r="F20" s="457">
        <f ca="1">'数据-取费表'!B40</f>
        <v>0</v>
      </c>
      <c r="G20" s="1195" t="str">
        <f>IF('数据-取费表'!B22&lt;=1,"单利计息。","复利计息。")&amp;"建造成本、管理费用产生的利息 / 地价及税费产生的利息。"</f>
        <v>单利计息。建造成本、管理费用产生的利息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2295</v>
      </c>
      <c r="B21" s="2503" t="s">
        <v>2107</v>
      </c>
      <c r="C21" s="464" t="e">
        <f ca="1">ROUND((C18+C19)*F21,0)</f>
        <v>#DIV/0!</v>
      </c>
      <c r="D21" s="3029"/>
      <c r="E21" s="448"/>
      <c r="F21" s="465" t="e">
        <f ca="1">IF(B1="",'数据-取费表'!Q16,INDIRECT("'数据-取费表'!q"&amp;$K$1))</f>
        <v>#DIV/0!</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t="e">
        <f ca="1">IF(B1="",'数据-取费表'!N16,INDIRECT("'数据-取费表'!N"&amp;$K$1))</f>
        <v>#DIV/0!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2296</v>
      </c>
      <c r="C23" s="3034" t="e">
        <f ca="1">ROUND((C18+C19+C20+C21)*F22,0)</f>
        <v>#DIV/0!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63" t="s">
        <v>1394</v>
      </c>
      <c r="B24" s="3864"/>
      <c r="C24" s="3039">
        <f>ROUND(C6*F24/(1+'数据-取费表'!B42),0)</f>
        <v>0</v>
      </c>
      <c r="D24" s="3040"/>
      <c r="E24" s="3041"/>
      <c r="F24" s="3042">
        <f>'数据-取费表'!B41</f>
        <v>0</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63" t="s">
        <v>2293</v>
      </c>
      <c r="B25" s="3864"/>
      <c r="C25" s="3039">
        <f>ROUND(C6*F25,0)</f>
        <v>0</v>
      </c>
      <c r="D25" s="3040"/>
      <c r="E25" s="3041"/>
      <c r="F25" s="3045">
        <f>'数据-取费表'!B38</f>
        <v>0</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63" t="s">
        <v>2294</v>
      </c>
      <c r="B26" s="3864"/>
      <c r="C26" s="3051"/>
      <c r="D26" s="3052"/>
      <c r="E26" s="3052"/>
      <c r="F26" s="3053">
        <f>'数据-取费表'!B48+'数据-取费表'!B49</f>
        <v>0</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65" t="s">
        <v>2292</v>
      </c>
      <c r="B27" s="3866"/>
      <c r="C27" s="3047" t="e">
        <f ca="1">(C6-C23-C24-C25)/((1+F26)*(1+D20+F21))</f>
        <v>#DIV/0!</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91" t="str">
        <f>项目基本情况!B1</f>
        <v>出让国有建设用地使用权预评估</v>
      </c>
      <c r="C37" s="3691"/>
      <c r="D37" s="3691"/>
      <c r="E37" s="3691"/>
      <c r="F37" s="3691"/>
      <c r="G37" s="3691"/>
      <c r="H37" s="3691"/>
      <c r="I37" s="3691"/>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74" t="s">
        <v>471</v>
      </c>
      <c r="D6" s="3875"/>
      <c r="E6" s="3874" t="s">
        <v>472</v>
      </c>
      <c r="F6" s="3875"/>
      <c r="G6" s="3874" t="s">
        <v>473</v>
      </c>
      <c r="H6" s="3875"/>
      <c r="I6" s="3874" t="s">
        <v>474</v>
      </c>
      <c r="J6" s="3875"/>
      <c r="K6" s="484" t="s">
        <v>475</v>
      </c>
      <c r="L6" s="1856"/>
      <c r="M6" s="1855"/>
      <c r="N6" s="1855"/>
      <c r="O6" s="1857"/>
      <c r="P6" s="3876" t="s">
        <v>476</v>
      </c>
      <c r="Q6" s="3877"/>
      <c r="R6" s="3882" t="s">
        <v>472</v>
      </c>
      <c r="S6" s="3883"/>
      <c r="T6" s="3882" t="s">
        <v>473</v>
      </c>
      <c r="U6" s="3883"/>
      <c r="V6" s="3869" t="s">
        <v>474</v>
      </c>
      <c r="W6" s="3869"/>
      <c r="X6" s="1380"/>
      <c r="Y6" s="3882" t="s">
        <v>476</v>
      </c>
      <c r="Z6" s="3883"/>
      <c r="AA6" s="3871" t="s">
        <v>472</v>
      </c>
      <c r="AB6" s="3872" t="s">
        <v>473</v>
      </c>
      <c r="AC6" s="3871" t="s">
        <v>474</v>
      </c>
    </row>
    <row r="7" spans="1:30" ht="20.25">
      <c r="A7" s="485"/>
      <c r="B7" s="486"/>
      <c r="C7" s="3890" t="s">
        <v>2192</v>
      </c>
      <c r="D7" s="3891"/>
      <c r="E7" s="3890" t="s">
        <v>2193</v>
      </c>
      <c r="F7" s="3891"/>
      <c r="G7" s="3890" t="s">
        <v>2194</v>
      </c>
      <c r="H7" s="3891"/>
      <c r="I7" s="3890" t="s">
        <v>2195</v>
      </c>
      <c r="J7" s="3891"/>
      <c r="K7" s="484"/>
      <c r="L7" s="1856"/>
      <c r="M7" s="1855"/>
      <c r="N7" s="1855"/>
      <c r="O7" s="1857"/>
      <c r="P7" s="3878"/>
      <c r="Q7" s="3879"/>
      <c r="R7" s="3884"/>
      <c r="S7" s="3885"/>
      <c r="T7" s="3884"/>
      <c r="U7" s="3885"/>
      <c r="V7" s="3869"/>
      <c r="W7" s="3869"/>
      <c r="X7" s="1380"/>
      <c r="Y7" s="3884"/>
      <c r="Z7" s="3885"/>
      <c r="AA7" s="3872"/>
      <c r="AB7" s="3872"/>
      <c r="AC7" s="3872"/>
    </row>
    <row r="8" spans="1:30" ht="21" thickBot="1">
      <c r="A8" s="485"/>
      <c r="B8" s="486"/>
      <c r="C8" s="3892" t="s">
        <v>2196</v>
      </c>
      <c r="D8" s="3893"/>
      <c r="E8" s="3892" t="s">
        <v>2196</v>
      </c>
      <c r="F8" s="3893"/>
      <c r="G8" s="3888" t="s">
        <v>2196</v>
      </c>
      <c r="H8" s="3889"/>
      <c r="I8" s="3888" t="s">
        <v>2196</v>
      </c>
      <c r="J8" s="3889"/>
      <c r="K8" s="484" t="s">
        <v>477</v>
      </c>
      <c r="L8" s="1856"/>
      <c r="M8" s="1855"/>
      <c r="N8" s="1855"/>
      <c r="O8" s="1857"/>
      <c r="P8" s="3880"/>
      <c r="Q8" s="3881"/>
      <c r="R8" s="3884"/>
      <c r="S8" s="3885"/>
      <c r="T8" s="3886"/>
      <c r="U8" s="3887"/>
      <c r="V8" s="3869"/>
      <c r="W8" s="3869"/>
      <c r="X8" s="1380"/>
      <c r="Y8" s="3886"/>
      <c r="Z8" s="3887"/>
      <c r="AA8" s="3873"/>
      <c r="AB8" s="3873"/>
      <c r="AC8" s="3873"/>
    </row>
    <row r="9" spans="1:30" s="1118" customFormat="1" ht="21" thickBot="1">
      <c r="A9" s="2392"/>
      <c r="B9" s="2399" t="s">
        <v>478</v>
      </c>
      <c r="C9" s="2391">
        <f>'数据-取费表'!B2</f>
        <v>0</v>
      </c>
      <c r="D9" s="490">
        <v>100</v>
      </c>
      <c r="E9" s="491"/>
      <c r="F9" s="492">
        <f>SUMIF(71:71,YEAR(E9)&amp;"-"&amp;INT((MONTH(E9)+2)/3),72:72)</f>
        <v>100</v>
      </c>
      <c r="G9" s="493"/>
      <c r="H9" s="490">
        <f>SUMIF(71:71,YEAR(G9)&amp;"-"&amp;INT((MONTH(G9)+2)/3),72:72)</f>
        <v>100</v>
      </c>
      <c r="I9" s="493"/>
      <c r="J9" s="490">
        <f>SUMIF(71:71,YEAR(I9)&amp;"-"&amp;INT((MONTH(I9)+2)/3),72:72)</f>
        <v>100</v>
      </c>
      <c r="K9" s="494"/>
      <c r="L9" s="1858"/>
      <c r="M9" s="1855"/>
      <c r="N9" s="1855"/>
      <c r="O9" s="1859"/>
      <c r="P9" s="3898" t="s">
        <v>479</v>
      </c>
      <c r="Q9" s="3900"/>
      <c r="R9" s="1381" t="s">
        <v>5</v>
      </c>
      <c r="S9" s="1382">
        <f t="shared" ref="S9:S17" si="0">F9</f>
        <v>100</v>
      </c>
      <c r="T9" s="1381" t="s">
        <v>5</v>
      </c>
      <c r="U9" s="1382">
        <f t="shared" ref="U9:U17" si="1">H9</f>
        <v>100</v>
      </c>
      <c r="V9" s="1381" t="s">
        <v>5</v>
      </c>
      <c r="W9" s="1382">
        <f t="shared" ref="W9:W17" si="2">J9</f>
        <v>100</v>
      </c>
      <c r="X9" s="1383"/>
      <c r="Y9" s="3898" t="s">
        <v>479</v>
      </c>
      <c r="Z9" s="3899"/>
      <c r="AA9" s="1384">
        <f>D9/F9</f>
        <v>1</v>
      </c>
      <c r="AB9" s="1384">
        <f>D9/H9</f>
        <v>1</v>
      </c>
      <c r="AC9" s="1384">
        <f>D9/J9</f>
        <v>1</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98" t="s">
        <v>482</v>
      </c>
      <c r="Q10" s="3899"/>
      <c r="R10" s="1381" t="s">
        <v>5</v>
      </c>
      <c r="S10" s="1382">
        <f t="shared" si="0"/>
        <v>0</v>
      </c>
      <c r="T10" s="1381" t="s">
        <v>5</v>
      </c>
      <c r="U10" s="1382">
        <f t="shared" si="1"/>
        <v>0</v>
      </c>
      <c r="V10" s="1381" t="s">
        <v>5</v>
      </c>
      <c r="W10" s="1382">
        <f t="shared" si="2"/>
        <v>0</v>
      </c>
      <c r="X10" s="1383"/>
      <c r="Y10" s="3898" t="s">
        <v>482</v>
      </c>
      <c r="Z10" s="3899"/>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68" t="s">
        <v>484</v>
      </c>
      <c r="Q11" s="1050" t="str">
        <f t="shared" ref="Q11:Q17" si="6">B11</f>
        <v>用途</v>
      </c>
      <c r="R11" s="1381" t="s">
        <v>5</v>
      </c>
      <c r="S11" s="1382">
        <f t="shared" si="0"/>
        <v>100</v>
      </c>
      <c r="T11" s="1381" t="s">
        <v>5</v>
      </c>
      <c r="U11" s="1382">
        <f t="shared" si="1"/>
        <v>100</v>
      </c>
      <c r="V11" s="1381" t="s">
        <v>5</v>
      </c>
      <c r="W11" s="1382">
        <f t="shared" si="2"/>
        <v>100</v>
      </c>
      <c r="X11" s="1383"/>
      <c r="Y11" s="3812"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t="e">
        <f>ROUND(100/'数据-取费表'!G16,0)</f>
        <v>#DIV/0!</v>
      </c>
      <c r="G12" s="500"/>
      <c r="H12" s="246" t="e">
        <f>ROUND(100/'数据-取费表'!G16,0)</f>
        <v>#DIV/0!</v>
      </c>
      <c r="I12" s="500"/>
      <c r="J12" s="246" t="e">
        <f>ROUND(100/'数据-取费表'!G16,0)</f>
        <v>#DIV/0!</v>
      </c>
      <c r="K12" s="501"/>
      <c r="L12" s="1861"/>
      <c r="M12" s="1855"/>
      <c r="N12" s="1855"/>
      <c r="O12" s="1862"/>
      <c r="P12" s="3868"/>
      <c r="Q12" s="1050" t="str">
        <f t="shared" si="6"/>
        <v>土地使用年限（年）</v>
      </c>
      <c r="R12" s="1381" t="s">
        <v>5</v>
      </c>
      <c r="S12" s="1382" t="e">
        <f t="shared" si="0"/>
        <v>#DIV/0!</v>
      </c>
      <c r="T12" s="1381" t="s">
        <v>5</v>
      </c>
      <c r="U12" s="1382" t="e">
        <f t="shared" si="1"/>
        <v>#DIV/0!</v>
      </c>
      <c r="V12" s="1381" t="s">
        <v>5</v>
      </c>
      <c r="W12" s="1382" t="e">
        <f t="shared" si="2"/>
        <v>#DIV/0!</v>
      </c>
      <c r="X12" s="1383"/>
      <c r="Y12" s="3812"/>
      <c r="Z12" s="1049" t="str">
        <f t="shared" si="7"/>
        <v>土地使用年限（年）</v>
      </c>
      <c r="AA12" s="1384" t="e">
        <f t="shared" si="3"/>
        <v>#DIV/0!</v>
      </c>
      <c r="AB12" s="1384" t="e">
        <f t="shared" si="4"/>
        <v>#DIV/0!</v>
      </c>
      <c r="AC12" s="1384" t="e">
        <f t="shared" si="5"/>
        <v>#DIV/0!</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68"/>
      <c r="Q13" s="1050" t="str">
        <f t="shared" si="6"/>
        <v>容积率</v>
      </c>
      <c r="R13" s="1381" t="s">
        <v>5</v>
      </c>
      <c r="S13" s="1382" t="e">
        <f t="shared" si="0"/>
        <v>#N/A</v>
      </c>
      <c r="T13" s="1381" t="s">
        <v>5</v>
      </c>
      <c r="U13" s="1382" t="e">
        <f t="shared" si="1"/>
        <v>#N/A</v>
      </c>
      <c r="V13" s="1381" t="s">
        <v>5</v>
      </c>
      <c r="W13" s="1382" t="e">
        <f t="shared" si="2"/>
        <v>#N/A</v>
      </c>
      <c r="X13" s="1383"/>
      <c r="Y13" s="3812"/>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68"/>
      <c r="Q14" s="1050" t="str">
        <f t="shared" si="6"/>
        <v>配建</v>
      </c>
      <c r="R14" s="1381" t="s">
        <v>5</v>
      </c>
      <c r="S14" s="1382">
        <f t="shared" si="0"/>
        <v>100</v>
      </c>
      <c r="T14" s="1381" t="s">
        <v>5</v>
      </c>
      <c r="U14" s="1382">
        <f t="shared" si="1"/>
        <v>100</v>
      </c>
      <c r="V14" s="1381" t="s">
        <v>5</v>
      </c>
      <c r="W14" s="1382">
        <f t="shared" si="2"/>
        <v>100</v>
      </c>
      <c r="X14" s="1383"/>
      <c r="Y14" s="3812"/>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68"/>
      <c r="Q15" s="1050">
        <f t="shared" si="6"/>
        <v>111</v>
      </c>
      <c r="R15" s="1381" t="s">
        <v>5</v>
      </c>
      <c r="S15" s="1382">
        <f t="shared" si="0"/>
        <v>100</v>
      </c>
      <c r="T15" s="1381" t="s">
        <v>5</v>
      </c>
      <c r="U15" s="1382">
        <f t="shared" si="1"/>
        <v>100</v>
      </c>
      <c r="V15" s="1381" t="s">
        <v>5</v>
      </c>
      <c r="W15" s="1382">
        <f t="shared" si="2"/>
        <v>100</v>
      </c>
      <c r="X15" s="1383"/>
      <c r="Y15" s="3812"/>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68"/>
      <c r="Q16" s="1050">
        <f t="shared" si="6"/>
        <v>111</v>
      </c>
      <c r="R16" s="1381" t="s">
        <v>5</v>
      </c>
      <c r="S16" s="1382">
        <f t="shared" si="0"/>
        <v>100</v>
      </c>
      <c r="T16" s="1381" t="s">
        <v>5</v>
      </c>
      <c r="U16" s="1382">
        <f t="shared" si="1"/>
        <v>100</v>
      </c>
      <c r="V16" s="1381" t="s">
        <v>5</v>
      </c>
      <c r="W16" s="1382">
        <f t="shared" si="2"/>
        <v>100</v>
      </c>
      <c r="X16" s="1383"/>
      <c r="Y16" s="3812"/>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901" t="s">
        <v>489</v>
      </c>
      <c r="Q17" s="1385" t="str">
        <f t="shared" si="6"/>
        <v>居住社区成熟度</v>
      </c>
      <c r="R17" s="1386" t="s">
        <v>5</v>
      </c>
      <c r="S17" s="1387">
        <f t="shared" si="0"/>
        <v>100</v>
      </c>
      <c r="T17" s="1386" t="s">
        <v>5</v>
      </c>
      <c r="U17" s="1387">
        <f t="shared" si="1"/>
        <v>100</v>
      </c>
      <c r="V17" s="1386" t="s">
        <v>5</v>
      </c>
      <c r="W17" s="1387">
        <f t="shared" si="2"/>
        <v>100</v>
      </c>
      <c r="X17" s="1380"/>
      <c r="Y17" s="3901"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902"/>
      <c r="Q18" s="1385"/>
      <c r="R18" s="1386"/>
      <c r="S18" s="1387"/>
      <c r="T18" s="1386"/>
      <c r="U18" s="1387"/>
      <c r="V18" s="1386"/>
      <c r="W18" s="1387"/>
      <c r="X18" s="1380"/>
      <c r="Y18" s="3902"/>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902"/>
      <c r="Q19" s="1385" t="str">
        <f>B19</f>
        <v>商业繁华度</v>
      </c>
      <c r="R19" s="1386" t="s">
        <v>5</v>
      </c>
      <c r="S19" s="1387">
        <f>F19</f>
        <v>100</v>
      </c>
      <c r="T19" s="1386" t="s">
        <v>5</v>
      </c>
      <c r="U19" s="1387">
        <f>H19</f>
        <v>100</v>
      </c>
      <c r="V19" s="1386" t="s">
        <v>5</v>
      </c>
      <c r="W19" s="1387">
        <f>J19</f>
        <v>100</v>
      </c>
      <c r="X19" s="1380"/>
      <c r="Y19" s="3902"/>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902"/>
      <c r="Q20" s="1385"/>
      <c r="R20" s="1386"/>
      <c r="S20" s="1387"/>
      <c r="T20" s="1386"/>
      <c r="U20" s="1387"/>
      <c r="V20" s="1386"/>
      <c r="W20" s="1387"/>
      <c r="X20" s="1380"/>
      <c r="Y20" s="3902"/>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902"/>
      <c r="Q21" s="1385" t="str">
        <f>B21</f>
        <v>办公集聚程度</v>
      </c>
      <c r="R21" s="1386" t="s">
        <v>5</v>
      </c>
      <c r="S21" s="1387">
        <f>F21</f>
        <v>100</v>
      </c>
      <c r="T21" s="1386" t="s">
        <v>5</v>
      </c>
      <c r="U21" s="1387">
        <f>H21</f>
        <v>100</v>
      </c>
      <c r="V21" s="1386" t="s">
        <v>5</v>
      </c>
      <c r="W21" s="1387">
        <f>J21</f>
        <v>100</v>
      </c>
      <c r="X21" s="1380"/>
      <c r="Y21" s="3902"/>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902"/>
      <c r="Q22" s="1385"/>
      <c r="R22" s="1386"/>
      <c r="S22" s="1387"/>
      <c r="T22" s="1386"/>
      <c r="U22" s="1387"/>
      <c r="V22" s="1386"/>
      <c r="W22" s="1387"/>
      <c r="X22" s="1380"/>
      <c r="Y22" s="3902"/>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902"/>
      <c r="Q23" s="1385" t="str">
        <f>B23</f>
        <v>交通便捷度</v>
      </c>
      <c r="R23" s="1386" t="s">
        <v>5</v>
      </c>
      <c r="S23" s="1387">
        <f>F23</f>
        <v>100</v>
      </c>
      <c r="T23" s="1386" t="s">
        <v>5</v>
      </c>
      <c r="U23" s="1387">
        <f>H23</f>
        <v>100</v>
      </c>
      <c r="V23" s="1386" t="s">
        <v>5</v>
      </c>
      <c r="W23" s="1387">
        <f>J23</f>
        <v>100</v>
      </c>
      <c r="X23" s="1380"/>
      <c r="Y23" s="3902"/>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902"/>
      <c r="Q24" s="1385"/>
      <c r="R24" s="1386"/>
      <c r="S24" s="1387"/>
      <c r="T24" s="1386"/>
      <c r="U24" s="1387"/>
      <c r="V24" s="1386"/>
      <c r="W24" s="1387"/>
      <c r="X24" s="1380"/>
      <c r="Y24" s="3902"/>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902"/>
      <c r="Q25" s="1385" t="str">
        <f t="shared" ref="Q25:Q39" si="8">B25</f>
        <v>区域土地利用方向</v>
      </c>
      <c r="R25" s="1386" t="s">
        <v>5</v>
      </c>
      <c r="S25" s="1387">
        <f>F25</f>
        <v>100</v>
      </c>
      <c r="T25" s="1386" t="s">
        <v>5</v>
      </c>
      <c r="U25" s="1387">
        <f>H25</f>
        <v>100</v>
      </c>
      <c r="V25" s="1386" t="s">
        <v>5</v>
      </c>
      <c r="W25" s="1387">
        <f>J25</f>
        <v>100</v>
      </c>
      <c r="X25" s="1380"/>
      <c r="Y25" s="3902"/>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902"/>
      <c r="Q26" s="1385"/>
      <c r="R26" s="1386"/>
      <c r="S26" s="1387"/>
      <c r="T26" s="1386"/>
      <c r="U26" s="1387"/>
      <c r="V26" s="1386"/>
      <c r="W26" s="1387"/>
      <c r="X26" s="1380"/>
      <c r="Y26" s="3902"/>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902"/>
      <c r="Q27" s="1385" t="str">
        <f t="shared" si="8"/>
        <v>自然及人文环境状况</v>
      </c>
      <c r="R27" s="1386" t="s">
        <v>5</v>
      </c>
      <c r="S27" s="1387">
        <f>F27</f>
        <v>100</v>
      </c>
      <c r="T27" s="1386" t="s">
        <v>5</v>
      </c>
      <c r="U27" s="1387">
        <f>H27</f>
        <v>100</v>
      </c>
      <c r="V27" s="1386" t="s">
        <v>5</v>
      </c>
      <c r="W27" s="1387">
        <f>J27</f>
        <v>100</v>
      </c>
      <c r="X27" s="1380"/>
      <c r="Y27" s="3902"/>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902"/>
      <c r="Q28" s="1385"/>
      <c r="R28" s="1386"/>
      <c r="S28" s="1387"/>
      <c r="T28" s="1386"/>
      <c r="U28" s="1387"/>
      <c r="V28" s="1386"/>
      <c r="W28" s="1387"/>
      <c r="X28" s="1380"/>
      <c r="Y28" s="3902"/>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902"/>
      <c r="Q29" s="1050" t="str">
        <f t="shared" si="8"/>
        <v>公共配套设施</v>
      </c>
      <c r="R29" s="1381" t="s">
        <v>5</v>
      </c>
      <c r="S29" s="1382">
        <f>F29</f>
        <v>100</v>
      </c>
      <c r="T29" s="1381" t="s">
        <v>5</v>
      </c>
      <c r="U29" s="1382">
        <f>H29</f>
        <v>100</v>
      </c>
      <c r="V29" s="1381" t="s">
        <v>5</v>
      </c>
      <c r="W29" s="1382">
        <f>J29</f>
        <v>100</v>
      </c>
      <c r="X29" s="1383"/>
      <c r="Y29" s="3902"/>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902"/>
      <c r="Q30" s="1050"/>
      <c r="R30" s="1381"/>
      <c r="S30" s="1382"/>
      <c r="T30" s="1381"/>
      <c r="U30" s="1382"/>
      <c r="V30" s="1381"/>
      <c r="W30" s="1382"/>
      <c r="X30" s="1383"/>
      <c r="Y30" s="3902"/>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902"/>
      <c r="Q31" s="2192" t="str">
        <f>B31</f>
        <v>基础设施水平</v>
      </c>
      <c r="R31" s="1381" t="s">
        <v>5</v>
      </c>
      <c r="S31" s="1382">
        <f>F31</f>
        <v>100</v>
      </c>
      <c r="T31" s="1381" t="s">
        <v>5</v>
      </c>
      <c r="U31" s="1382">
        <f>H31</f>
        <v>100</v>
      </c>
      <c r="V31" s="1381" t="s">
        <v>5</v>
      </c>
      <c r="W31" s="1382">
        <f>J31</f>
        <v>100</v>
      </c>
      <c r="X31" s="1383"/>
      <c r="Y31" s="3902"/>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902"/>
      <c r="Q32" s="2192"/>
      <c r="R32" s="1381"/>
      <c r="S32" s="1382"/>
      <c r="T32" s="1381"/>
      <c r="U32" s="1382"/>
      <c r="V32" s="1381"/>
      <c r="W32" s="1382"/>
      <c r="X32" s="1383"/>
      <c r="Y32" s="3902"/>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02"/>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02"/>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02"/>
      <c r="Q34" s="1385" t="str">
        <f t="shared" si="8"/>
        <v>毗邻道路的类型与等级</v>
      </c>
      <c r="R34" s="1386" t="s">
        <v>5</v>
      </c>
      <c r="S34" s="1387">
        <f t="shared" si="9"/>
        <v>100</v>
      </c>
      <c r="T34" s="1386" t="s">
        <v>5</v>
      </c>
      <c r="U34" s="1387">
        <f t="shared" si="10"/>
        <v>100</v>
      </c>
      <c r="V34" s="1386" t="s">
        <v>5</v>
      </c>
      <c r="W34" s="1387">
        <f t="shared" si="11"/>
        <v>100</v>
      </c>
      <c r="X34" s="1380"/>
      <c r="Y34" s="3902"/>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902"/>
      <c r="Q35" s="1385"/>
      <c r="R35" s="1386"/>
      <c r="S35" s="1387"/>
      <c r="T35" s="1386"/>
      <c r="U35" s="1387"/>
      <c r="V35" s="1386"/>
      <c r="W35" s="1387"/>
      <c r="X35" s="1380"/>
      <c r="Y35" s="3902"/>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02"/>
      <c r="Q36" s="1385" t="str">
        <f t="shared" si="8"/>
        <v>土地级别</v>
      </c>
      <c r="R36" s="1386" t="s">
        <v>5</v>
      </c>
      <c r="S36" s="1387">
        <f t="shared" si="9"/>
        <v>100</v>
      </c>
      <c r="T36" s="1386" t="s">
        <v>5</v>
      </c>
      <c r="U36" s="1387">
        <f t="shared" si="10"/>
        <v>100</v>
      </c>
      <c r="V36" s="1386" t="s">
        <v>5</v>
      </c>
      <c r="W36" s="1387">
        <f t="shared" si="11"/>
        <v>100</v>
      </c>
      <c r="X36" s="1380"/>
      <c r="Y36" s="3902"/>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02"/>
      <c r="Q37" s="1385">
        <f t="shared" si="8"/>
        <v>111</v>
      </c>
      <c r="R37" s="1386" t="s">
        <v>5</v>
      </c>
      <c r="S37" s="1387">
        <f t="shared" si="9"/>
        <v>100</v>
      </c>
      <c r="T37" s="1386" t="s">
        <v>5</v>
      </c>
      <c r="U37" s="1387">
        <f t="shared" si="10"/>
        <v>100</v>
      </c>
      <c r="V37" s="1386" t="s">
        <v>5</v>
      </c>
      <c r="W37" s="1387">
        <f t="shared" si="11"/>
        <v>100</v>
      </c>
      <c r="X37" s="1380"/>
      <c r="Y37" s="3902"/>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03" t="s">
        <v>499</v>
      </c>
      <c r="Q38" s="1385">
        <f t="shared" si="8"/>
        <v>111</v>
      </c>
      <c r="R38" s="1386" t="s">
        <v>5</v>
      </c>
      <c r="S38" s="1387">
        <f t="shared" si="9"/>
        <v>100</v>
      </c>
      <c r="T38" s="1386" t="s">
        <v>5</v>
      </c>
      <c r="U38" s="1387">
        <f t="shared" si="10"/>
        <v>100</v>
      </c>
      <c r="V38" s="1386" t="s">
        <v>5</v>
      </c>
      <c r="W38" s="1387">
        <f t="shared" si="11"/>
        <v>100</v>
      </c>
      <c r="X38" s="1380"/>
      <c r="Y38" s="3904"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04"/>
      <c r="Q39" s="1385">
        <f t="shared" si="8"/>
        <v>111</v>
      </c>
      <c r="R39" s="1390" t="s">
        <v>5</v>
      </c>
      <c r="S39" s="1391">
        <f t="shared" si="9"/>
        <v>100</v>
      </c>
      <c r="T39" s="1390" t="s">
        <v>5</v>
      </c>
      <c r="U39" s="1391">
        <f t="shared" si="10"/>
        <v>100</v>
      </c>
      <c r="V39" s="1390" t="s">
        <v>5</v>
      </c>
      <c r="W39" s="1391">
        <f t="shared" si="11"/>
        <v>100</v>
      </c>
      <c r="X39" s="1392"/>
      <c r="Y39" s="3904"/>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904"/>
      <c r="Q40" s="1385" t="str">
        <f>B40</f>
        <v>宗地面积</v>
      </c>
      <c r="R40" s="1386" t="s">
        <v>5</v>
      </c>
      <c r="S40" s="1387" t="e">
        <f t="shared" si="9"/>
        <v>#N/A</v>
      </c>
      <c r="T40" s="1386" t="s">
        <v>5</v>
      </c>
      <c r="U40" s="1387" t="e">
        <f t="shared" si="10"/>
        <v>#N/A</v>
      </c>
      <c r="V40" s="1386" t="s">
        <v>5</v>
      </c>
      <c r="W40" s="1387" t="e">
        <f t="shared" si="11"/>
        <v>#N/A</v>
      </c>
      <c r="X40" s="1380"/>
      <c r="Y40" s="3904"/>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904"/>
      <c r="Q41" s="1385" t="str">
        <f t="shared" ref="Q41:Q47" si="13">B41</f>
        <v>宗地形状</v>
      </c>
      <c r="R41" s="1386" t="s">
        <v>5</v>
      </c>
      <c r="S41" s="1387">
        <f t="shared" si="9"/>
        <v>100</v>
      </c>
      <c r="T41" s="1386" t="s">
        <v>5</v>
      </c>
      <c r="U41" s="1387">
        <f t="shared" si="10"/>
        <v>100</v>
      </c>
      <c r="V41" s="1386" t="s">
        <v>5</v>
      </c>
      <c r="W41" s="1387">
        <f t="shared" si="11"/>
        <v>100</v>
      </c>
      <c r="X41" s="1380"/>
      <c r="Y41" s="3904"/>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04"/>
      <c r="Q42" s="1385" t="str">
        <f t="shared" si="13"/>
        <v>临街宽度及深度</v>
      </c>
      <c r="R42" s="1386" t="s">
        <v>5</v>
      </c>
      <c r="S42" s="1387">
        <f t="shared" si="9"/>
        <v>100</v>
      </c>
      <c r="T42" s="1386" t="s">
        <v>5</v>
      </c>
      <c r="U42" s="1387">
        <f t="shared" si="10"/>
        <v>100</v>
      </c>
      <c r="V42" s="1386" t="s">
        <v>5</v>
      </c>
      <c r="W42" s="1387">
        <f t="shared" si="11"/>
        <v>100</v>
      </c>
      <c r="X42" s="1380"/>
      <c r="Y42" s="3904"/>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904"/>
      <c r="Q43" s="1385" t="str">
        <f t="shared" si="13"/>
        <v>宗地开发程度</v>
      </c>
      <c r="R43" s="1381" t="s">
        <v>5</v>
      </c>
      <c r="S43" s="1382">
        <f t="shared" si="9"/>
        <v>100</v>
      </c>
      <c r="T43" s="1381" t="s">
        <v>5</v>
      </c>
      <c r="U43" s="1382">
        <f t="shared" si="10"/>
        <v>100</v>
      </c>
      <c r="V43" s="1381" t="s">
        <v>5</v>
      </c>
      <c r="W43" s="1382">
        <f t="shared" si="11"/>
        <v>100</v>
      </c>
      <c r="X43" s="1383"/>
      <c r="Y43" s="3904"/>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904" t="s">
        <v>499</v>
      </c>
      <c r="Q44" s="1385" t="str">
        <f t="shared" si="13"/>
        <v>工程地质条件</v>
      </c>
      <c r="R44" s="1386" t="s">
        <v>5</v>
      </c>
      <c r="S44" s="1387">
        <f t="shared" si="9"/>
        <v>100</v>
      </c>
      <c r="T44" s="1386" t="s">
        <v>5</v>
      </c>
      <c r="U44" s="1387">
        <f t="shared" si="10"/>
        <v>100</v>
      </c>
      <c r="V44" s="1386" t="s">
        <v>5</v>
      </c>
      <c r="W44" s="1387">
        <f t="shared" si="11"/>
        <v>100</v>
      </c>
      <c r="X44" s="1380"/>
      <c r="Y44" s="3904"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04"/>
      <c r="Q45" s="1385">
        <f t="shared" si="13"/>
        <v>111</v>
      </c>
      <c r="R45" s="1386" t="s">
        <v>5</v>
      </c>
      <c r="S45" s="1387">
        <f t="shared" si="9"/>
        <v>100</v>
      </c>
      <c r="T45" s="1386" t="s">
        <v>5</v>
      </c>
      <c r="U45" s="1387">
        <f t="shared" si="10"/>
        <v>100</v>
      </c>
      <c r="V45" s="1386" t="s">
        <v>5</v>
      </c>
      <c r="W45" s="1387">
        <f t="shared" si="11"/>
        <v>100</v>
      </c>
      <c r="X45" s="1380"/>
      <c r="Y45" s="3904"/>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04"/>
      <c r="Q46" s="1385">
        <f t="shared" si="13"/>
        <v>111</v>
      </c>
      <c r="R46" s="1386" t="s">
        <v>5</v>
      </c>
      <c r="S46" s="1387">
        <f t="shared" si="9"/>
        <v>100</v>
      </c>
      <c r="T46" s="1386" t="s">
        <v>5</v>
      </c>
      <c r="U46" s="1387">
        <f t="shared" si="10"/>
        <v>100</v>
      </c>
      <c r="V46" s="1386" t="s">
        <v>5</v>
      </c>
      <c r="W46" s="1387">
        <f t="shared" si="11"/>
        <v>100</v>
      </c>
      <c r="X46" s="1380"/>
      <c r="Y46" s="3904"/>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04"/>
      <c r="Q47" s="1385">
        <f t="shared" si="13"/>
        <v>111</v>
      </c>
      <c r="R47" s="1390" t="s">
        <v>5</v>
      </c>
      <c r="S47" s="1391">
        <f t="shared" si="9"/>
        <v>100</v>
      </c>
      <c r="T47" s="1390" t="s">
        <v>5</v>
      </c>
      <c r="U47" s="1391">
        <f t="shared" si="10"/>
        <v>100</v>
      </c>
      <c r="V47" s="1390" t="s">
        <v>5</v>
      </c>
      <c r="W47" s="1391">
        <f t="shared" si="11"/>
        <v>100</v>
      </c>
      <c r="X47" s="1392"/>
      <c r="Y47" s="3904"/>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868" t="str">
        <f>A48</f>
        <v>成交单价</v>
      </c>
      <c r="Q48" s="3868"/>
      <c r="R48" s="3869">
        <f>E48</f>
        <v>0</v>
      </c>
      <c r="S48" s="3869"/>
      <c r="T48" s="3869">
        <f>G48</f>
        <v>0</v>
      </c>
      <c r="U48" s="3869"/>
      <c r="V48" s="3869">
        <f>I48</f>
        <v>0</v>
      </c>
      <c r="W48" s="3869"/>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68" t="str">
        <f>A49</f>
        <v>比较价格（元/平方米）</v>
      </c>
      <c r="Q49" s="3868"/>
      <c r="R49" s="3870" t="e">
        <f>ROUND(PRODUCT(R48,AA9:AA47),0)</f>
        <v>#DIV/0!</v>
      </c>
      <c r="S49" s="3870"/>
      <c r="T49" s="3870" t="e">
        <f>ROUND(PRODUCT(T48,AB9:AB47),0)</f>
        <v>#DIV/0!</v>
      </c>
      <c r="U49" s="3870"/>
      <c r="V49" s="3870" t="e">
        <f>ROUND(PRODUCT(V48,AC9:AC47),0)</f>
        <v>#DIV/0!</v>
      </c>
      <c r="W49" s="3870"/>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905" t="str">
        <f>A50</f>
        <v>估价对象XX用房的比较价格（楼面单价，元/平方米）</v>
      </c>
      <c r="Q50" s="3906"/>
      <c r="R50" s="3867" t="e">
        <f>ROUND(IF(D49="简单平均",AVERAGE(R49:W49),R49*F49+T49*H49+V49*J49),0)</f>
        <v>#DIV/0!</v>
      </c>
      <c r="S50" s="3867"/>
      <c r="T50" s="3867"/>
      <c r="U50" s="3867"/>
      <c r="V50" s="3867"/>
      <c r="W50" s="3867"/>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94" t="s">
        <v>1639</v>
      </c>
      <c r="H57" s="3895"/>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0</v>
      </c>
      <c r="F58" s="604" t="e">
        <f t="shared" ref="F58:F66" si="14">ROUND(B58*E58/10000,0)</f>
        <v>#DIV/0!</v>
      </c>
      <c r="G58" s="3896"/>
      <c r="H58" s="3897"/>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v>
      </c>
      <c r="D59" s="1948">
        <v>0.25</v>
      </c>
      <c r="E59" s="607">
        <v>0</v>
      </c>
      <c r="F59" s="604" t="e">
        <f t="shared" si="14"/>
        <v>#DIV/0!</v>
      </c>
      <c r="G59" s="3276" t="s">
        <v>1640</v>
      </c>
      <c r="H59" s="1704">
        <f>项目基本情况!B43</f>
        <v>0</v>
      </c>
      <c r="I59" s="1373">
        <f>SUMIF(修正!$A$59:$A$70,H59,修正!B59:B70)</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v>
      </c>
      <c r="D60" s="1948">
        <v>0.25</v>
      </c>
      <c r="E60" s="607">
        <v>0</v>
      </c>
      <c r="F60" s="604" t="e">
        <f t="shared" si="14"/>
        <v>#DIV/0!</v>
      </c>
      <c r="G60" s="3277"/>
      <c r="H60" s="1704">
        <f>项目基本情况!B43</f>
        <v>0</v>
      </c>
      <c r="I60" s="1373">
        <f>SUMIF(修正!$A$59:$A$70,H60,修正!C59:C70)</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v>
      </c>
      <c r="D61" s="1948">
        <v>0.25</v>
      </c>
      <c r="E61" s="607">
        <v>0</v>
      </c>
      <c r="F61" s="604" t="e">
        <f t="shared" si="14"/>
        <v>#DIV/0!</v>
      </c>
      <c r="G61" s="3277"/>
      <c r="H61" s="1704">
        <f>项目基本情况!B43</f>
        <v>0</v>
      </c>
      <c r="I61" s="1373">
        <f>SUMIF(修正!$A$59:$A$70,H61,修正!D59:D70)</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SUMIF(修正!$A$59:$A$70,H62,修正!E59:E70)</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SUMIF(修正!$A$59:$A$70,H63,修正!F59:F70)</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SUMIF(修正!$A$59:$A$70,H64,修正!G59:G70)</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SUMIF(修正!$A$59:$A$70,H65,修正!G59:G70)</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SUMIF(修正!$A$59:$A$70,H66,修正!G59:G70)</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t="e">
        <f>IF(B48="楼面地价",SUM(E58:E66),'数据-汇总表'!D3)</f>
        <v>#DIV/0!</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1900-1-1</v>
      </c>
      <c r="D69" s="2279" t="e">
        <f>EDATE(C69,-3)</f>
        <v>#NUM!</v>
      </c>
      <c r="E69" s="2279" t="e">
        <f t="shared" ref="E69:N69" si="17">EDATE(D69,-3)</f>
        <v>#NUM!</v>
      </c>
      <c r="F69" s="2279" t="e">
        <f t="shared" si="17"/>
        <v>#NUM!</v>
      </c>
      <c r="G69" s="2279" t="e">
        <f t="shared" si="17"/>
        <v>#NUM!</v>
      </c>
      <c r="H69" s="2279" t="e">
        <f t="shared" si="17"/>
        <v>#NUM!</v>
      </c>
      <c r="I69" s="2279" t="e">
        <f t="shared" si="17"/>
        <v>#NUM!</v>
      </c>
      <c r="J69" s="2279" t="e">
        <f t="shared" si="17"/>
        <v>#NUM!</v>
      </c>
      <c r="K69" s="2279" t="e">
        <f t="shared" si="17"/>
        <v>#NUM!</v>
      </c>
      <c r="L69" s="2279" t="e">
        <f t="shared" si="17"/>
        <v>#NUM!</v>
      </c>
      <c r="M69" s="2279" t="e">
        <f t="shared" si="17"/>
        <v>#NUM!</v>
      </c>
      <c r="N69" s="2279" t="e">
        <f t="shared" si="17"/>
        <v>#NUM!</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1900-1</v>
      </c>
      <c r="D71" s="2281" t="e">
        <f>YEAR(D69)&amp;"-"&amp;ROUNDUP(MONTH(D69)/3,0)</f>
        <v>#NUM!</v>
      </c>
      <c r="E71" s="2281" t="e">
        <f t="shared" ref="E71:N71" si="18">YEAR(E69)&amp;"-"&amp;ROUNDUP(MONTH(E69)/3,0)</f>
        <v>#NUM!</v>
      </c>
      <c r="F71" s="2281" t="e">
        <f t="shared" si="18"/>
        <v>#NUM!</v>
      </c>
      <c r="G71" s="2281" t="e">
        <f t="shared" si="18"/>
        <v>#NUM!</v>
      </c>
      <c r="H71" s="2281" t="e">
        <f t="shared" si="18"/>
        <v>#NUM!</v>
      </c>
      <c r="I71" s="2281" t="e">
        <f t="shared" si="18"/>
        <v>#NUM!</v>
      </c>
      <c r="J71" s="2281" t="e">
        <f t="shared" si="18"/>
        <v>#NUM!</v>
      </c>
      <c r="K71" s="2281" t="e">
        <f t="shared" si="18"/>
        <v>#NUM!</v>
      </c>
      <c r="L71" s="2281" t="e">
        <f t="shared" si="18"/>
        <v>#NUM!</v>
      </c>
      <c r="M71" s="2281" t="e">
        <f t="shared" si="18"/>
        <v>#NUM!</v>
      </c>
      <c r="N71" s="2281" t="e">
        <f t="shared" si="18"/>
        <v>#NUM!</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74" t="s">
        <v>471</v>
      </c>
      <c r="D6" s="3875"/>
      <c r="E6" s="3909" t="s">
        <v>472</v>
      </c>
      <c r="F6" s="3910"/>
      <c r="G6" s="3874" t="s">
        <v>473</v>
      </c>
      <c r="H6" s="3875"/>
      <c r="I6" s="3874" t="s">
        <v>474</v>
      </c>
      <c r="J6" s="3875"/>
      <c r="K6" s="484" t="s">
        <v>475</v>
      </c>
      <c r="L6" s="1856"/>
      <c r="M6" s="1857"/>
      <c r="N6" s="1857"/>
      <c r="O6" s="1857"/>
      <c r="P6" s="3876" t="s">
        <v>476</v>
      </c>
      <c r="Q6" s="3877"/>
      <c r="R6" s="3882" t="s">
        <v>472</v>
      </c>
      <c r="S6" s="3883"/>
      <c r="T6" s="3882" t="s">
        <v>473</v>
      </c>
      <c r="U6" s="3883"/>
      <c r="V6" s="3869" t="s">
        <v>474</v>
      </c>
      <c r="W6" s="3869"/>
      <c r="X6" s="1380"/>
      <c r="Y6" s="3882" t="s">
        <v>476</v>
      </c>
      <c r="Z6" s="3883"/>
      <c r="AA6" s="3871" t="s">
        <v>472</v>
      </c>
      <c r="AB6" s="3872" t="s">
        <v>473</v>
      </c>
      <c r="AC6" s="3871" t="s">
        <v>474</v>
      </c>
    </row>
    <row r="7" spans="1:29" ht="15">
      <c r="A7" s="485"/>
      <c r="B7" s="486"/>
      <c r="C7" s="3890" t="s">
        <v>2192</v>
      </c>
      <c r="D7" s="3891"/>
      <c r="E7" s="3911" t="s">
        <v>2193</v>
      </c>
      <c r="F7" s="3912"/>
      <c r="G7" s="3890" t="s">
        <v>2194</v>
      </c>
      <c r="H7" s="3891"/>
      <c r="I7" s="3890" t="s">
        <v>2195</v>
      </c>
      <c r="J7" s="3891"/>
      <c r="K7" s="484"/>
      <c r="L7" s="1856"/>
      <c r="M7" s="1857"/>
      <c r="N7" s="1857"/>
      <c r="O7" s="1857"/>
      <c r="P7" s="3878"/>
      <c r="Q7" s="3879"/>
      <c r="R7" s="3884"/>
      <c r="S7" s="3885"/>
      <c r="T7" s="3884"/>
      <c r="U7" s="3885"/>
      <c r="V7" s="3869"/>
      <c r="W7" s="3869"/>
      <c r="X7" s="1380"/>
      <c r="Y7" s="3884"/>
      <c r="Z7" s="3885"/>
      <c r="AA7" s="3872"/>
      <c r="AB7" s="3872"/>
      <c r="AC7" s="3872"/>
    </row>
    <row r="8" spans="1:29" ht="15.75" thickBot="1">
      <c r="A8" s="487"/>
      <c r="B8" s="488"/>
      <c r="C8" s="3888" t="s">
        <v>2196</v>
      </c>
      <c r="D8" s="3889"/>
      <c r="E8" s="3907" t="s">
        <v>2196</v>
      </c>
      <c r="F8" s="3908"/>
      <c r="G8" s="3888" t="s">
        <v>2196</v>
      </c>
      <c r="H8" s="3889"/>
      <c r="I8" s="3888" t="s">
        <v>2196</v>
      </c>
      <c r="J8" s="3889"/>
      <c r="K8" s="484" t="s">
        <v>477</v>
      </c>
      <c r="L8" s="1856"/>
      <c r="M8" s="1857"/>
      <c r="N8" s="1857"/>
      <c r="O8" s="1857"/>
      <c r="P8" s="3880"/>
      <c r="Q8" s="3881"/>
      <c r="R8" s="3884"/>
      <c r="S8" s="3885"/>
      <c r="T8" s="3886"/>
      <c r="U8" s="3887"/>
      <c r="V8" s="3869"/>
      <c r="W8" s="3869"/>
      <c r="X8" s="1380"/>
      <c r="Y8" s="3886"/>
      <c r="Z8" s="3887"/>
      <c r="AA8" s="3873"/>
      <c r="AB8" s="3873"/>
      <c r="AC8" s="3873"/>
    </row>
    <row r="9" spans="1:29" s="1118" customFormat="1" ht="15.75" thickBot="1">
      <c r="A9" s="2392"/>
      <c r="B9" s="2399" t="s">
        <v>478</v>
      </c>
      <c r="C9" s="489">
        <f>'数据-取费表'!B2</f>
        <v>0</v>
      </c>
      <c r="D9" s="490">
        <v>100</v>
      </c>
      <c r="E9" s="491"/>
      <c r="F9" s="492">
        <f>SUMIF(66:66,YEAR(E9)&amp;"-"&amp;INT((MONTH(E9)+2)/3),67:67)</f>
        <v>100</v>
      </c>
      <c r="G9" s="493"/>
      <c r="H9" s="490">
        <f>SUMIF(66:66,YEAR(G9)&amp;"-"&amp;INT((MONTH(G9)+2)/3),67:67)</f>
        <v>100</v>
      </c>
      <c r="I9" s="493"/>
      <c r="J9" s="490">
        <f>SUMIF(66:66,YEAR(I9)&amp;"-"&amp;INT((MONTH(I9)+2)/3),67:67)</f>
        <v>100</v>
      </c>
      <c r="K9" s="494"/>
      <c r="L9" s="1858"/>
      <c r="M9" s="1859"/>
      <c r="N9" s="1859"/>
      <c r="O9" s="1859"/>
      <c r="P9" s="3898" t="s">
        <v>479</v>
      </c>
      <c r="Q9" s="3900"/>
      <c r="R9" s="1381" t="s">
        <v>5</v>
      </c>
      <c r="S9" s="1382">
        <f t="shared" ref="S9:S17" si="0">F9</f>
        <v>100</v>
      </c>
      <c r="T9" s="1381" t="s">
        <v>5</v>
      </c>
      <c r="U9" s="1382">
        <f t="shared" ref="U9:U17" si="1">H9</f>
        <v>100</v>
      </c>
      <c r="V9" s="1381" t="s">
        <v>5</v>
      </c>
      <c r="W9" s="1382">
        <f t="shared" ref="W9:W17" si="2">J9</f>
        <v>100</v>
      </c>
      <c r="X9" s="1383"/>
      <c r="Y9" s="3898" t="s">
        <v>479</v>
      </c>
      <c r="Z9" s="3899"/>
      <c r="AA9" s="1384">
        <f>D9/F9</f>
        <v>1</v>
      </c>
      <c r="AB9" s="1384">
        <f>D9/H9</f>
        <v>1</v>
      </c>
      <c r="AC9" s="1384">
        <f>D9/J9</f>
        <v>1</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98" t="s">
        <v>482</v>
      </c>
      <c r="Q10" s="3899"/>
      <c r="R10" s="1381" t="s">
        <v>5</v>
      </c>
      <c r="S10" s="1382">
        <f t="shared" si="0"/>
        <v>0</v>
      </c>
      <c r="T10" s="1381" t="s">
        <v>5</v>
      </c>
      <c r="U10" s="1382">
        <f t="shared" si="1"/>
        <v>0</v>
      </c>
      <c r="V10" s="1381" t="s">
        <v>5</v>
      </c>
      <c r="W10" s="1382">
        <f t="shared" si="2"/>
        <v>0</v>
      </c>
      <c r="X10" s="1383"/>
      <c r="Y10" s="3898" t="s">
        <v>482</v>
      </c>
      <c r="Z10" s="3899"/>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68" t="s">
        <v>484</v>
      </c>
      <c r="Q11" s="1050" t="str">
        <f t="shared" ref="Q11:Q17" si="6">B11</f>
        <v>用途</v>
      </c>
      <c r="R11" s="1381" t="s">
        <v>5</v>
      </c>
      <c r="S11" s="1382">
        <f t="shared" si="0"/>
        <v>100</v>
      </c>
      <c r="T11" s="1381" t="s">
        <v>5</v>
      </c>
      <c r="U11" s="1382">
        <f t="shared" si="1"/>
        <v>100</v>
      </c>
      <c r="V11" s="1381" t="s">
        <v>5</v>
      </c>
      <c r="W11" s="1382">
        <f t="shared" si="2"/>
        <v>100</v>
      </c>
      <c r="X11" s="1383"/>
      <c r="Y11" s="3812"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t="e">
        <f>ROUND(100/'数据-取费表'!G16,0)</f>
        <v>#DIV/0!</v>
      </c>
      <c r="G12" s="498"/>
      <c r="H12" s="246" t="e">
        <f>ROUND(100/'数据-取费表'!G16,0)</f>
        <v>#DIV/0!</v>
      </c>
      <c r="I12" s="498"/>
      <c r="J12" s="246" t="e">
        <f>ROUND(100/'数据-取费表'!G16,0)</f>
        <v>#DIV/0!</v>
      </c>
      <c r="K12" s="501"/>
      <c r="L12" s="1861"/>
      <c r="M12" s="1900"/>
      <c r="N12" s="1900"/>
      <c r="O12" s="1862"/>
      <c r="P12" s="3868"/>
      <c r="Q12" s="1050" t="str">
        <f t="shared" si="6"/>
        <v>土地使用年限（年）</v>
      </c>
      <c r="R12" s="1381" t="s">
        <v>5</v>
      </c>
      <c r="S12" s="1382" t="e">
        <f t="shared" si="0"/>
        <v>#DIV/0!</v>
      </c>
      <c r="T12" s="1381" t="s">
        <v>5</v>
      </c>
      <c r="U12" s="1382" t="e">
        <f t="shared" si="1"/>
        <v>#DIV/0!</v>
      </c>
      <c r="V12" s="1381" t="s">
        <v>5</v>
      </c>
      <c r="W12" s="1382" t="e">
        <f t="shared" si="2"/>
        <v>#DIV/0!</v>
      </c>
      <c r="X12" s="1383"/>
      <c r="Y12" s="3812"/>
      <c r="Z12" s="1049" t="str">
        <f t="shared" si="7"/>
        <v>土地使用年限（年）</v>
      </c>
      <c r="AA12" s="1384" t="e">
        <f t="shared" si="3"/>
        <v>#DIV/0!</v>
      </c>
      <c r="AB12" s="1384" t="e">
        <f t="shared" si="4"/>
        <v>#DIV/0!</v>
      </c>
      <c r="AC12" s="1384" t="e">
        <f t="shared" si="5"/>
        <v>#DIV/0!</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68"/>
      <c r="Q13" s="1050" t="str">
        <f t="shared" si="6"/>
        <v>容积率</v>
      </c>
      <c r="R13" s="1381" t="s">
        <v>5</v>
      </c>
      <c r="S13" s="1382" t="e">
        <f t="shared" si="0"/>
        <v>#N/A</v>
      </c>
      <c r="T13" s="1381" t="s">
        <v>5</v>
      </c>
      <c r="U13" s="1382" t="e">
        <f t="shared" si="1"/>
        <v>#N/A</v>
      </c>
      <c r="V13" s="1381" t="s">
        <v>5</v>
      </c>
      <c r="W13" s="1382" t="e">
        <f t="shared" si="2"/>
        <v>#N/A</v>
      </c>
      <c r="X13" s="1383"/>
      <c r="Y13" s="3812"/>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68"/>
      <c r="Q14" s="1050">
        <f t="shared" si="6"/>
        <v>111</v>
      </c>
      <c r="R14" s="1381" t="s">
        <v>5</v>
      </c>
      <c r="S14" s="1382">
        <f t="shared" si="0"/>
        <v>100</v>
      </c>
      <c r="T14" s="1381" t="s">
        <v>5</v>
      </c>
      <c r="U14" s="1382">
        <f t="shared" si="1"/>
        <v>100</v>
      </c>
      <c r="V14" s="1381" t="s">
        <v>5</v>
      </c>
      <c r="W14" s="1382">
        <f t="shared" si="2"/>
        <v>100</v>
      </c>
      <c r="X14" s="1383"/>
      <c r="Y14" s="3812"/>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68"/>
      <c r="Q15" s="1050">
        <f t="shared" si="6"/>
        <v>111</v>
      </c>
      <c r="R15" s="1381" t="s">
        <v>5</v>
      </c>
      <c r="S15" s="1382">
        <f t="shared" si="0"/>
        <v>100</v>
      </c>
      <c r="T15" s="1381" t="s">
        <v>5</v>
      </c>
      <c r="U15" s="1382">
        <f t="shared" si="1"/>
        <v>100</v>
      </c>
      <c r="V15" s="1381" t="s">
        <v>5</v>
      </c>
      <c r="W15" s="1382">
        <f t="shared" si="2"/>
        <v>100</v>
      </c>
      <c r="X15" s="1383"/>
      <c r="Y15" s="3812"/>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68"/>
      <c r="Q16" s="1050">
        <f t="shared" si="6"/>
        <v>111</v>
      </c>
      <c r="R16" s="1381" t="s">
        <v>5</v>
      </c>
      <c r="S16" s="1382">
        <f t="shared" si="0"/>
        <v>100</v>
      </c>
      <c r="T16" s="1381" t="s">
        <v>5</v>
      </c>
      <c r="U16" s="1382">
        <f t="shared" si="1"/>
        <v>100</v>
      </c>
      <c r="V16" s="1381" t="s">
        <v>5</v>
      </c>
      <c r="W16" s="1382">
        <f t="shared" si="2"/>
        <v>100</v>
      </c>
      <c r="X16" s="1383"/>
      <c r="Y16" s="3812"/>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901" t="s">
        <v>489</v>
      </c>
      <c r="Q17" s="1385" t="str">
        <f t="shared" si="6"/>
        <v>产业集聚程度</v>
      </c>
      <c r="R17" s="1386" t="s">
        <v>5</v>
      </c>
      <c r="S17" s="1387">
        <f t="shared" si="0"/>
        <v>100</v>
      </c>
      <c r="T17" s="1386" t="s">
        <v>5</v>
      </c>
      <c r="U17" s="1387">
        <f t="shared" si="1"/>
        <v>100</v>
      </c>
      <c r="V17" s="1386" t="s">
        <v>5</v>
      </c>
      <c r="W17" s="1387">
        <f t="shared" si="2"/>
        <v>100</v>
      </c>
      <c r="X17" s="1380"/>
      <c r="Y17" s="3901"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902"/>
      <c r="Q18" s="1385"/>
      <c r="R18" s="1386"/>
      <c r="S18" s="1387"/>
      <c r="T18" s="1386"/>
      <c r="U18" s="1387"/>
      <c r="V18" s="1386"/>
      <c r="W18" s="1387"/>
      <c r="X18" s="1380"/>
      <c r="Y18" s="3902"/>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902"/>
      <c r="Q19" s="1385" t="str">
        <f>B19</f>
        <v>交通便捷度</v>
      </c>
      <c r="R19" s="1386" t="s">
        <v>5</v>
      </c>
      <c r="S19" s="1387">
        <f>F19</f>
        <v>100</v>
      </c>
      <c r="T19" s="1386" t="s">
        <v>5</v>
      </c>
      <c r="U19" s="1387">
        <f>H19</f>
        <v>100</v>
      </c>
      <c r="V19" s="1386" t="s">
        <v>5</v>
      </c>
      <c r="W19" s="1387">
        <f>J19</f>
        <v>100</v>
      </c>
      <c r="X19" s="1380"/>
      <c r="Y19" s="3902"/>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902"/>
      <c r="Q20" s="1385"/>
      <c r="R20" s="1386"/>
      <c r="S20" s="1387"/>
      <c r="T20" s="1386"/>
      <c r="U20" s="1387"/>
      <c r="V20" s="1386"/>
      <c r="W20" s="1387"/>
      <c r="X20" s="1380"/>
      <c r="Y20" s="3902"/>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02"/>
      <c r="Q21" s="1385" t="str">
        <f t="shared" ref="Q21:Q35" si="8">B21</f>
        <v>区域土地利用方向</v>
      </c>
      <c r="R21" s="1386" t="s">
        <v>5</v>
      </c>
      <c r="S21" s="1387">
        <f>F21</f>
        <v>100</v>
      </c>
      <c r="T21" s="1386" t="s">
        <v>5</v>
      </c>
      <c r="U21" s="1387">
        <f>H21</f>
        <v>100</v>
      </c>
      <c r="V21" s="1386" t="s">
        <v>5</v>
      </c>
      <c r="W21" s="1387">
        <f>J21</f>
        <v>100</v>
      </c>
      <c r="X21" s="1380"/>
      <c r="Y21" s="3902"/>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902"/>
      <c r="Q22" s="1385"/>
      <c r="R22" s="1386"/>
      <c r="S22" s="1387"/>
      <c r="T22" s="1386"/>
      <c r="U22" s="1387"/>
      <c r="V22" s="1386"/>
      <c r="W22" s="1387"/>
      <c r="X22" s="1380"/>
      <c r="Y22" s="3902"/>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02"/>
      <c r="Q23" s="1385" t="str">
        <f t="shared" si="8"/>
        <v>环境状况</v>
      </c>
      <c r="R23" s="1386" t="s">
        <v>5</v>
      </c>
      <c r="S23" s="1387">
        <f>F23</f>
        <v>100</v>
      </c>
      <c r="T23" s="1386" t="s">
        <v>5</v>
      </c>
      <c r="U23" s="1387">
        <f>H23</f>
        <v>100</v>
      </c>
      <c r="V23" s="1386" t="s">
        <v>5</v>
      </c>
      <c r="W23" s="1387">
        <f>J23</f>
        <v>100</v>
      </c>
      <c r="X23" s="1380"/>
      <c r="Y23" s="3902"/>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902"/>
      <c r="Q24" s="1385"/>
      <c r="R24" s="1386"/>
      <c r="S24" s="1387"/>
      <c r="T24" s="1386"/>
      <c r="U24" s="1387"/>
      <c r="V24" s="1386"/>
      <c r="W24" s="1387"/>
      <c r="X24" s="1380"/>
      <c r="Y24" s="3902"/>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902"/>
      <c r="Q25" s="1050" t="str">
        <f t="shared" si="8"/>
        <v>公共配套设施</v>
      </c>
      <c r="R25" s="1381" t="s">
        <v>5</v>
      </c>
      <c r="S25" s="1382">
        <f>F25</f>
        <v>100</v>
      </c>
      <c r="T25" s="1381" t="s">
        <v>5</v>
      </c>
      <c r="U25" s="1382">
        <f>H25</f>
        <v>100</v>
      </c>
      <c r="V25" s="1381" t="s">
        <v>5</v>
      </c>
      <c r="W25" s="1382">
        <f>J25</f>
        <v>100</v>
      </c>
      <c r="X25" s="1383"/>
      <c r="Y25" s="3902"/>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902"/>
      <c r="Q26" s="1050"/>
      <c r="R26" s="1381"/>
      <c r="S26" s="1382"/>
      <c r="T26" s="1381"/>
      <c r="U26" s="1382"/>
      <c r="V26" s="1381"/>
      <c r="W26" s="1382"/>
      <c r="X26" s="1383"/>
      <c r="Y26" s="3902"/>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02"/>
      <c r="Q27" s="2192" t="str">
        <f>B27</f>
        <v>基础设施水平</v>
      </c>
      <c r="R27" s="1381" t="s">
        <v>5</v>
      </c>
      <c r="S27" s="1382">
        <f>F27</f>
        <v>100</v>
      </c>
      <c r="T27" s="1381" t="s">
        <v>5</v>
      </c>
      <c r="U27" s="1382">
        <f>H27</f>
        <v>100</v>
      </c>
      <c r="V27" s="1381" t="s">
        <v>5</v>
      </c>
      <c r="W27" s="1382">
        <f>J27</f>
        <v>100</v>
      </c>
      <c r="X27" s="1383"/>
      <c r="Y27" s="3902"/>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902"/>
      <c r="Q28" s="2192"/>
      <c r="R28" s="1381"/>
      <c r="S28" s="1382"/>
      <c r="T28" s="1381"/>
      <c r="U28" s="1382"/>
      <c r="V28" s="1381"/>
      <c r="W28" s="1382"/>
      <c r="X28" s="1383"/>
      <c r="Y28" s="3902"/>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02"/>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02"/>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02"/>
      <c r="Q30" s="1385" t="str">
        <f t="shared" si="8"/>
        <v>毗邻道路的类型与等级</v>
      </c>
      <c r="R30" s="1386" t="s">
        <v>5</v>
      </c>
      <c r="S30" s="1387">
        <f t="shared" si="9"/>
        <v>100</v>
      </c>
      <c r="T30" s="1386" t="s">
        <v>5</v>
      </c>
      <c r="U30" s="1387">
        <f t="shared" si="10"/>
        <v>100</v>
      </c>
      <c r="V30" s="1386" t="s">
        <v>5</v>
      </c>
      <c r="W30" s="1387">
        <f t="shared" si="11"/>
        <v>100</v>
      </c>
      <c r="X30" s="1380"/>
      <c r="Y30" s="3902"/>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02"/>
      <c r="Q31" s="1385"/>
      <c r="R31" s="1386"/>
      <c r="S31" s="1387"/>
      <c r="T31" s="1386"/>
      <c r="U31" s="1387"/>
      <c r="V31" s="1386"/>
      <c r="W31" s="1387"/>
      <c r="X31" s="1380"/>
      <c r="Y31" s="3902"/>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02"/>
      <c r="Q32" s="1385" t="str">
        <f t="shared" si="8"/>
        <v>土地级别</v>
      </c>
      <c r="R32" s="1386" t="s">
        <v>5</v>
      </c>
      <c r="S32" s="1387">
        <f t="shared" si="9"/>
        <v>100</v>
      </c>
      <c r="T32" s="1386" t="s">
        <v>5</v>
      </c>
      <c r="U32" s="1387">
        <f t="shared" si="10"/>
        <v>100</v>
      </c>
      <c r="V32" s="1386" t="s">
        <v>5</v>
      </c>
      <c r="W32" s="1387">
        <f t="shared" si="11"/>
        <v>100</v>
      </c>
      <c r="X32" s="1380"/>
      <c r="Y32" s="3902"/>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02"/>
      <c r="Q33" s="1385">
        <f t="shared" si="8"/>
        <v>111</v>
      </c>
      <c r="R33" s="1386" t="s">
        <v>5</v>
      </c>
      <c r="S33" s="1387">
        <f t="shared" si="9"/>
        <v>100</v>
      </c>
      <c r="T33" s="1386" t="s">
        <v>5</v>
      </c>
      <c r="U33" s="1387">
        <f t="shared" si="10"/>
        <v>100</v>
      </c>
      <c r="V33" s="1386" t="s">
        <v>5</v>
      </c>
      <c r="W33" s="1387">
        <f t="shared" si="11"/>
        <v>100</v>
      </c>
      <c r="X33" s="1380"/>
      <c r="Y33" s="3902"/>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03" t="s">
        <v>499</v>
      </c>
      <c r="Q34" s="1385">
        <f t="shared" si="8"/>
        <v>111</v>
      </c>
      <c r="R34" s="1386" t="s">
        <v>5</v>
      </c>
      <c r="S34" s="1387">
        <f t="shared" si="9"/>
        <v>100</v>
      </c>
      <c r="T34" s="1386" t="s">
        <v>5</v>
      </c>
      <c r="U34" s="1387">
        <f t="shared" si="10"/>
        <v>100</v>
      </c>
      <c r="V34" s="1386" t="s">
        <v>5</v>
      </c>
      <c r="W34" s="1387">
        <f t="shared" si="11"/>
        <v>100</v>
      </c>
      <c r="X34" s="1380"/>
      <c r="Y34" s="3904"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04"/>
      <c r="Q35" s="1385">
        <f t="shared" si="8"/>
        <v>111</v>
      </c>
      <c r="R35" s="1390" t="s">
        <v>5</v>
      </c>
      <c r="S35" s="1391">
        <f t="shared" si="9"/>
        <v>100</v>
      </c>
      <c r="T35" s="1390" t="s">
        <v>5</v>
      </c>
      <c r="U35" s="1391">
        <f t="shared" si="10"/>
        <v>100</v>
      </c>
      <c r="V35" s="1390" t="s">
        <v>5</v>
      </c>
      <c r="W35" s="1391">
        <f t="shared" si="11"/>
        <v>100</v>
      </c>
      <c r="X35" s="1392"/>
      <c r="Y35" s="3904"/>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904"/>
      <c r="Q36" s="1385" t="str">
        <f>B36</f>
        <v>宗地面积</v>
      </c>
      <c r="R36" s="1386" t="s">
        <v>5</v>
      </c>
      <c r="S36" s="1387" t="e">
        <f t="shared" si="9"/>
        <v>#N/A</v>
      </c>
      <c r="T36" s="1386" t="s">
        <v>5</v>
      </c>
      <c r="U36" s="1387" t="e">
        <f t="shared" si="10"/>
        <v>#N/A</v>
      </c>
      <c r="V36" s="1386" t="s">
        <v>5</v>
      </c>
      <c r="W36" s="1387" t="e">
        <f t="shared" si="11"/>
        <v>#N/A</v>
      </c>
      <c r="X36" s="1380"/>
      <c r="Y36" s="3904"/>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04"/>
      <c r="Q37" s="1385" t="str">
        <f t="shared" ref="Q37:Q42" si="13">B37</f>
        <v>宗地形状</v>
      </c>
      <c r="R37" s="1386" t="s">
        <v>5</v>
      </c>
      <c r="S37" s="1387">
        <f t="shared" si="9"/>
        <v>100</v>
      </c>
      <c r="T37" s="1386" t="s">
        <v>5</v>
      </c>
      <c r="U37" s="1387">
        <f t="shared" si="10"/>
        <v>100</v>
      </c>
      <c r="V37" s="1386" t="s">
        <v>5</v>
      </c>
      <c r="W37" s="1387">
        <f t="shared" si="11"/>
        <v>100</v>
      </c>
      <c r="X37" s="1380"/>
      <c r="Y37" s="3904"/>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04"/>
      <c r="Q38" s="1385" t="str">
        <f t="shared" si="13"/>
        <v>宗地开发程度</v>
      </c>
      <c r="R38" s="1381" t="s">
        <v>5</v>
      </c>
      <c r="S38" s="1382">
        <f t="shared" si="9"/>
        <v>100</v>
      </c>
      <c r="T38" s="1381" t="s">
        <v>5</v>
      </c>
      <c r="U38" s="1382">
        <f t="shared" si="10"/>
        <v>100</v>
      </c>
      <c r="V38" s="1381" t="s">
        <v>5</v>
      </c>
      <c r="W38" s="1382">
        <f t="shared" si="11"/>
        <v>100</v>
      </c>
      <c r="X38" s="1383"/>
      <c r="Y38" s="3904"/>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04" t="s">
        <v>549</v>
      </c>
      <c r="Q39" s="1385" t="str">
        <f t="shared" si="13"/>
        <v>工程地质条件</v>
      </c>
      <c r="R39" s="1386" t="s">
        <v>5</v>
      </c>
      <c r="S39" s="1387">
        <f t="shared" si="9"/>
        <v>100</v>
      </c>
      <c r="T39" s="1386" t="s">
        <v>5</v>
      </c>
      <c r="U39" s="1387">
        <f t="shared" si="10"/>
        <v>100</v>
      </c>
      <c r="V39" s="1386" t="s">
        <v>5</v>
      </c>
      <c r="W39" s="1387">
        <f t="shared" si="11"/>
        <v>100</v>
      </c>
      <c r="X39" s="1380"/>
      <c r="Y39" s="3904"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04"/>
      <c r="Q40" s="1385">
        <f t="shared" si="13"/>
        <v>111</v>
      </c>
      <c r="R40" s="1386" t="s">
        <v>5</v>
      </c>
      <c r="S40" s="1387">
        <f t="shared" si="9"/>
        <v>100</v>
      </c>
      <c r="T40" s="1386" t="s">
        <v>5</v>
      </c>
      <c r="U40" s="1387">
        <f t="shared" si="10"/>
        <v>100</v>
      </c>
      <c r="V40" s="1386" t="s">
        <v>5</v>
      </c>
      <c r="W40" s="1387">
        <f t="shared" si="11"/>
        <v>100</v>
      </c>
      <c r="X40" s="1380"/>
      <c r="Y40" s="3904"/>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04"/>
      <c r="Q41" s="1385">
        <f t="shared" si="13"/>
        <v>111</v>
      </c>
      <c r="R41" s="1386" t="s">
        <v>5</v>
      </c>
      <c r="S41" s="1387">
        <f t="shared" si="9"/>
        <v>100</v>
      </c>
      <c r="T41" s="1386" t="s">
        <v>5</v>
      </c>
      <c r="U41" s="1387">
        <f t="shared" si="10"/>
        <v>100</v>
      </c>
      <c r="V41" s="1386" t="s">
        <v>5</v>
      </c>
      <c r="W41" s="1387">
        <f t="shared" si="11"/>
        <v>100</v>
      </c>
      <c r="X41" s="1380"/>
      <c r="Y41" s="3904"/>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04"/>
      <c r="Q42" s="1385">
        <f t="shared" si="13"/>
        <v>111</v>
      </c>
      <c r="R42" s="1390" t="s">
        <v>5</v>
      </c>
      <c r="S42" s="1391">
        <f t="shared" si="9"/>
        <v>100</v>
      </c>
      <c r="T42" s="1390" t="s">
        <v>5</v>
      </c>
      <c r="U42" s="1391">
        <f t="shared" si="10"/>
        <v>100</v>
      </c>
      <c r="V42" s="1390" t="s">
        <v>5</v>
      </c>
      <c r="W42" s="1391">
        <f t="shared" si="11"/>
        <v>100</v>
      </c>
      <c r="X42" s="1392"/>
      <c r="Y42" s="3904"/>
      <c r="Z42" s="1393">
        <f t="shared" si="12"/>
        <v>111</v>
      </c>
      <c r="AA42" s="1389">
        <f t="shared" si="3"/>
        <v>1</v>
      </c>
      <c r="AB42" s="1389">
        <f t="shared" si="4"/>
        <v>1</v>
      </c>
      <c r="AC42" s="1389">
        <f t="shared" si="5"/>
        <v>1</v>
      </c>
    </row>
    <row r="43" spans="1:29" ht="15">
      <c r="A43" s="577" t="s">
        <v>505</v>
      </c>
      <c r="B43" s="578" t="s">
        <v>2197</v>
      </c>
      <c r="C43" s="579" t="s">
        <v>0</v>
      </c>
      <c r="D43" s="580"/>
      <c r="E43" s="581"/>
      <c r="F43" s="582"/>
      <c r="G43" s="583"/>
      <c r="H43" s="584"/>
      <c r="I43" s="581"/>
      <c r="J43" s="584"/>
      <c r="K43" s="1201"/>
      <c r="L43" s="1867"/>
      <c r="M43" s="1857"/>
      <c r="N43" s="1857"/>
      <c r="O43" s="1868"/>
      <c r="P43" s="3868" t="str">
        <f>A43</f>
        <v>成交单价</v>
      </c>
      <c r="Q43" s="3868"/>
      <c r="R43" s="3869">
        <f>E43</f>
        <v>0</v>
      </c>
      <c r="S43" s="3869"/>
      <c r="T43" s="3869">
        <f>G43</f>
        <v>0</v>
      </c>
      <c r="U43" s="3869"/>
      <c r="V43" s="3869">
        <f>I43</f>
        <v>0</v>
      </c>
      <c r="W43" s="3869"/>
      <c r="X43" s="1375"/>
      <c r="Y43" s="1394"/>
      <c r="Z43" s="1375"/>
      <c r="AA43" s="1375"/>
      <c r="AB43" s="1375"/>
      <c r="AC43" s="1375"/>
    </row>
    <row r="44" spans="1:29" ht="15.7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868" t="str">
        <f>A44</f>
        <v>比较价格（元/平方米）</v>
      </c>
      <c r="Q44" s="3868"/>
      <c r="R44" s="3870" t="e">
        <f>ROUND(PRODUCT(R43,AA9:AA42),0)</f>
        <v>#DIV/0!</v>
      </c>
      <c r="S44" s="3870"/>
      <c r="T44" s="3870" t="e">
        <f>ROUND(PRODUCT(T43,AB9:AB42),0)</f>
        <v>#DIV/0!</v>
      </c>
      <c r="U44" s="3870"/>
      <c r="V44" s="3870" t="e">
        <f>ROUND(PRODUCT(V43,AC9:AC42),0)</f>
        <v>#DIV/0!</v>
      </c>
      <c r="W44" s="3870"/>
      <c r="X44" s="1375"/>
      <c r="Y44" s="1375"/>
      <c r="Z44" s="1375"/>
      <c r="AA44" s="1375"/>
      <c r="AB44" s="1375"/>
      <c r="AC44" s="1375"/>
    </row>
    <row r="45" spans="1:29" ht="15.75" thickBot="1">
      <c r="A45" s="589" t="s">
        <v>2198</v>
      </c>
      <c r="B45" s="590"/>
      <c r="C45" s="591" t="e">
        <f>R45</f>
        <v>#DIV/0!</v>
      </c>
      <c r="D45" s="591"/>
      <c r="E45" s="591"/>
      <c r="F45" s="591"/>
      <c r="G45" s="591"/>
      <c r="H45" s="591"/>
      <c r="I45" s="591"/>
      <c r="J45" s="591"/>
      <c r="K45" s="1202"/>
      <c r="L45" s="1867"/>
      <c r="M45" s="1857"/>
      <c r="N45" s="1857"/>
      <c r="O45" s="1868"/>
      <c r="P45" s="3905" t="str">
        <f>A45</f>
        <v>估价对象XX用房的比较价格（楼面单价，元/平方米）</v>
      </c>
      <c r="Q45" s="3906"/>
      <c r="R45" s="3917" t="e">
        <f>ROUND(IF(D44="简单平均",AVERAGE(R44:W44),R44*F44+T44*H44+V44*J44),0)</f>
        <v>#DIV/0!</v>
      </c>
      <c r="S45" s="3917"/>
      <c r="T45" s="3917"/>
      <c r="U45" s="3917"/>
      <c r="V45" s="3917"/>
      <c r="W45" s="3917"/>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13" t="s">
        <v>1642</v>
      </c>
      <c r="H52" s="3914"/>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0</v>
      </c>
      <c r="F53" s="1706" t="e">
        <f t="shared" ref="F53:F61" si="14">ROUND(B53*E53/10000,0)</f>
        <v>#DIV/0!</v>
      </c>
      <c r="G53" s="3915"/>
      <c r="H53" s="3916"/>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v>
      </c>
      <c r="D54" s="1948">
        <v>0.25</v>
      </c>
      <c r="E54" s="607"/>
      <c r="F54" s="1706" t="e">
        <f t="shared" si="14"/>
        <v>#DIV/0!</v>
      </c>
      <c r="G54" s="3278" t="s">
        <v>1643</v>
      </c>
      <c r="H54" s="1710">
        <f>项目基本情况!B43</f>
        <v>0</v>
      </c>
      <c r="I54" s="1709">
        <f>SUMIF(修正!$A$59:$A$70,H54,修正!B59:B70)</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v>
      </c>
      <c r="D55" s="1948">
        <v>0.25</v>
      </c>
      <c r="E55" s="607"/>
      <c r="F55" s="1706" t="e">
        <f t="shared" si="14"/>
        <v>#DIV/0!</v>
      </c>
      <c r="G55" s="3279"/>
      <c r="H55" s="1711">
        <f>项目基本情况!B43</f>
        <v>0</v>
      </c>
      <c r="I55" s="1709">
        <f>SUMIF(修正!$A$59:$A$70,H55,修正!C59:C70)</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v>
      </c>
      <c r="D56" s="1948">
        <v>0.25</v>
      </c>
      <c r="E56" s="607"/>
      <c r="F56" s="1706" t="e">
        <f t="shared" si="14"/>
        <v>#DIV/0!</v>
      </c>
      <c r="G56" s="3279"/>
      <c r="H56" s="1711">
        <f>项目基本情况!B43</f>
        <v>0</v>
      </c>
      <c r="I56" s="1709">
        <f>SUMIF(修正!$A$59:$A$70,H56,修正!D59:D70)</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SUMIF(修正!$A$59:$A$70,H57,修正!E59:E70)</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SUMIF(修正!$A$59:$A$70,H58,修正!F59:F70)</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SUMIF(修正!$A$59:$A$70,H59,修正!G59:G70)</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v>
      </c>
      <c r="D60" s="1948">
        <v>0.25</v>
      </c>
      <c r="E60" s="609">
        <f>'数据-汇总表'!E14</f>
        <v>0</v>
      </c>
      <c r="F60" s="1706" t="e">
        <f t="shared" si="14"/>
        <v>#DIV/0!</v>
      </c>
      <c r="G60" s="1712" t="s">
        <v>1643</v>
      </c>
      <c r="H60" s="1711">
        <f>项目基本情况!B43</f>
        <v>0</v>
      </c>
      <c r="I60" s="1709">
        <f>SUMIF(修正!$A$59:$A$70,H60,修正!G59:G70)</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SUMIF(修正!$A$59:$A$70,H61,修正!G59:G70)</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t="e">
        <f>IF(B43="楼面地价",SUM(E53:E61),'数据-汇总表'!D3)</f>
        <v>#DIV/0!</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1900-1-1</v>
      </c>
      <c r="D64" s="2279" t="e">
        <f>EDATE(C64,-3)</f>
        <v>#NUM!</v>
      </c>
      <c r="E64" s="2279" t="e">
        <f t="shared" ref="E64:N64" si="17">EDATE(D64,-3)</f>
        <v>#NUM!</v>
      </c>
      <c r="F64" s="2279" t="e">
        <f t="shared" si="17"/>
        <v>#NUM!</v>
      </c>
      <c r="G64" s="2279" t="e">
        <f t="shared" si="17"/>
        <v>#NUM!</v>
      </c>
      <c r="H64" s="2279" t="e">
        <f t="shared" si="17"/>
        <v>#NUM!</v>
      </c>
      <c r="I64" s="2279" t="e">
        <f t="shared" si="17"/>
        <v>#NUM!</v>
      </c>
      <c r="J64" s="2279" t="e">
        <f t="shared" si="17"/>
        <v>#NUM!</v>
      </c>
      <c r="K64" s="2279" t="e">
        <f t="shared" si="17"/>
        <v>#NUM!</v>
      </c>
      <c r="L64" s="2279" t="e">
        <f t="shared" si="17"/>
        <v>#NUM!</v>
      </c>
      <c r="M64" s="2279" t="e">
        <f t="shared" si="17"/>
        <v>#NUM!</v>
      </c>
      <c r="N64" s="2279" t="e">
        <f t="shared" si="17"/>
        <v>#NUM!</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1900-1</v>
      </c>
      <c r="D66" s="2281" t="e">
        <f t="shared" ref="D66:N66" si="18">YEAR(D64)&amp;"-"&amp;ROUNDUP(MONTH(D64)/3,0)</f>
        <v>#NUM!</v>
      </c>
      <c r="E66" s="2281" t="e">
        <f t="shared" si="18"/>
        <v>#NUM!</v>
      </c>
      <c r="F66" s="2281" t="e">
        <f t="shared" si="18"/>
        <v>#NUM!</v>
      </c>
      <c r="G66" s="2281" t="e">
        <f t="shared" si="18"/>
        <v>#NUM!</v>
      </c>
      <c r="H66" s="2281" t="e">
        <f t="shared" si="18"/>
        <v>#NUM!</v>
      </c>
      <c r="I66" s="2281" t="e">
        <f t="shared" si="18"/>
        <v>#NUM!</v>
      </c>
      <c r="J66" s="2281" t="e">
        <f t="shared" si="18"/>
        <v>#NUM!</v>
      </c>
      <c r="K66" s="2281" t="e">
        <f t="shared" si="18"/>
        <v>#NUM!</v>
      </c>
      <c r="L66" s="2281" t="e">
        <f t="shared" si="18"/>
        <v>#NUM!</v>
      </c>
      <c r="M66" s="2281" t="e">
        <f t="shared" si="18"/>
        <v>#NUM!</v>
      </c>
      <c r="N66" s="2281" t="e">
        <f t="shared" si="18"/>
        <v>#NUM!</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1" zoomScale="90" zoomScaleNormal="60" zoomScaleSheetLayoutView="90" workbookViewId="0">
      <selection activeCell="C23" sqref="C23"/>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0</v>
      </c>
      <c r="T2" s="2416" t="e">
        <f>ROUND($C$5*$C$22*$C$23*$C$24*S2*$C$28,0)</f>
        <v>#DIV/0!</v>
      </c>
      <c r="U2" s="2406"/>
      <c r="V2" s="2416" t="e">
        <f>ROUND(T2*U2/10000,0)</f>
        <v>#DIV/0!</v>
      </c>
      <c r="W2" s="1911"/>
      <c r="X2" s="1911"/>
      <c r="Y2" s="1911"/>
      <c r="Z2" s="1911"/>
      <c r="AA2" s="1911"/>
      <c r="AB2" s="1911"/>
      <c r="AC2" s="1912"/>
    </row>
    <row r="3" spans="1:39" ht="15.75">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0</v>
      </c>
      <c r="T3" s="2416" t="e">
        <f t="shared" ref="T3:T16" si="0">ROUND($C$5*$C$22*$C$23*$C$24*S3*$C$28,0)</f>
        <v>#DIV/0!</v>
      </c>
      <c r="U3" s="2406"/>
      <c r="V3" s="2416" t="e">
        <f t="shared" ref="V3:V16" si="1">ROUND(T3*U3/10000,0)</f>
        <v>#DIV/0!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v>
      </c>
      <c r="T4" s="2416" t="e">
        <f t="shared" si="0"/>
        <v>#DIV/0!</v>
      </c>
      <c r="U4" s="2406"/>
      <c r="V4" s="2416" t="e">
        <f t="shared" si="1"/>
        <v>#DIV/0!</v>
      </c>
      <c r="W4" s="1911"/>
      <c r="X4" s="1911"/>
      <c r="Y4" s="1911"/>
      <c r="Z4" s="1911"/>
      <c r="AA4" s="1911"/>
      <c r="AB4" s="1911"/>
      <c r="AC4" s="1912"/>
    </row>
    <row r="5" spans="1:39" s="1276" customFormat="1" ht="15.75" thickBot="1">
      <c r="A5" s="1444" t="s">
        <v>1352</v>
      </c>
      <c r="B5" s="1270" t="s">
        <v>859</v>
      </c>
      <c r="C5" s="994" t="e">
        <f>ROUND(IF(E2="商业",C6*C7*C17+C20,(IF(E2="住宅",C6*C13*C17+C20,IF(E2="办公",C6*C12*C17+C20,C6+C20)))),0)</f>
        <v>#DIV/0!</v>
      </c>
      <c r="D5" s="2548" t="e">
        <f>ROUND(C6*C17+C20,0)</f>
        <v>#DIV/0!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v>
      </c>
      <c r="T5" s="2416" t="e">
        <f t="shared" si="0"/>
        <v>#DIV/0!</v>
      </c>
      <c r="U5" s="2406"/>
      <c r="V5" s="2416" t="e">
        <f t="shared" si="1"/>
        <v>#DIV/0!</v>
      </c>
      <c r="W5" s="1911"/>
      <c r="X5" s="1911"/>
      <c r="Y5" s="1911"/>
      <c r="Z5" s="1911"/>
      <c r="AA5" s="1911"/>
      <c r="AB5" s="1911"/>
      <c r="AC5" s="1913"/>
      <c r="AD5" s="1274"/>
      <c r="AE5" s="1274"/>
      <c r="AF5" s="1274"/>
      <c r="AG5" s="1274"/>
      <c r="AH5" s="1274"/>
      <c r="AI5" s="1274"/>
      <c r="AJ5" s="1275"/>
      <c r="AK5" s="1275"/>
      <c r="AL5" s="1275"/>
      <c r="AM5" s="1275"/>
    </row>
    <row r="6" spans="1:39" ht="15.75" thickBot="1">
      <c r="A6" s="3520" t="s">
        <v>1395</v>
      </c>
      <c r="B6" s="1277" t="s">
        <v>859</v>
      </c>
      <c r="C6" s="3521">
        <f>SUMIF(L1:L12,G2,M1:M12)</f>
        <v>0</v>
      </c>
      <c r="D6" s="3522" t="s">
        <v>1228</v>
      </c>
      <c r="E6" s="1277"/>
      <c r="F6" s="1277"/>
      <c r="G6" s="3523"/>
      <c r="H6" s="3523"/>
      <c r="I6" s="3523"/>
      <c r="J6" s="3524"/>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v>
      </c>
      <c r="T6" s="2416" t="e">
        <f t="shared" si="0"/>
        <v>#DIV/0!</v>
      </c>
      <c r="U6" s="2406"/>
      <c r="V6" s="2416" t="e">
        <f t="shared" si="1"/>
        <v>#DIV/0!</v>
      </c>
      <c r="W6" s="1911"/>
      <c r="X6" s="1911"/>
      <c r="Y6" s="1911"/>
      <c r="Z6" s="1911"/>
      <c r="AA6" s="1911"/>
      <c r="AB6" s="1911"/>
      <c r="AC6" s="1913"/>
      <c r="AD6" s="1274"/>
      <c r="AE6" s="1274"/>
      <c r="AF6" s="1274"/>
      <c r="AG6" s="1274"/>
      <c r="AH6" s="1274"/>
      <c r="AI6" s="1274"/>
      <c r="AJ6" s="1275"/>
    </row>
    <row r="7" spans="1:39" ht="24.75" thickBot="1">
      <c r="A7" s="3525" t="s">
        <v>3191</v>
      </c>
      <c r="B7" s="1278" t="s">
        <v>860</v>
      </c>
      <c r="C7" s="3526" t="e">
        <f>IF(C8="不临65条商业街",1,ROUND(1+(1.6*E8+1.2*E9+0.8*E10+0.4*E11)*C9,4))</f>
        <v>#DIV/0!</v>
      </c>
      <c r="D7" s="3527" t="s">
        <v>861</v>
      </c>
      <c r="E7" s="3528"/>
      <c r="F7" s="3529"/>
      <c r="G7" s="3529"/>
      <c r="H7" s="3529"/>
      <c r="I7" s="3529"/>
      <c r="J7" s="3530"/>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t="e">
        <f t="shared" si="0"/>
        <v>#DIV/0!</v>
      </c>
      <c r="U7" s="2406"/>
      <c r="V7" s="2416" t="e">
        <f t="shared" si="1"/>
        <v>#DIV/0!</v>
      </c>
      <c r="W7" s="2414" t="s">
        <v>2046</v>
      </c>
      <c r="X7" s="2407">
        <f>G2</f>
        <v>0</v>
      </c>
      <c r="Y7" s="2407" t="s">
        <v>2047</v>
      </c>
      <c r="Z7" s="2408">
        <f>G3</f>
        <v>0</v>
      </c>
      <c r="AA7" s="1914"/>
      <c r="AB7" s="1914"/>
      <c r="AC7" s="1915"/>
      <c r="AD7" s="2409"/>
      <c r="AE7" s="2409"/>
      <c r="AF7" s="2409"/>
      <c r="AG7" s="2409"/>
      <c r="AH7" s="2409"/>
      <c r="AI7" s="2409"/>
      <c r="AJ7" s="2410"/>
    </row>
    <row r="8" spans="1:39" ht="15">
      <c r="A8" s="3531"/>
      <c r="B8" s="1269" t="s">
        <v>862</v>
      </c>
      <c r="C8" s="3532"/>
      <c r="D8" s="3533" t="s">
        <v>863</v>
      </c>
      <c r="E8" s="3534" t="e">
        <f>ROUND(C11/E7,4)</f>
        <v>#DIV/0!</v>
      </c>
      <c r="F8" s="3535" t="s">
        <v>864</v>
      </c>
      <c r="G8" s="3536"/>
      <c r="H8" s="3536"/>
      <c r="I8" s="3536"/>
      <c r="J8" s="3537"/>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t="e">
        <f t="shared" si="0"/>
        <v>#DIV/0!</v>
      </c>
      <c r="U8" s="2406"/>
      <c r="V8" s="2416" t="e">
        <f t="shared" si="1"/>
        <v>#DIV/0!</v>
      </c>
      <c r="W8" s="3919" t="s">
        <v>2060</v>
      </c>
      <c r="X8" s="3920"/>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1"/>
      <c r="B9" s="1269" t="s">
        <v>865</v>
      </c>
      <c r="C9" s="3538">
        <f>SUMIF(修正!C73:C141,C8,修正!E73:E141)</f>
        <v>0</v>
      </c>
      <c r="D9" s="3539" t="s">
        <v>866</v>
      </c>
      <c r="E9" s="3539" t="e">
        <f>ROUND(C11/E7,4)</f>
        <v>#DIV/0!</v>
      </c>
      <c r="F9" s="3535" t="s">
        <v>867</v>
      </c>
      <c r="G9" s="3536"/>
      <c r="H9" s="3536"/>
      <c r="I9" s="3536"/>
      <c r="J9" s="3537"/>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t="e">
        <f t="shared" si="0"/>
        <v>#DIV/0!</v>
      </c>
      <c r="U9" s="2406"/>
      <c r="V9" s="2416" t="e">
        <f t="shared" si="1"/>
        <v>#DIV/0!</v>
      </c>
      <c r="W9" s="3918"/>
      <c r="X9" s="2411" t="s">
        <v>3214</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1"/>
      <c r="B10" s="1269" t="s">
        <v>868</v>
      </c>
      <c r="C10" s="3539">
        <f>SUMIF(修正!C73:C141,C8,修正!F73:F141)</f>
        <v>0</v>
      </c>
      <c r="D10" s="3539" t="s">
        <v>869</v>
      </c>
      <c r="E10" s="3539" t="e">
        <f>ROUND(C11/E7,4)</f>
        <v>#DIV/0!</v>
      </c>
      <c r="F10" s="3535" t="s">
        <v>870</v>
      </c>
      <c r="G10" s="3536"/>
      <c r="H10" s="3536"/>
      <c r="I10" s="3536"/>
      <c r="J10" s="3537"/>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t="e">
        <f t="shared" si="0"/>
        <v>#DIV/0!</v>
      </c>
      <c r="U10" s="2406"/>
      <c r="V10" s="2416" t="e">
        <f t="shared" si="1"/>
        <v>#DIV/0!</v>
      </c>
      <c r="W10" s="3918"/>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1"/>
      <c r="B11" s="1282" t="s">
        <v>871</v>
      </c>
      <c r="C11" s="3540">
        <f>C10/4</f>
        <v>0</v>
      </c>
      <c r="D11" s="3540" t="s">
        <v>872</v>
      </c>
      <c r="E11" s="3540" t="e">
        <f>ROUND(C11/E7,4)</f>
        <v>#DIV/0!</v>
      </c>
      <c r="F11" s="3541" t="s">
        <v>873</v>
      </c>
      <c r="G11" s="3542"/>
      <c r="H11" s="3542"/>
      <c r="I11" s="3542"/>
      <c r="J11" s="3543"/>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t="e">
        <f t="shared" si="0"/>
        <v>#DIV/0!</v>
      </c>
      <c r="U11" s="2406"/>
      <c r="V11" s="2416" t="e">
        <f t="shared" si="1"/>
        <v>#DIV/0!</v>
      </c>
      <c r="W11" s="1911"/>
      <c r="X11" s="1911"/>
      <c r="Y11" s="1911"/>
      <c r="Z11" s="1911"/>
      <c r="AA11" s="1911"/>
      <c r="AB11" s="1911"/>
      <c r="AC11" s="1912"/>
    </row>
    <row r="12" spans="1:39" ht="25.5" thickBot="1">
      <c r="A12" s="3525" t="s">
        <v>3192</v>
      </c>
      <c r="B12" s="3506" t="s">
        <v>3193</v>
      </c>
      <c r="C12" s="3512">
        <v>1.02</v>
      </c>
      <c r="D12" s="3507" t="s">
        <v>3194</v>
      </c>
      <c r="E12" s="3508" t="s">
        <v>3195</v>
      </c>
      <c r="F12" s="3509"/>
      <c r="G12" s="3510"/>
      <c r="H12" s="3510"/>
      <c r="I12" s="3510"/>
      <c r="J12" s="3511"/>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t="e">
        <f t="shared" si="0"/>
        <v>#DIV/0!</v>
      </c>
      <c r="U12" s="2406"/>
      <c r="V12" s="2416" t="e">
        <f t="shared" si="1"/>
        <v>#DIV/0!</v>
      </c>
      <c r="W12" s="1911"/>
      <c r="X12" s="1911"/>
      <c r="Y12" s="1911"/>
      <c r="Z12" s="1911"/>
      <c r="AA12" s="1911"/>
      <c r="AB12" s="1911"/>
      <c r="AC12" s="1912"/>
    </row>
    <row r="13" spans="1:39" ht="15.75" thickBot="1">
      <c r="A13" s="3525" t="s">
        <v>3196</v>
      </c>
      <c r="B13" s="1283" t="s">
        <v>874</v>
      </c>
      <c r="C13" s="3526">
        <f>ROUND(C16*D16*E16*F16*G16*H16*I16*J16,4)</f>
        <v>0</v>
      </c>
      <c r="D13" s="3544" t="s">
        <v>3197</v>
      </c>
      <c r="E13" s="3545"/>
      <c r="F13" s="3545"/>
      <c r="G13" s="3545"/>
      <c r="H13" s="3545"/>
      <c r="I13" s="3545"/>
      <c r="J13" s="3546"/>
      <c r="K13" s="2596"/>
      <c r="L13" s="2596"/>
      <c r="M13" s="2596"/>
      <c r="N13" s="2596"/>
      <c r="O13" s="2596"/>
      <c r="P13" s="1911"/>
      <c r="Q13" s="1911"/>
      <c r="R13" s="2416">
        <v>12</v>
      </c>
      <c r="S13" s="2406"/>
      <c r="T13" s="2416" t="e">
        <f t="shared" si="0"/>
        <v>#DIV/0!</v>
      </c>
      <c r="U13" s="2406"/>
      <c r="V13" s="2416" t="e">
        <f t="shared" si="1"/>
        <v>#DIV/0!</v>
      </c>
      <c r="W13" s="1911"/>
      <c r="X13" s="1911"/>
      <c r="Y13" s="1911"/>
      <c r="Z13" s="1911"/>
      <c r="AA13" s="1911"/>
      <c r="AB13" s="1911"/>
      <c r="AC13" s="1912"/>
    </row>
    <row r="14" spans="1:39" ht="12.75" customHeight="1">
      <c r="A14" s="3547"/>
      <c r="B14" s="1287" t="s">
        <v>1229</v>
      </c>
      <c r="C14" s="3460" t="s">
        <v>1230</v>
      </c>
      <c r="D14" s="1289" t="s">
        <v>1231</v>
      </c>
      <c r="E14" s="781" t="s">
        <v>3198</v>
      </c>
      <c r="F14" s="3548" t="s">
        <v>1178</v>
      </c>
      <c r="G14" s="3548" t="s">
        <v>1178</v>
      </c>
      <c r="H14" s="3549" t="s">
        <v>1178</v>
      </c>
      <c r="I14" s="3550" t="s">
        <v>1178</v>
      </c>
      <c r="J14" s="3550" t="s">
        <v>1178</v>
      </c>
      <c r="K14" s="2979"/>
      <c r="L14" s="2979"/>
      <c r="M14" s="2979"/>
      <c r="N14" s="2979"/>
      <c r="O14" s="2979"/>
      <c r="P14" s="1911"/>
      <c r="Q14" s="1911"/>
      <c r="R14" s="2416">
        <v>13</v>
      </c>
      <c r="S14" s="2406"/>
      <c r="T14" s="2416" t="e">
        <f t="shared" si="0"/>
        <v>#DIV/0!</v>
      </c>
      <c r="U14" s="2406"/>
      <c r="V14" s="2416" t="e">
        <f t="shared" si="1"/>
        <v>#DIV/0!</v>
      </c>
      <c r="W14" s="1911"/>
      <c r="X14" s="1911"/>
      <c r="Y14" s="1911"/>
      <c r="Z14" s="1911"/>
      <c r="AA14" s="1911"/>
      <c r="AB14" s="1911"/>
      <c r="AC14" s="1912"/>
    </row>
    <row r="15" spans="1:39" ht="13.5" customHeight="1">
      <c r="A15" s="3547"/>
      <c r="B15" s="1289"/>
      <c r="C15" s="3551"/>
      <c r="D15" s="3552"/>
      <c r="E15" s="3553"/>
      <c r="F15" s="3553"/>
      <c r="G15" s="3515" t="s">
        <v>3199</v>
      </c>
      <c r="H15" s="3516"/>
      <c r="I15" s="3517"/>
      <c r="J15" s="3518"/>
      <c r="K15" s="3519"/>
      <c r="L15" s="2597"/>
      <c r="M15" s="2597"/>
      <c r="N15" s="2597"/>
      <c r="O15" s="2597"/>
      <c r="P15" s="1911"/>
      <c r="Q15" s="1911"/>
      <c r="R15" s="2416">
        <v>14</v>
      </c>
      <c r="S15" s="2406"/>
      <c r="T15" s="2416" t="e">
        <f t="shared" si="0"/>
        <v>#DIV/0!</v>
      </c>
      <c r="U15" s="2406"/>
      <c r="V15" s="2416" t="e">
        <f t="shared" si="1"/>
        <v>#DIV/0!</v>
      </c>
      <c r="W15" s="1911"/>
      <c r="X15" s="1911"/>
      <c r="Y15" s="1911"/>
      <c r="Z15" s="1911"/>
      <c r="AA15" s="1911"/>
      <c r="AB15" s="1911"/>
      <c r="AC15" s="1912"/>
    </row>
    <row r="16" spans="1:39" ht="24.6" customHeight="1" thickBot="1">
      <c r="A16" s="3547"/>
      <c r="B16" s="2601" t="s">
        <v>1232</v>
      </c>
      <c r="C16" s="3513"/>
      <c r="D16" s="3513"/>
      <c r="E16" s="3513"/>
      <c r="F16" s="3513"/>
      <c r="G16" s="3513">
        <v>1</v>
      </c>
      <c r="H16" s="3513">
        <v>1</v>
      </c>
      <c r="I16" s="3513">
        <v>1</v>
      </c>
      <c r="J16" s="3514">
        <v>1</v>
      </c>
      <c r="K16" s="2597"/>
      <c r="L16" s="2597"/>
      <c r="M16" s="2597"/>
      <c r="N16" s="2597"/>
      <c r="O16" s="2597"/>
      <c r="P16" s="1911"/>
      <c r="Q16" s="1911"/>
      <c r="R16" s="2416">
        <v>15</v>
      </c>
      <c r="S16" s="2406"/>
      <c r="T16" s="2416" t="e">
        <f t="shared" si="0"/>
        <v>#DIV/0!</v>
      </c>
      <c r="U16" s="2406"/>
      <c r="V16" s="2416" t="e">
        <f t="shared" si="1"/>
        <v>#DIV/0!</v>
      </c>
      <c r="W16" s="1914"/>
      <c r="X16" s="1914"/>
      <c r="Y16" s="1914"/>
      <c r="Z16" s="1914"/>
      <c r="AA16" s="1914"/>
      <c r="AB16" s="1914"/>
      <c r="AC16" s="1915"/>
    </row>
    <row r="17" spans="1:40" ht="24">
      <c r="A17" s="3555" t="s">
        <v>3200</v>
      </c>
      <c r="B17" s="3556" t="s">
        <v>3201</v>
      </c>
      <c r="C17" s="3564">
        <f>ROUND(IF(OR(E2="工业",E2="公共服务"),1,IF(AND(E18=0,E19=0),1,IF(AND(E18=J24,E19=G19),0.8,IF(E19=0,1+E17*(-0.2),1+E17*G17*(-0.2))))),4)</f>
        <v>1</v>
      </c>
      <c r="D17" s="3557" t="s">
        <v>3202</v>
      </c>
      <c r="E17" s="3564" t="e">
        <f>ROUND(G18/I18,2)</f>
        <v>#DIV/0!</v>
      </c>
      <c r="F17" s="3557" t="s">
        <v>3205</v>
      </c>
      <c r="G17" s="3564" t="e">
        <f>ROUND(E19/G19,2)</f>
        <v>#DIV/0!</v>
      </c>
      <c r="H17" s="3564"/>
      <c r="I17" s="3564"/>
      <c r="J17" s="3645"/>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7"/>
      <c r="B18" s="3423"/>
      <c r="C18" s="3562"/>
      <c r="D18" s="3558" t="s">
        <v>3203</v>
      </c>
      <c r="E18" s="3563"/>
      <c r="F18" s="3560" t="s">
        <v>3206</v>
      </c>
      <c r="G18" s="3562">
        <f>ROUND(1-(1/(POWER(1+G24,E18))),4)</f>
        <v>0</v>
      </c>
      <c r="H18" s="3560" t="s">
        <v>3208</v>
      </c>
      <c r="I18" s="3562">
        <f>ROUND(1-(1/(POWER(1+G24,J24))),4)</f>
        <v>0</v>
      </c>
      <c r="J18" s="3646"/>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4"/>
      <c r="B19" s="3426"/>
      <c r="C19" s="3559"/>
      <c r="D19" s="3559" t="s">
        <v>3204</v>
      </c>
      <c r="E19" s="3565"/>
      <c r="F19" s="3561" t="s">
        <v>3207</v>
      </c>
      <c r="G19" s="3565"/>
      <c r="H19" s="3559"/>
      <c r="I19" s="3559"/>
      <c r="J19" s="3647"/>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29" t="s">
        <v>1370</v>
      </c>
      <c r="B20" s="1278" t="s">
        <v>875</v>
      </c>
      <c r="C20" s="998" t="e">
        <f>ROUND(IF(F21="与级别开发程度一致",0,(G21-E21)/C21),0)</f>
        <v>#DIV/0!</v>
      </c>
      <c r="D20" s="3924" t="s">
        <v>879</v>
      </c>
      <c r="E20" s="3925"/>
      <c r="F20" s="3924" t="s">
        <v>876</v>
      </c>
      <c r="G20" s="3925"/>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15" thickBot="1">
      <c r="A21" s="3930"/>
      <c r="B21" s="2607" t="s">
        <v>878</v>
      </c>
      <c r="C21" s="2608">
        <f>IF(E3="M4科研用地",SUMPRODUCT((修正!A2:A7=E3)*(修正!B1:M1=G2)*(修正!B2:M7)),SUMPRODUCT((修正!A2:A7=E2)*(修正!B1:M1=G2)*(修正!B2:M7)))</f>
        <v>0</v>
      </c>
      <c r="D21" s="2609" t="str">
        <f>IF(OR(G2="八级",G2="九级",G2="十级",G2="十一级",G2="十二级"),"五通一平","七通一平")</f>
        <v>七通一平</v>
      </c>
      <c r="E21" s="2599">
        <f>SUMPRODUCT((修正!B1:M1=G2)*(修正!B17:M17))</f>
        <v>0</v>
      </c>
      <c r="F21" s="2600"/>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SUMIF(修正!C20:C53,E3,修正!E20:E53)</f>
        <v>0</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97" t="s">
        <v>882</v>
      </c>
      <c r="E23" s="1000">
        <v>44197</v>
      </c>
      <c r="F23" s="1297" t="s">
        <v>883</v>
      </c>
      <c r="G23" s="1001">
        <f>'数据-取费表'!B2</f>
        <v>0</v>
      </c>
      <c r="H23" s="1298" t="s">
        <v>2247</v>
      </c>
      <c r="I23" s="2266" t="str">
        <f>IF(H23="季度增幅（自定义）",SUMIF(N25:N28,E2,O25:O28),"")</f>
        <v/>
      </c>
      <c r="J23" s="3566" t="s">
        <v>3258</v>
      </c>
      <c r="K23" s="2977"/>
      <c r="L23" s="2511" t="s">
        <v>2116</v>
      </c>
      <c r="M23" s="2512">
        <f>ROUND(SUMIF(地价!B2:F2,E2,地价!B41:F41),0)</f>
        <v>0</v>
      </c>
      <c r="N23" s="2268" t="s">
        <v>1211</v>
      </c>
      <c r="O23" s="2267" t="e">
        <f>ROUNDDOWN(DATEDIF(E23,G23,"M")/3,0)</f>
        <v>#NUM!</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t="e">
        <f>ROUND(POWER(1+G24,J24-I24)*(POWER(1+G24,I24)-1)/(POWER(1+G24,J24)-1),4)</f>
        <v>#DIV/0!</v>
      </c>
      <c r="D24" s="2263" t="s">
        <v>897</v>
      </c>
      <c r="E24" s="2540">
        <f>存贷款利率!E28/100</f>
        <v>4.3499999999999997E-2</v>
      </c>
      <c r="F24" s="2263" t="s">
        <v>898</v>
      </c>
      <c r="G24" s="2264">
        <f>SUMIF(M30:Q30,E2,M33:Q33)</f>
        <v>0</v>
      </c>
      <c r="H24" s="2263" t="s">
        <v>899</v>
      </c>
      <c r="I24" s="2259" t="e">
        <f>SUMIF('数据-取费表'!C6:C15,E2,'数据-取费表'!F6:F15)/COUNTIF('数据-取费表'!C6:C15,E2)</f>
        <v>#DIV/0!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2275</v>
      </c>
      <c r="C25" s="1057">
        <f>IF(B25="容积率修正",IF(G3&lt;10,D26,J26),C27)</f>
        <v>0</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7" t="s">
        <v>3209</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7" t="s">
        <v>3210</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0</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t="e">
        <f>IF(B25="容积率修正",E33+SUM(E37:E42),SUM(V2:V16)+SUM(E37:E42))</f>
        <v>#DIV/0!</v>
      </c>
      <c r="D30" s="1312"/>
      <c r="E30" s="1290"/>
      <c r="F30" s="1313"/>
      <c r="G30" s="1290"/>
      <c r="H30" s="1290"/>
      <c r="I30" s="1290"/>
      <c r="J30" s="1314"/>
      <c r="K30" s="2978"/>
      <c r="L30" s="1407" t="s">
        <v>833</v>
      </c>
      <c r="M30" s="1279" t="s">
        <v>907</v>
      </c>
      <c r="N30" s="1279" t="s">
        <v>908</v>
      </c>
      <c r="O30" s="1279" t="s">
        <v>835</v>
      </c>
      <c r="P30" s="1299" t="s">
        <v>909</v>
      </c>
      <c r="Q30" s="1299" t="s">
        <v>3236</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t="e">
        <f>ROUND(C5*C22*C23*C24*C25*C28,0)</f>
        <v>#DIV/0!</v>
      </c>
      <c r="D33" s="1326"/>
      <c r="E33" s="1635" t="e">
        <f>ROUND(C33*D33/10000,0)</f>
        <v>#DIV/0!</v>
      </c>
      <c r="F33" s="3568" t="s">
        <v>3211</v>
      </c>
      <c r="G33" s="1327"/>
      <c r="H33" s="1327"/>
      <c r="I33" s="1327"/>
      <c r="J33" s="1328"/>
      <c r="K33" s="2985"/>
      <c r="L33" s="3638" t="s">
        <v>3237</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5" t="e">
        <f>ROUND(IF(B25="楼层修正",SUM(V2:V16)*#REF!,C34*D34/10000),0)</f>
        <v>#DIV/0!</v>
      </c>
      <c r="F34" s="3569" t="s">
        <v>3212</v>
      </c>
      <c r="G34" s="1332"/>
      <c r="H34" s="1332"/>
      <c r="I34" s="1332"/>
      <c r="J34" s="1333"/>
      <c r="K34" s="2978"/>
      <c r="L34" s="3638" t="s">
        <v>3238</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0" t="s">
        <v>3239</v>
      </c>
      <c r="L36" s="3642">
        <f ca="1">'数据-取费表'!B40</f>
        <v>0</v>
      </c>
      <c r="M36" s="3643">
        <f ca="1">ROUND($L$36*(1+M31),3)</f>
        <v>0</v>
      </c>
      <c r="N36" s="3643">
        <f ca="1">ROUND($L$36*(1+N31),3)</f>
        <v>0</v>
      </c>
      <c r="O36" s="3643">
        <f ca="1">ROUND($L$36*(1+O31),3)</f>
        <v>0</v>
      </c>
      <c r="P36" s="3643">
        <f ca="1">ROUND($L$36*(1+P31),3)</f>
        <v>0</v>
      </c>
      <c r="Q36" s="3643">
        <f ca="1">ROUND($L$36*(1+Q31),3)</f>
        <v>0</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26"/>
      <c r="B37" s="1344" t="s">
        <v>923</v>
      </c>
      <c r="C37" s="1005" t="e">
        <f>ROUND(D5*C22*C23*C24*C28*F37,0)</f>
        <v>#DIV/0!</v>
      </c>
      <c r="D37" s="1356"/>
      <c r="E37" s="996" t="e">
        <f>ROUND(C37*D37/10000,0)</f>
        <v>#DIV/0!</v>
      </c>
      <c r="F37" s="996">
        <f>SUMIF(修正!A59:A70,G2,修正!B59:B70)</f>
        <v>0</v>
      </c>
      <c r="G37" s="996" t="e">
        <f>ROUND(IF(E2="工业",C37*$M$42,C37*$M$41),0)</f>
        <v>#DIV/0!</v>
      </c>
      <c r="H37" s="996">
        <f>D37</f>
        <v>0</v>
      </c>
      <c r="I37" s="996" t="e">
        <f>ROUND(G37*H37/10000,0)</f>
        <v>#DIV/0!</v>
      </c>
      <c r="J37" s="3926"/>
      <c r="K37" s="3641" t="s">
        <v>3240</v>
      </c>
      <c r="L37" s="3642">
        <f ca="1">L36+K38</f>
        <v>5.0000000000000001E-3</v>
      </c>
      <c r="M37" s="3643">
        <f ca="1">ROUND($L$37*(1+M31),3)</f>
        <v>6.0000000000000001E-3</v>
      </c>
      <c r="N37" s="3643">
        <f t="shared" ref="N37:Q37" ca="1" si="3">ROUND($L$37*(1+N31),3)</f>
        <v>6.0000000000000001E-3</v>
      </c>
      <c r="O37" s="3643">
        <f t="shared" ca="1" si="3"/>
        <v>6.0000000000000001E-3</v>
      </c>
      <c r="P37" s="3643">
        <f t="shared" ca="1" si="3"/>
        <v>6.0000000000000001E-3</v>
      </c>
      <c r="Q37" s="3643">
        <f t="shared" ca="1" si="3"/>
        <v>6.0000000000000001E-3</v>
      </c>
      <c r="R37" s="1912"/>
      <c r="S37" s="1912"/>
      <c r="T37" s="1912"/>
      <c r="U37" s="1912"/>
      <c r="V37" s="1912"/>
      <c r="W37" s="1911"/>
      <c r="X37" s="1911"/>
      <c r="Y37" s="1911"/>
      <c r="Z37" s="1911"/>
      <c r="AA37" s="1911"/>
      <c r="AB37" s="1911"/>
      <c r="AC37" s="1912"/>
    </row>
    <row r="38" spans="1:44" ht="12.75">
      <c r="A38" s="3927"/>
      <c r="B38" s="1288" t="s">
        <v>924</v>
      </c>
      <c r="C38" s="1005" t="e">
        <f>ROUND(D5*C22*C23*C24*C28*F38,0)</f>
        <v>#DIV/0!</v>
      </c>
      <c r="D38" s="1356"/>
      <c r="E38" s="996" t="e">
        <f t="shared" ref="E38:E42" si="4">ROUND(C38*D38/10000,0)</f>
        <v>#DIV/0!</v>
      </c>
      <c r="F38" s="996">
        <f>SUMIF(修正!A59:A70,G2,修正!C59:C70)</f>
        <v>0</v>
      </c>
      <c r="G38" s="996" t="e">
        <f>ROUND(IF(E2="工业",C38*$M$42,C38*$M$41),0)</f>
        <v>#DIV/0!</v>
      </c>
      <c r="H38" s="996">
        <f t="shared" ref="H38:H42" si="5">D38</f>
        <v>0</v>
      </c>
      <c r="I38" s="996" t="e">
        <f t="shared" ref="I38:I42" si="6">ROUND(G38*H38/10000,0)</f>
        <v>#DIV/0!</v>
      </c>
      <c r="J38" s="3927"/>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5" thickBot="1">
      <c r="A39" s="3927"/>
      <c r="B39" s="3570" t="s">
        <v>3213</v>
      </c>
      <c r="C39" s="1005" t="e">
        <f>ROUND(D5*C22*C23*C24*C28*F39,0)</f>
        <v>#DIV/0!</v>
      </c>
      <c r="D39" s="1356"/>
      <c r="E39" s="996" t="e">
        <f t="shared" si="4"/>
        <v>#DIV/0!</v>
      </c>
      <c r="F39" s="996">
        <f>SUMIF(修正!A59:A70,G2,修正!D59:D70)</f>
        <v>0</v>
      </c>
      <c r="G39" s="996" t="e">
        <f>ROUND(IF(E2="工业",C39*$M$42,C39*$M$41),0)</f>
        <v>#DIV/0!</v>
      </c>
      <c r="H39" s="996">
        <f t="shared" si="5"/>
        <v>0</v>
      </c>
      <c r="I39" s="996" t="e">
        <f t="shared" si="6"/>
        <v>#DIV/0!</v>
      </c>
      <c r="J39" s="3927"/>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t="e">
        <f>ROUND(D5*C22*C23*C24*C28*F40,0)</f>
        <v>#DIV/0!</v>
      </c>
      <c r="D40" s="1356"/>
      <c r="E40" s="996" t="e">
        <f t="shared" si="4"/>
        <v>#DIV/0!</v>
      </c>
      <c r="F40" s="1005">
        <f>SUMIF(修正!A59:A70,G2,修正!E59:E70)</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SUMIF(修正!A59:A70,G2,修正!F59:F70)</f>
        <v>0</v>
      </c>
      <c r="G41" s="996" t="e">
        <f>ROUND(IF(E2="工业",C41*$M$42,C41*$M$41),0)</f>
        <v>#DIV/0!</v>
      </c>
      <c r="H41" s="996">
        <f t="shared" si="5"/>
        <v>0</v>
      </c>
      <c r="I41" s="996" t="e">
        <f t="shared" si="6"/>
        <v>#DIV/0!</v>
      </c>
      <c r="J41" s="1345"/>
      <c r="K41" s="1911"/>
      <c r="L41" s="3644" t="s">
        <v>3241</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SUMIF(修正!A59:A70,G2,修正!G59:G70)</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t="e">
        <f>ROUND(POWER(1+E44,H44-G44)*(POWER(1+E44,G44)-1)/(POWER(1+E44,H44)-1),4)</f>
        <v>#DIV/0!</v>
      </c>
      <c r="D44" s="365" t="s">
        <v>2241</v>
      </c>
      <c r="E44" s="2587">
        <f>G24</f>
        <v>0</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3" customFormat="1" ht="15" thickBot="1">
      <c r="A47" s="3579" t="s">
        <v>928</v>
      </c>
      <c r="B47" s="3580"/>
      <c r="C47" s="3581"/>
      <c r="D47" s="3582"/>
      <c r="E47" s="3582"/>
      <c r="F47" s="3582"/>
      <c r="G47" s="3433"/>
      <c r="H47" s="3582"/>
      <c r="I47" s="3433"/>
      <c r="J47" s="3433"/>
      <c r="K47" s="3433"/>
      <c r="L47" s="3433"/>
      <c r="M47" s="3433"/>
      <c r="O47" s="1920"/>
      <c r="P47" s="1920"/>
      <c r="Q47" s="1920"/>
      <c r="R47" s="1920"/>
      <c r="S47" s="1920"/>
      <c r="T47" s="1920"/>
      <c r="U47" s="1920"/>
      <c r="V47" s="1920"/>
      <c r="W47" s="1920"/>
      <c r="X47" s="1920"/>
      <c r="Y47" s="1920"/>
      <c r="Z47" s="1920"/>
      <c r="AA47" s="1920"/>
      <c r="AB47" s="1920"/>
      <c r="AC47" s="1920"/>
      <c r="AD47" s="1920"/>
    </row>
    <row r="48" spans="1:44" s="3583" customFormat="1" ht="15">
      <c r="A48" s="3584" t="s">
        <v>929</v>
      </c>
      <c r="B48" s="3648">
        <f>1+E50</f>
        <v>1</v>
      </c>
      <c r="C48" s="3585"/>
      <c r="D48" s="3586"/>
      <c r="E48" s="3587"/>
      <c r="F48" s="3588"/>
      <c r="G48" s="3582"/>
      <c r="H48" s="3582"/>
      <c r="I48" s="3433"/>
      <c r="J48" s="3433"/>
      <c r="K48" s="3433"/>
      <c r="L48" s="3433"/>
      <c r="M48" s="3433"/>
      <c r="O48" s="1920"/>
      <c r="P48" s="1920"/>
      <c r="Q48" s="1920"/>
      <c r="R48" s="1920"/>
      <c r="S48" s="1920"/>
      <c r="T48" s="1920"/>
      <c r="U48" s="1920"/>
      <c r="V48" s="1920"/>
      <c r="W48" s="1920"/>
      <c r="X48" s="1920"/>
      <c r="Y48" s="1920"/>
      <c r="Z48" s="1920"/>
      <c r="AA48" s="1920"/>
      <c r="AB48" s="1920"/>
      <c r="AC48" s="1920"/>
      <c r="AD48" s="1920"/>
    </row>
    <row r="49" spans="1:30" s="3583" customFormat="1" ht="24">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20"/>
      <c r="Q49" s="1920"/>
      <c r="R49" s="1920"/>
      <c r="S49" s="1920"/>
      <c r="T49" s="1920"/>
      <c r="U49" s="1920"/>
      <c r="V49" s="1920"/>
      <c r="W49" s="1920"/>
      <c r="X49" s="1920"/>
      <c r="Y49" s="1920"/>
      <c r="Z49" s="1920"/>
      <c r="AA49" s="1920"/>
      <c r="AB49" s="1920"/>
      <c r="AC49" s="1920"/>
      <c r="AD49" s="1920"/>
    </row>
    <row r="50" spans="1:30" s="3583" customFormat="1" ht="36">
      <c r="A50" s="3589" t="s">
        <v>942</v>
      </c>
      <c r="B50" s="3596" t="str">
        <f>估价对象房地状况!C16</f>
        <v>估价对象位于XX商圈，周边商业氛围成熟，人流量大，商业繁华度好</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20"/>
      <c r="Q50" s="1920"/>
      <c r="R50" s="1920"/>
      <c r="S50" s="1920"/>
      <c r="T50" s="1920"/>
      <c r="U50" s="1920"/>
      <c r="V50" s="1920"/>
      <c r="W50" s="1920"/>
      <c r="X50" s="1920"/>
      <c r="Y50" s="1920"/>
      <c r="Z50" s="1920"/>
      <c r="AA50" s="1920"/>
      <c r="AB50" s="1920"/>
      <c r="AC50" s="1920"/>
      <c r="AD50" s="1920"/>
    </row>
    <row r="51" spans="1:30" s="3583" customFormat="1" ht="36">
      <c r="A51" s="3589" t="s">
        <v>943</v>
      </c>
      <c r="B51" s="3590" t="str">
        <f>估价对象房地状况!C18</f>
        <v>估价对象周边道路状况、公共交通通达情况、停车便捷程度，综合评价交通便捷度较好</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20"/>
      <c r="Q51" s="1920"/>
      <c r="R51" s="1920"/>
      <c r="S51" s="1920"/>
      <c r="T51" s="1920"/>
      <c r="U51" s="1920"/>
      <c r="V51" s="1920"/>
      <c r="W51" s="1920"/>
      <c r="X51" s="1920"/>
      <c r="Y51" s="1920"/>
      <c r="Z51" s="1920"/>
      <c r="AA51" s="1920"/>
      <c r="AB51" s="1920"/>
      <c r="AC51" s="1920"/>
      <c r="AD51" s="1920"/>
    </row>
    <row r="52" spans="1:30" s="3583" customFormat="1" ht="36">
      <c r="A52" s="3571" t="s">
        <v>3215</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20"/>
      <c r="Q52" s="1920"/>
      <c r="R52" s="1920"/>
      <c r="S52" s="1920"/>
      <c r="T52" s="1920"/>
      <c r="U52" s="1920"/>
      <c r="V52" s="1920"/>
      <c r="W52" s="1920"/>
      <c r="X52" s="1920"/>
      <c r="Y52" s="1920"/>
      <c r="Z52" s="1920"/>
      <c r="AA52" s="1920"/>
      <c r="AB52" s="1920"/>
      <c r="AC52" s="1920"/>
      <c r="AD52" s="1920"/>
    </row>
    <row r="53" spans="1:30" s="3583" customFormat="1" ht="36">
      <c r="A53" s="3589" t="s">
        <v>945</v>
      </c>
      <c r="B53" s="3605" t="s">
        <v>2200</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20"/>
      <c r="Q53" s="1920"/>
      <c r="R53" s="1920"/>
      <c r="S53" s="1920"/>
      <c r="T53" s="1920"/>
      <c r="U53" s="1920"/>
      <c r="V53" s="1920"/>
      <c r="W53" s="1920"/>
      <c r="X53" s="1920"/>
      <c r="Y53" s="1920"/>
      <c r="Z53" s="1920"/>
      <c r="AA53" s="1920"/>
      <c r="AB53" s="1920"/>
      <c r="AC53" s="1920"/>
      <c r="AD53" s="1920"/>
    </row>
    <row r="54" spans="1:30" s="3583" customFormat="1" ht="24">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20"/>
      <c r="Q54" s="1920"/>
      <c r="R54" s="1920"/>
      <c r="S54" s="1920"/>
      <c r="T54" s="1920"/>
      <c r="U54" s="1920"/>
      <c r="V54" s="1920"/>
      <c r="W54" s="1920"/>
      <c r="X54" s="1920"/>
      <c r="Y54" s="1920"/>
      <c r="Z54" s="1920"/>
      <c r="AA54" s="1920"/>
      <c r="AB54" s="1920"/>
      <c r="AC54" s="1920"/>
      <c r="AD54" s="1920"/>
    </row>
    <row r="55" spans="1:30" s="3583" customFormat="1" ht="24">
      <c r="A55" s="3589" t="s">
        <v>947</v>
      </c>
      <c r="B55" s="3606" t="s">
        <v>2199</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20"/>
      <c r="Q55" s="1920"/>
      <c r="R55" s="1920"/>
      <c r="S55" s="1920"/>
      <c r="T55" s="1920"/>
      <c r="U55" s="1920"/>
      <c r="V55" s="1920"/>
      <c r="W55" s="1920"/>
      <c r="X55" s="1920"/>
      <c r="Y55" s="1920"/>
      <c r="Z55" s="1920"/>
      <c r="AA55" s="1920"/>
      <c r="AB55" s="1920"/>
      <c r="AC55" s="1920"/>
      <c r="AD55" s="1920"/>
    </row>
    <row r="56" spans="1:30" s="3583" customFormat="1" ht="24">
      <c r="A56" s="3607" t="s">
        <v>948</v>
      </c>
      <c r="B56" s="3608" t="str">
        <f>估价对象房地状况!C21</f>
        <v>估价对象所在区域公共配套设施齐备情况</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20"/>
      <c r="Q56" s="1920"/>
      <c r="R56" s="1920"/>
      <c r="S56" s="1920"/>
      <c r="T56" s="1920"/>
      <c r="U56" s="1920"/>
      <c r="V56" s="1920"/>
      <c r="W56" s="1920"/>
      <c r="X56" s="1920"/>
      <c r="Y56" s="1920"/>
      <c r="Z56" s="1920"/>
      <c r="AA56" s="1920"/>
      <c r="AB56" s="1920"/>
      <c r="AC56" s="1920"/>
      <c r="AD56" s="1920"/>
    </row>
    <row r="57" spans="1:30" s="3583" customFormat="1" ht="24">
      <c r="A57" s="3607" t="s">
        <v>949</v>
      </c>
      <c r="B57" s="3590" t="str">
        <f>估价对象房地状况!C22</f>
        <v>估价对象所在区域基础设施水平</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20"/>
      <c r="Q57" s="1920"/>
      <c r="R57" s="1920"/>
      <c r="S57" s="1920"/>
      <c r="T57" s="1920"/>
      <c r="U57" s="1920"/>
      <c r="V57" s="1920"/>
      <c r="W57" s="1920"/>
      <c r="X57" s="1920"/>
      <c r="Y57" s="1920"/>
      <c r="Z57" s="1920"/>
      <c r="AA57" s="1920"/>
      <c r="AB57" s="1920"/>
      <c r="AC57" s="1920"/>
      <c r="AD57" s="1920"/>
    </row>
    <row r="58" spans="1:30" s="3583" customFormat="1" ht="24.75" thickBot="1">
      <c r="A58" s="3609" t="s">
        <v>950</v>
      </c>
      <c r="B58" s="3610" t="str">
        <f>估价对象房地状况!C20</f>
        <v>区域自然环境：；人文环境；综合评价环境状况一般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20"/>
      <c r="Q58" s="1920"/>
      <c r="R58" s="1920"/>
      <c r="S58" s="1920"/>
      <c r="T58" s="1920"/>
      <c r="U58" s="1920"/>
      <c r="V58" s="1920"/>
      <c r="W58" s="1920"/>
      <c r="X58" s="1920"/>
      <c r="Y58" s="1920"/>
      <c r="Z58" s="1920"/>
      <c r="AA58" s="1920"/>
      <c r="AB58" s="1920"/>
      <c r="AC58" s="1920"/>
      <c r="AD58" s="1920"/>
    </row>
    <row r="59" spans="1:30" s="3583" customFormat="1" ht="15">
      <c r="A59" s="3584" t="s">
        <v>951</v>
      </c>
      <c r="B59" s="3648">
        <f>1+E61</f>
        <v>1</v>
      </c>
      <c r="C59" s="3612"/>
      <c r="D59" s="3586"/>
      <c r="E59" s="3587"/>
      <c r="F59" s="3588"/>
      <c r="G59" s="3582"/>
      <c r="H59" s="3582"/>
      <c r="I59" s="3582"/>
      <c r="J59" s="3433"/>
      <c r="K59" s="3433"/>
      <c r="L59" s="3433"/>
      <c r="M59" s="3433"/>
      <c r="N59" s="3433"/>
      <c r="P59" s="1920"/>
      <c r="Q59" s="1920"/>
      <c r="R59" s="1920"/>
      <c r="S59" s="1920"/>
      <c r="T59" s="1920"/>
      <c r="U59" s="1920"/>
      <c r="V59" s="1920"/>
      <c r="W59" s="1920"/>
      <c r="X59" s="1920"/>
      <c r="Y59" s="1920"/>
      <c r="Z59" s="1920"/>
      <c r="AA59" s="1920"/>
      <c r="AB59" s="1920"/>
      <c r="AC59" s="1920"/>
      <c r="AD59" s="1920"/>
    </row>
    <row r="60" spans="1:30" s="3583" customFormat="1" ht="24">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20"/>
      <c r="Q60" s="1920"/>
      <c r="R60" s="1920"/>
      <c r="S60" s="1920"/>
      <c r="T60" s="1920"/>
      <c r="U60" s="1920"/>
      <c r="V60" s="1920"/>
      <c r="W60" s="1920"/>
      <c r="X60" s="1920"/>
      <c r="Y60" s="1920"/>
      <c r="Z60" s="1920"/>
      <c r="AA60" s="1920"/>
      <c r="AB60" s="1920"/>
      <c r="AC60" s="1920"/>
      <c r="AD60" s="1920"/>
    </row>
    <row r="61" spans="1:30" s="3583" customFormat="1" ht="36">
      <c r="A61" s="3589" t="s">
        <v>952</v>
      </c>
      <c r="B61" s="3596" t="str">
        <f>估价对象房地状况!C17</f>
        <v>估价对象位于XX商圈，周边办公楼项目较多，入驻率高，办公集聚程度较好</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20"/>
      <c r="Q61" s="1920"/>
      <c r="R61" s="1920"/>
      <c r="S61" s="1920"/>
      <c r="T61" s="1920"/>
      <c r="U61" s="1920"/>
      <c r="V61" s="1920"/>
      <c r="W61" s="1920"/>
      <c r="X61" s="1920"/>
      <c r="Y61" s="1920"/>
      <c r="Z61" s="1920"/>
      <c r="AA61" s="1920"/>
      <c r="AB61" s="1920"/>
      <c r="AC61" s="1920"/>
      <c r="AD61" s="1920"/>
    </row>
    <row r="62" spans="1:30" s="3583" customFormat="1" ht="36">
      <c r="A62" s="3589" t="s">
        <v>943</v>
      </c>
      <c r="B62" s="3590" t="str">
        <f>估价对象房地状况!C18</f>
        <v>估价对象周边道路状况、公共交通通达情况、停车便捷程度，综合评价交通便捷度较好</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20"/>
      <c r="Q62" s="1920"/>
      <c r="R62" s="1920"/>
      <c r="S62" s="1920"/>
      <c r="T62" s="1920"/>
      <c r="U62" s="1920"/>
      <c r="V62" s="1920"/>
      <c r="W62" s="1920"/>
      <c r="X62" s="1920"/>
      <c r="Y62" s="1920"/>
      <c r="Z62" s="1920"/>
      <c r="AA62" s="1920"/>
      <c r="AB62" s="1920"/>
      <c r="AC62" s="1920"/>
      <c r="AD62" s="1920"/>
    </row>
    <row r="63" spans="1:30" s="3583" customFormat="1" ht="36">
      <c r="A63" s="3571" t="s">
        <v>3215</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20"/>
      <c r="Q63" s="1920"/>
      <c r="R63" s="1920"/>
      <c r="S63" s="1920"/>
      <c r="T63" s="1920"/>
      <c r="U63" s="1920"/>
      <c r="V63" s="1920"/>
      <c r="W63" s="1920"/>
      <c r="X63" s="1920"/>
      <c r="Y63" s="1920"/>
      <c r="Z63" s="1920"/>
      <c r="AA63" s="1920"/>
      <c r="AB63" s="1920"/>
      <c r="AC63" s="1920"/>
      <c r="AD63" s="1920"/>
    </row>
    <row r="64" spans="1:30" s="3583" customFormat="1" ht="36">
      <c r="A64" s="3589" t="s">
        <v>945</v>
      </c>
      <c r="B64" s="3605" t="s">
        <v>2201</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20"/>
      <c r="Q64" s="1920"/>
      <c r="R64" s="1920"/>
      <c r="S64" s="1920"/>
      <c r="T64" s="1920"/>
      <c r="U64" s="1920"/>
      <c r="V64" s="1920"/>
      <c r="W64" s="1920"/>
      <c r="X64" s="1920"/>
      <c r="Y64" s="1920"/>
      <c r="Z64" s="1920"/>
      <c r="AA64" s="1920"/>
      <c r="AB64" s="1920"/>
      <c r="AC64" s="1920"/>
      <c r="AD64" s="1920"/>
    </row>
    <row r="65" spans="1:36" s="3583" customFormat="1" ht="24">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20"/>
      <c r="Q65" s="1920"/>
      <c r="R65" s="1920"/>
      <c r="S65" s="1920"/>
      <c r="T65" s="1920"/>
      <c r="U65" s="1920"/>
      <c r="V65" s="1920"/>
      <c r="W65" s="1920"/>
      <c r="X65" s="1920"/>
      <c r="Y65" s="1920"/>
      <c r="Z65" s="1920"/>
      <c r="AA65" s="1920"/>
      <c r="AB65" s="1920"/>
      <c r="AC65" s="1920"/>
      <c r="AD65" s="1920"/>
    </row>
    <row r="66" spans="1:36" s="3583" customFormat="1" ht="24">
      <c r="A66" s="3589" t="s">
        <v>947</v>
      </c>
      <c r="B66" s="3606" t="s">
        <v>2199</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20"/>
      <c r="Q66" s="1920"/>
      <c r="R66" s="1920"/>
      <c r="S66" s="1920"/>
      <c r="T66" s="1920"/>
      <c r="U66" s="1920"/>
      <c r="V66" s="1920"/>
      <c r="W66" s="1920"/>
      <c r="X66" s="1920"/>
      <c r="Y66" s="1920"/>
      <c r="Z66" s="1920"/>
      <c r="AA66" s="1920"/>
      <c r="AB66" s="1920"/>
      <c r="AC66" s="1920"/>
      <c r="AD66" s="1920"/>
    </row>
    <row r="67" spans="1:36" s="3583" customFormat="1" ht="24">
      <c r="A67" s="3589" t="s">
        <v>948</v>
      </c>
      <c r="B67" s="3608" t="str">
        <f>估价对象房地状况!C21</f>
        <v>估价对象所在区域公共配套设施齐备情况</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20"/>
      <c r="Q67" s="1920"/>
      <c r="R67" s="1920"/>
      <c r="S67" s="1920"/>
      <c r="T67" s="1920"/>
      <c r="U67" s="1920"/>
      <c r="V67" s="1920"/>
      <c r="W67" s="1920"/>
      <c r="X67" s="1920"/>
      <c r="Y67" s="1920"/>
      <c r="Z67" s="1920"/>
      <c r="AA67" s="1920"/>
      <c r="AB67" s="1920"/>
      <c r="AC67" s="1920"/>
      <c r="AD67" s="1920"/>
    </row>
    <row r="68" spans="1:36" s="3583" customFormat="1" ht="24">
      <c r="A68" s="3589" t="s">
        <v>949</v>
      </c>
      <c r="B68" s="3608" t="str">
        <f>估价对象房地状况!C22</f>
        <v>估价对象所在区域基础设施水平</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20"/>
      <c r="Q68" s="1920"/>
      <c r="R68" s="1920"/>
      <c r="S68" s="1920"/>
      <c r="T68" s="1920"/>
      <c r="U68" s="1920"/>
      <c r="V68" s="1920"/>
      <c r="W68" s="1920"/>
      <c r="X68" s="1920"/>
      <c r="Y68" s="1920"/>
      <c r="Z68" s="1920"/>
      <c r="AA68" s="1920"/>
      <c r="AB68" s="1920"/>
      <c r="AC68" s="1920"/>
      <c r="AD68" s="1920"/>
    </row>
    <row r="69" spans="1:36" s="3583" customFormat="1" ht="24.75" thickBot="1">
      <c r="A69" s="3609" t="s">
        <v>950</v>
      </c>
      <c r="B69" s="3613" t="str">
        <f>估价对象房地状况!C20</f>
        <v>区域自然环境：；人文环境；综合评价环境状况一般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20"/>
      <c r="Q69" s="1920"/>
      <c r="R69" s="1920"/>
      <c r="S69" s="1920"/>
      <c r="T69" s="1920"/>
      <c r="U69" s="1920"/>
      <c r="V69" s="1920"/>
      <c r="W69" s="1920"/>
      <c r="X69" s="1920"/>
      <c r="Y69" s="1920"/>
      <c r="Z69" s="1920"/>
      <c r="AA69" s="1920"/>
      <c r="AB69" s="1920"/>
      <c r="AC69" s="1920"/>
      <c r="AD69" s="1920"/>
    </row>
    <row r="70" spans="1:36" s="3583" customFormat="1" ht="15">
      <c r="A70" s="3584" t="s">
        <v>953</v>
      </c>
      <c r="B70" s="3648">
        <f>1+E72</f>
        <v>1</v>
      </c>
      <c r="C70" s="3612"/>
      <c r="D70" s="3586"/>
      <c r="E70" s="3587"/>
      <c r="F70" s="3588"/>
      <c r="G70" s="3582"/>
      <c r="H70" s="3582"/>
      <c r="I70" s="3582"/>
      <c r="J70" s="3433"/>
      <c r="K70" s="3433"/>
      <c r="L70" s="3433"/>
      <c r="M70" s="3433"/>
      <c r="N70" s="3433"/>
      <c r="P70" s="1920"/>
      <c r="Q70" s="1920"/>
      <c r="R70" s="1920"/>
      <c r="S70" s="1920"/>
      <c r="T70" s="1920"/>
      <c r="U70" s="1920"/>
      <c r="V70" s="1920"/>
      <c r="W70" s="1920"/>
      <c r="X70" s="1920"/>
      <c r="Y70" s="1920"/>
      <c r="Z70" s="1920"/>
      <c r="AA70" s="1920"/>
      <c r="AB70" s="1920"/>
      <c r="AC70" s="1920"/>
      <c r="AD70" s="1920"/>
    </row>
    <row r="71" spans="1:36" s="3583" customFormat="1" ht="24">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20"/>
      <c r="Q71" s="1920"/>
      <c r="R71" s="1920"/>
      <c r="S71" s="1920"/>
      <c r="T71" s="1920"/>
      <c r="U71" s="1920"/>
      <c r="V71" s="1920"/>
      <c r="W71" s="1920"/>
      <c r="X71" s="1920"/>
      <c r="Y71" s="1920"/>
      <c r="Z71" s="1920"/>
      <c r="AA71" s="1920"/>
      <c r="AB71" s="1920"/>
      <c r="AC71" s="1920"/>
      <c r="AD71" s="1920"/>
    </row>
    <row r="72" spans="1:36" s="3583" customFormat="1" ht="48">
      <c r="A72" s="3589" t="s">
        <v>954</v>
      </c>
      <c r="B72" s="3590" t="str">
        <f>估价对象房地状况!C15</f>
        <v>估价对象周边居住用地比例、居住小区规模和社区发展完善程度，综合评价居住社区成熟度一般</v>
      </c>
      <c r="C72" s="3614"/>
      <c r="D72" s="3598">
        <f t="shared" ref="D72:D80" si="17">SUMIF($J$71:$N$71,C72,J72:N72)</f>
        <v>0</v>
      </c>
      <c r="E72" s="3599">
        <f>ROUND(SUM(D72:D80),4)</f>
        <v>0</v>
      </c>
      <c r="F72" s="3600" t="str">
        <f>IF(E2="住宅",SUMIF(L1:L12,G2,N1:N12),"——")</f>
        <v>——</v>
      </c>
      <c r="G72" s="3615"/>
      <c r="H72" s="3616" t="str">
        <f t="shared" ref="H72:H80" si="18">IFERROR(ROUNDDOWN($F$72*I72/2,4),"——")</f>
        <v>——</v>
      </c>
      <c r="I72" s="3576">
        <v>0.2</v>
      </c>
      <c r="J72" s="3603">
        <f t="shared" ref="J72:J80" si="19">K72+$G72</f>
        <v>0</v>
      </c>
      <c r="K72" s="3603">
        <f t="shared" ref="K72:K80" si="20">$L72+$G72</f>
        <v>0</v>
      </c>
      <c r="L72" s="3603">
        <v>0</v>
      </c>
      <c r="M72" s="3603">
        <f t="shared" ref="M72:N80" si="21">L72-$G72</f>
        <v>0</v>
      </c>
      <c r="N72" s="3603">
        <f t="shared" si="21"/>
        <v>0</v>
      </c>
      <c r="P72" s="1920"/>
      <c r="Q72" s="1920"/>
      <c r="R72" s="1920"/>
      <c r="S72" s="1920"/>
      <c r="T72" s="1920"/>
      <c r="U72" s="1920"/>
      <c r="V72" s="1920"/>
      <c r="W72" s="1920"/>
      <c r="X72" s="1920"/>
      <c r="Y72" s="1920"/>
      <c r="Z72" s="1920"/>
      <c r="AA72" s="1920"/>
      <c r="AB72" s="1920"/>
      <c r="AC72" s="1920"/>
      <c r="AD72" s="1920"/>
    </row>
    <row r="73" spans="1:36" s="3583" customFormat="1" ht="36">
      <c r="A73" s="3589" t="s">
        <v>955</v>
      </c>
      <c r="B73" s="3590" t="str">
        <f>估价对象房地状况!C18</f>
        <v>估价对象周边道路状况、公共交通通达情况、停车便捷程度，综合评价交通便捷度较好</v>
      </c>
      <c r="C73" s="3614"/>
      <c r="D73" s="3598">
        <f t="shared" si="17"/>
        <v>0</v>
      </c>
      <c r="E73" s="3604"/>
      <c r="F73" s="3600"/>
      <c r="G73" s="3615"/>
      <c r="H73" s="3616" t="str">
        <f t="shared" si="18"/>
        <v>——</v>
      </c>
      <c r="I73" s="3576">
        <v>0.26</v>
      </c>
      <c r="J73" s="3603">
        <f t="shared" si="19"/>
        <v>0</v>
      </c>
      <c r="K73" s="3603">
        <f t="shared" si="20"/>
        <v>0</v>
      </c>
      <c r="L73" s="3603">
        <v>0</v>
      </c>
      <c r="M73" s="3603">
        <f t="shared" si="21"/>
        <v>0</v>
      </c>
      <c r="N73" s="3603">
        <f t="shared" si="21"/>
        <v>0</v>
      </c>
      <c r="P73" s="1920"/>
      <c r="Q73" s="1920"/>
      <c r="R73" s="1920"/>
      <c r="S73" s="1920"/>
      <c r="T73" s="1920"/>
      <c r="U73" s="1920"/>
      <c r="V73" s="1920"/>
      <c r="W73" s="1920"/>
      <c r="X73" s="1920"/>
      <c r="Y73" s="1920"/>
      <c r="Z73" s="1920"/>
      <c r="AA73" s="1920"/>
      <c r="AB73" s="1920"/>
      <c r="AC73" s="1920"/>
      <c r="AD73" s="1920"/>
    </row>
    <row r="74" spans="1:36" s="3583" customFormat="1" ht="36">
      <c r="A74" s="3571" t="s">
        <v>3215</v>
      </c>
      <c r="B74" s="3590">
        <f>估价对象房地状况!C19</f>
        <v>0</v>
      </c>
      <c r="C74" s="3614"/>
      <c r="D74" s="3598">
        <f t="shared" si="17"/>
        <v>0</v>
      </c>
      <c r="E74" s="3604"/>
      <c r="F74" s="3600"/>
      <c r="G74" s="3615"/>
      <c r="H74" s="3616" t="str">
        <f t="shared" si="18"/>
        <v>——</v>
      </c>
      <c r="I74" s="3576">
        <v>0.1</v>
      </c>
      <c r="J74" s="3603">
        <f t="shared" si="19"/>
        <v>0</v>
      </c>
      <c r="K74" s="3603">
        <f t="shared" si="20"/>
        <v>0</v>
      </c>
      <c r="L74" s="3603">
        <v>0</v>
      </c>
      <c r="M74" s="3603">
        <f t="shared" si="21"/>
        <v>0</v>
      </c>
      <c r="N74" s="3603">
        <f t="shared" si="21"/>
        <v>0</v>
      </c>
      <c r="P74" s="1920"/>
      <c r="Q74" s="1920"/>
      <c r="R74" s="1920"/>
      <c r="S74" s="1920"/>
      <c r="T74" s="1920"/>
      <c r="U74" s="1920"/>
      <c r="V74" s="1920"/>
      <c r="W74" s="1920"/>
      <c r="X74" s="1920"/>
      <c r="Y74" s="1920"/>
      <c r="Z74" s="1920"/>
      <c r="AA74" s="1920"/>
      <c r="AB74" s="1920"/>
      <c r="AC74" s="1920"/>
      <c r="AD74" s="1920"/>
    </row>
    <row r="75" spans="1:36" s="1348" customFormat="1" ht="14.25">
      <c r="A75" s="3589" t="s">
        <v>956</v>
      </c>
      <c r="B75" s="3590">
        <f>估价对象房地状况!C24</f>
        <v>0</v>
      </c>
      <c r="C75" s="3614"/>
      <c r="D75" s="3598">
        <f t="shared" si="17"/>
        <v>0</v>
      </c>
      <c r="E75" s="3604"/>
      <c r="F75" s="3600"/>
      <c r="G75" s="3615"/>
      <c r="H75" s="3616" t="str">
        <f t="shared" si="18"/>
        <v>——</v>
      </c>
      <c r="I75" s="3576">
        <v>0.05</v>
      </c>
      <c r="J75" s="3603">
        <f t="shared" si="19"/>
        <v>0</v>
      </c>
      <c r="K75" s="3603">
        <f t="shared" si="20"/>
        <v>0</v>
      </c>
      <c r="L75" s="3603">
        <v>0</v>
      </c>
      <c r="M75" s="3603">
        <f t="shared" si="21"/>
        <v>0</v>
      </c>
      <c r="N75" s="3603">
        <f t="shared" si="21"/>
        <v>0</v>
      </c>
      <c r="O75" s="3583"/>
      <c r="P75" s="1920"/>
      <c r="Q75" s="1920"/>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8" customFormat="1" ht="24">
      <c r="A76" s="3589" t="s">
        <v>948</v>
      </c>
      <c r="B76" s="3608" t="str">
        <f>估价对象房地状况!C21</f>
        <v>估价对象所在区域公共配套设施齐备情况</v>
      </c>
      <c r="C76" s="3614"/>
      <c r="D76" s="3598">
        <f t="shared" si="17"/>
        <v>0</v>
      </c>
      <c r="E76" s="3604"/>
      <c r="F76" s="3600"/>
      <c r="G76" s="3615"/>
      <c r="H76" s="3616" t="str">
        <f t="shared" si="18"/>
        <v>——</v>
      </c>
      <c r="I76" s="3576">
        <v>0.08</v>
      </c>
      <c r="J76" s="3603">
        <f t="shared" si="19"/>
        <v>0</v>
      </c>
      <c r="K76" s="3603">
        <f t="shared" si="20"/>
        <v>0</v>
      </c>
      <c r="L76" s="3603">
        <v>0</v>
      </c>
      <c r="M76" s="3603">
        <f t="shared" si="21"/>
        <v>0</v>
      </c>
      <c r="N76" s="3603">
        <f t="shared" si="21"/>
        <v>0</v>
      </c>
      <c r="O76" s="3583"/>
      <c r="P76" s="1920"/>
      <c r="Q76" s="1920"/>
      <c r="AE76" s="3583"/>
      <c r="AF76" s="3583"/>
      <c r="AG76" s="3583"/>
      <c r="AH76" s="3583"/>
      <c r="AI76" s="3583"/>
      <c r="AJ76" s="3583"/>
    </row>
    <row r="77" spans="1:36" s="1348" customFormat="1" ht="24">
      <c r="A77" s="3589" t="s">
        <v>949</v>
      </c>
      <c r="B77" s="3608" t="str">
        <f>估价对象房地状况!C22</f>
        <v>估价对象所在区域基础设施水平</v>
      </c>
      <c r="C77" s="3614"/>
      <c r="D77" s="3598">
        <f t="shared" si="17"/>
        <v>0</v>
      </c>
      <c r="E77" s="3604"/>
      <c r="F77" s="3600"/>
      <c r="G77" s="3615"/>
      <c r="H77" s="3616" t="str">
        <f t="shared" si="18"/>
        <v>——</v>
      </c>
      <c r="I77" s="3576">
        <v>0.09</v>
      </c>
      <c r="J77" s="3603">
        <f t="shared" si="19"/>
        <v>0</v>
      </c>
      <c r="K77" s="3603">
        <f t="shared" si="20"/>
        <v>0</v>
      </c>
      <c r="L77" s="3603">
        <v>0</v>
      </c>
      <c r="M77" s="3603">
        <f t="shared" si="21"/>
        <v>0</v>
      </c>
      <c r="N77" s="3603">
        <f t="shared" si="21"/>
        <v>0</v>
      </c>
      <c r="O77" s="3583"/>
      <c r="P77" s="1920"/>
      <c r="Q77" s="1920"/>
      <c r="AE77" s="3583"/>
      <c r="AF77" s="3583"/>
      <c r="AG77" s="3583"/>
      <c r="AH77" s="3583"/>
      <c r="AI77" s="3583"/>
      <c r="AJ77" s="3583"/>
    </row>
    <row r="78" spans="1:36" s="1348" customFormat="1" ht="24">
      <c r="A78" s="3589" t="s">
        <v>947</v>
      </c>
      <c r="B78" s="3606" t="s">
        <v>2199</v>
      </c>
      <c r="C78" s="3614"/>
      <c r="D78" s="3598">
        <f t="shared" si="17"/>
        <v>0</v>
      </c>
      <c r="E78" s="3604"/>
      <c r="F78" s="3600"/>
      <c r="G78" s="3615"/>
      <c r="H78" s="3616" t="str">
        <f t="shared" si="18"/>
        <v>——</v>
      </c>
      <c r="I78" s="3576">
        <v>0.05</v>
      </c>
      <c r="J78" s="3603">
        <f t="shared" si="19"/>
        <v>0</v>
      </c>
      <c r="K78" s="3603">
        <f t="shared" si="20"/>
        <v>0</v>
      </c>
      <c r="L78" s="3603">
        <v>0</v>
      </c>
      <c r="M78" s="3603">
        <f t="shared" si="21"/>
        <v>0</v>
      </c>
      <c r="N78" s="3603">
        <f t="shared" si="21"/>
        <v>0</v>
      </c>
      <c r="O78" s="3583"/>
      <c r="P78" s="1920"/>
      <c r="Q78" s="1920"/>
      <c r="AE78" s="3583"/>
      <c r="AF78" s="3583"/>
      <c r="AG78" s="3583"/>
      <c r="AH78" s="3583"/>
      <c r="AI78" s="3583"/>
      <c r="AJ78" s="3583"/>
    </row>
    <row r="79" spans="1:36" s="1348" customFormat="1" ht="24">
      <c r="A79" s="3589" t="s">
        <v>950</v>
      </c>
      <c r="B79" s="3596" t="str">
        <f>估价对象房地状况!C20</f>
        <v>区域自然环境：；人文环境；综合评价环境状况一般</v>
      </c>
      <c r="C79" s="3614"/>
      <c r="D79" s="3598">
        <f t="shared" si="17"/>
        <v>0</v>
      </c>
      <c r="E79" s="3604"/>
      <c r="F79" s="3600"/>
      <c r="G79" s="3615"/>
      <c r="H79" s="3616" t="str">
        <f t="shared" si="18"/>
        <v>——</v>
      </c>
      <c r="I79" s="3576">
        <v>0.12</v>
      </c>
      <c r="J79" s="3603">
        <f t="shared" si="19"/>
        <v>0</v>
      </c>
      <c r="K79" s="3603">
        <f t="shared" si="20"/>
        <v>0</v>
      </c>
      <c r="L79" s="3603">
        <v>0</v>
      </c>
      <c r="M79" s="3603">
        <f t="shared" si="21"/>
        <v>0</v>
      </c>
      <c r="N79" s="3603">
        <f t="shared" si="21"/>
        <v>0</v>
      </c>
      <c r="P79" s="3617"/>
      <c r="Q79" s="3617"/>
      <c r="AE79" s="3583"/>
      <c r="AF79" s="3583"/>
      <c r="AG79" s="3583"/>
      <c r="AH79" s="3583"/>
      <c r="AI79" s="3583"/>
      <c r="AJ79" s="3583"/>
    </row>
    <row r="80" spans="1:36" s="1348" customFormat="1" ht="24.75" thickBot="1">
      <c r="A80" s="3609" t="s">
        <v>957</v>
      </c>
      <c r="B80" s="3618"/>
      <c r="C80" s="3614"/>
      <c r="D80" s="3598">
        <f t="shared" si="17"/>
        <v>0</v>
      </c>
      <c r="E80" s="3611"/>
      <c r="F80" s="3600"/>
      <c r="G80" s="3615"/>
      <c r="H80" s="3616" t="str">
        <f t="shared" si="18"/>
        <v>——</v>
      </c>
      <c r="I80" s="3578">
        <v>0.05</v>
      </c>
      <c r="J80" s="3603">
        <f t="shared" si="19"/>
        <v>0</v>
      </c>
      <c r="K80" s="3603">
        <f t="shared" si="20"/>
        <v>0</v>
      </c>
      <c r="L80" s="3603">
        <v>0</v>
      </c>
      <c r="M80" s="3603">
        <f t="shared" si="21"/>
        <v>0</v>
      </c>
      <c r="N80" s="3603">
        <f t="shared" si="21"/>
        <v>0</v>
      </c>
      <c r="AE80" s="3583"/>
      <c r="AF80" s="3583"/>
      <c r="AG80" s="3583"/>
      <c r="AH80" s="3583"/>
      <c r="AI80" s="3583"/>
      <c r="AJ80" s="3583"/>
    </row>
    <row r="81" spans="1:36" s="1348" customFormat="1" ht="15">
      <c r="A81" s="3584" t="s">
        <v>958</v>
      </c>
      <c r="B81" s="3648">
        <f>1+E83</f>
        <v>1</v>
      </c>
      <c r="C81" s="3612"/>
      <c r="D81" s="3586"/>
      <c r="E81" s="3587"/>
      <c r="F81" s="3588"/>
      <c r="G81" s="3582"/>
      <c r="H81" s="3582"/>
      <c r="I81" s="3582"/>
      <c r="J81" s="3433"/>
      <c r="K81" s="3433"/>
      <c r="L81" s="3433"/>
      <c r="M81" s="3433"/>
      <c r="N81" s="3433"/>
      <c r="AE81" s="3583"/>
      <c r="AF81" s="3583"/>
      <c r="AG81" s="3583"/>
      <c r="AH81" s="3583"/>
      <c r="AI81" s="3583"/>
      <c r="AJ81" s="3583"/>
    </row>
    <row r="82" spans="1:36" s="1348"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8" customFormat="1" ht="24">
      <c r="A83" s="3589" t="s">
        <v>959</v>
      </c>
      <c r="B83" s="3590" t="str">
        <f>估价对象房地状况!G15</f>
        <v>估价对象位于XX开发区，园区建设成熟度XX，产业集聚程度XX</v>
      </c>
      <c r="C83" s="3597"/>
      <c r="D83" s="3598">
        <f t="shared" ref="D83:D90" si="22">SUMIF($J$82:$N$82,C83,J83:N83)</f>
        <v>0</v>
      </c>
      <c r="E83" s="3599">
        <f>ROUND(SUM(D83:D90),4)</f>
        <v>0</v>
      </c>
      <c r="F83" s="3600" t="str">
        <f>IF(E2="工业",SUMIF(L1:L12,G2,N1:N12),"——")</f>
        <v>——</v>
      </c>
      <c r="G83" s="3601"/>
      <c r="H83" s="3602" t="str">
        <f t="shared" ref="H83:H90" si="23">IFERROR(ROUNDDOWN($F$83*I83/2,4),"——")</f>
        <v>——</v>
      </c>
      <c r="I83" s="3576">
        <v>0.26</v>
      </c>
      <c r="J83" s="3603">
        <f t="shared" ref="J83:J90" si="24">K83+$G83</f>
        <v>0</v>
      </c>
      <c r="K83" s="3603">
        <f t="shared" ref="K83:K90" si="25">$L83+$G83</f>
        <v>0</v>
      </c>
      <c r="L83" s="3603">
        <v>0</v>
      </c>
      <c r="M83" s="3603">
        <f t="shared" ref="M83:N90" si="26">L83-$G83</f>
        <v>0</v>
      </c>
      <c r="N83" s="3603">
        <f t="shared" si="26"/>
        <v>0</v>
      </c>
      <c r="AE83" s="3583"/>
      <c r="AF83" s="3583"/>
      <c r="AG83" s="3583"/>
      <c r="AH83" s="3583"/>
      <c r="AI83" s="3583"/>
      <c r="AJ83" s="3583"/>
    </row>
    <row r="84" spans="1:36" s="1348" customFormat="1" ht="36">
      <c r="A84" s="3589" t="s">
        <v>955</v>
      </c>
      <c r="B84" s="3590" t="str">
        <f>估价对象房地状况!G16</f>
        <v>估价对象周边道路状况、公共交通通达情况、停车便捷程度，综合评价交通便捷度较好</v>
      </c>
      <c r="C84" s="3597"/>
      <c r="D84" s="3598">
        <f t="shared" si="22"/>
        <v>0</v>
      </c>
      <c r="E84" s="3604"/>
      <c r="F84" s="3600"/>
      <c r="G84" s="3601"/>
      <c r="H84" s="3602" t="str">
        <f t="shared" si="23"/>
        <v>——</v>
      </c>
      <c r="I84" s="3576">
        <v>0.3</v>
      </c>
      <c r="J84" s="3603">
        <f t="shared" si="24"/>
        <v>0</v>
      </c>
      <c r="K84" s="3603">
        <f t="shared" si="25"/>
        <v>0</v>
      </c>
      <c r="L84" s="3603">
        <v>0</v>
      </c>
      <c r="M84" s="3603">
        <f t="shared" si="26"/>
        <v>0</v>
      </c>
      <c r="N84" s="3603">
        <f t="shared" si="26"/>
        <v>0</v>
      </c>
      <c r="AE84" s="3583"/>
      <c r="AF84" s="3583"/>
      <c r="AG84" s="3583"/>
      <c r="AH84" s="3583"/>
      <c r="AI84" s="3583"/>
      <c r="AJ84" s="3583"/>
    </row>
    <row r="85" spans="1:36" s="1348" customFormat="1" ht="24">
      <c r="A85" s="3589" t="s">
        <v>944</v>
      </c>
      <c r="B85" s="3590">
        <f>估价对象房地状况!G17</f>
        <v>0</v>
      </c>
      <c r="C85" s="3597"/>
      <c r="D85" s="3598">
        <f t="shared" si="22"/>
        <v>0</v>
      </c>
      <c r="E85" s="3604"/>
      <c r="F85" s="3600"/>
      <c r="G85" s="3601"/>
      <c r="H85" s="3602" t="str">
        <f t="shared" si="23"/>
        <v>——</v>
      </c>
      <c r="I85" s="3576">
        <v>0.1</v>
      </c>
      <c r="J85" s="3603">
        <f t="shared" si="24"/>
        <v>0</v>
      </c>
      <c r="K85" s="3603">
        <f t="shared" si="25"/>
        <v>0</v>
      </c>
      <c r="L85" s="3603">
        <v>0</v>
      </c>
      <c r="M85" s="3603">
        <f t="shared" si="26"/>
        <v>0</v>
      </c>
      <c r="N85" s="3603">
        <f t="shared" si="26"/>
        <v>0</v>
      </c>
      <c r="AE85" s="3583"/>
      <c r="AF85" s="3583"/>
      <c r="AG85" s="3583"/>
      <c r="AH85" s="3583"/>
      <c r="AI85" s="3583"/>
      <c r="AJ85" s="3583"/>
    </row>
    <row r="86" spans="1:36" s="1348" customFormat="1" ht="14.25">
      <c r="A86" s="3589" t="s">
        <v>956</v>
      </c>
      <c r="B86" s="3590">
        <f>估价对象房地状况!G22</f>
        <v>0</v>
      </c>
      <c r="C86" s="3597"/>
      <c r="D86" s="3598">
        <f t="shared" si="22"/>
        <v>0</v>
      </c>
      <c r="E86" s="3604"/>
      <c r="F86" s="3600"/>
      <c r="G86" s="3601"/>
      <c r="H86" s="3602" t="str">
        <f t="shared" si="23"/>
        <v>——</v>
      </c>
      <c r="I86" s="3576">
        <v>0.05</v>
      </c>
      <c r="J86" s="3603">
        <f t="shared" si="24"/>
        <v>0</v>
      </c>
      <c r="K86" s="3603">
        <f t="shared" si="25"/>
        <v>0</v>
      </c>
      <c r="L86" s="3603">
        <v>0</v>
      </c>
      <c r="M86" s="3603">
        <f t="shared" si="26"/>
        <v>0</v>
      </c>
      <c r="N86" s="3603">
        <f t="shared" si="26"/>
        <v>0</v>
      </c>
      <c r="AE86" s="3583"/>
      <c r="AF86" s="3583"/>
      <c r="AG86" s="3583"/>
      <c r="AH86" s="3583"/>
      <c r="AI86" s="3583"/>
      <c r="AJ86" s="3583"/>
    </row>
    <row r="87" spans="1:36" s="1348" customFormat="1" ht="24">
      <c r="A87" s="3589" t="s">
        <v>948</v>
      </c>
      <c r="B87" s="3608" t="str">
        <f>估价对象房地状况!G19</f>
        <v>估价对象所在区域公共配套设施齐备情况</v>
      </c>
      <c r="C87" s="3597"/>
      <c r="D87" s="3598">
        <f t="shared" si="22"/>
        <v>0</v>
      </c>
      <c r="E87" s="3604"/>
      <c r="F87" s="3600"/>
      <c r="G87" s="3601"/>
      <c r="H87" s="3602" t="str">
        <f t="shared" si="23"/>
        <v>——</v>
      </c>
      <c r="I87" s="3576">
        <v>0.06</v>
      </c>
      <c r="J87" s="3603">
        <f t="shared" si="24"/>
        <v>0</v>
      </c>
      <c r="K87" s="3603">
        <f t="shared" si="25"/>
        <v>0</v>
      </c>
      <c r="L87" s="3603">
        <v>0</v>
      </c>
      <c r="M87" s="3603">
        <f t="shared" si="26"/>
        <v>0</v>
      </c>
      <c r="N87" s="3603">
        <f t="shared" si="26"/>
        <v>0</v>
      </c>
      <c r="AE87" s="3583"/>
      <c r="AF87" s="3583"/>
      <c r="AG87" s="3583"/>
      <c r="AH87" s="3583"/>
      <c r="AI87" s="3583"/>
      <c r="AJ87" s="3583"/>
    </row>
    <row r="88" spans="1:36" s="1348" customFormat="1" ht="24">
      <c r="A88" s="3589" t="s">
        <v>949</v>
      </c>
      <c r="B88" s="3608" t="str">
        <f>估价对象房地状况!G20</f>
        <v>估价对象所在区域基础设施水平</v>
      </c>
      <c r="C88" s="3597"/>
      <c r="D88" s="3598">
        <f t="shared" si="22"/>
        <v>0</v>
      </c>
      <c r="E88" s="3604"/>
      <c r="F88" s="3600"/>
      <c r="G88" s="3601"/>
      <c r="H88" s="3602" t="str">
        <f t="shared" si="23"/>
        <v>——</v>
      </c>
      <c r="I88" s="3576">
        <v>0.12</v>
      </c>
      <c r="J88" s="3603">
        <f t="shared" si="24"/>
        <v>0</v>
      </c>
      <c r="K88" s="3603">
        <f t="shared" si="25"/>
        <v>0</v>
      </c>
      <c r="L88" s="3603">
        <v>0</v>
      </c>
      <c r="M88" s="3603">
        <f t="shared" si="26"/>
        <v>0</v>
      </c>
      <c r="N88" s="3603">
        <f t="shared" si="26"/>
        <v>0</v>
      </c>
      <c r="AE88" s="3583"/>
      <c r="AF88" s="3583"/>
      <c r="AG88" s="3583"/>
      <c r="AH88" s="3583"/>
      <c r="AI88" s="3583"/>
      <c r="AJ88" s="3583"/>
    </row>
    <row r="89" spans="1:36" s="1348" customFormat="1" ht="24">
      <c r="A89" s="3589" t="s">
        <v>947</v>
      </c>
      <c r="B89" s="3606" t="s">
        <v>2199</v>
      </c>
      <c r="C89" s="3597"/>
      <c r="D89" s="3598">
        <f t="shared" si="22"/>
        <v>0</v>
      </c>
      <c r="E89" s="3604"/>
      <c r="F89" s="3600"/>
      <c r="G89" s="3601"/>
      <c r="H89" s="3602" t="str">
        <f t="shared" si="23"/>
        <v>——</v>
      </c>
      <c r="I89" s="3576">
        <v>0.06</v>
      </c>
      <c r="J89" s="3603">
        <f t="shared" si="24"/>
        <v>0</v>
      </c>
      <c r="K89" s="3603">
        <f t="shared" si="25"/>
        <v>0</v>
      </c>
      <c r="L89" s="3603">
        <v>0</v>
      </c>
      <c r="M89" s="3603">
        <f t="shared" si="26"/>
        <v>0</v>
      </c>
      <c r="N89" s="3603">
        <f t="shared" si="26"/>
        <v>0</v>
      </c>
      <c r="AE89" s="3583"/>
      <c r="AF89" s="3583"/>
      <c r="AG89" s="3583"/>
      <c r="AH89" s="3583"/>
      <c r="AI89" s="3583"/>
      <c r="AJ89" s="3583"/>
    </row>
    <row r="90" spans="1:36" s="1348" customFormat="1" ht="36.75" thickBot="1">
      <c r="A90" s="3609" t="s">
        <v>960</v>
      </c>
      <c r="B90" s="3619" t="str">
        <f>估价对象房地状况!G18</f>
        <v>该园区内是否有污染型企业，绿化情况，卫生条件，整体环境状况判断</v>
      </c>
      <c r="C90" s="3597"/>
      <c r="D90" s="3598">
        <f t="shared" si="22"/>
        <v>0</v>
      </c>
      <c r="E90" s="3611"/>
      <c r="F90" s="3600"/>
      <c r="G90" s="3601"/>
      <c r="H90" s="3602" t="str">
        <f t="shared" si="23"/>
        <v>——</v>
      </c>
      <c r="I90" s="3578">
        <v>0.05</v>
      </c>
      <c r="J90" s="3603">
        <f t="shared" si="24"/>
        <v>0</v>
      </c>
      <c r="K90" s="3603">
        <f t="shared" si="25"/>
        <v>0</v>
      </c>
      <c r="L90" s="3603">
        <v>0</v>
      </c>
      <c r="M90" s="3603">
        <f t="shared" si="26"/>
        <v>0</v>
      </c>
      <c r="N90" s="3603">
        <f t="shared" si="26"/>
        <v>0</v>
      </c>
      <c r="AE90" s="3583"/>
      <c r="AF90" s="3583"/>
      <c r="AG90" s="3583"/>
      <c r="AH90" s="3583"/>
      <c r="AI90" s="3583"/>
      <c r="AJ90" s="3583"/>
    </row>
    <row r="91" spans="1:36" s="1348" customFormat="1" ht="15">
      <c r="A91" s="3572" t="s">
        <v>3224</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8" customFormat="1" ht="24">
      <c r="A92" s="3573" t="s">
        <v>3225</v>
      </c>
      <c r="B92" s="3573"/>
      <c r="C92" s="3573" t="s">
        <v>3230</v>
      </c>
      <c r="D92" s="3573" t="s">
        <v>3217</v>
      </c>
      <c r="E92" s="3630" t="s">
        <v>3218</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8" customFormat="1" ht="24">
      <c r="A93" s="3628" t="s">
        <v>3226</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7">$L93+$G93</f>
        <v>0</v>
      </c>
      <c r="L93" s="3627">
        <v>0</v>
      </c>
      <c r="M93" s="3627">
        <f t="shared" ref="M93:N93" si="28">L93-$G93</f>
        <v>0</v>
      </c>
      <c r="N93" s="3627">
        <f t="shared" si="28"/>
        <v>0</v>
      </c>
      <c r="AE93" s="3583"/>
      <c r="AF93" s="3583"/>
      <c r="AG93" s="3583"/>
      <c r="AH93" s="3583"/>
      <c r="AI93" s="3583"/>
      <c r="AJ93" s="3583"/>
    </row>
    <row r="94" spans="1:36" s="1348" customFormat="1" ht="36">
      <c r="A94" s="3573" t="s">
        <v>3227</v>
      </c>
      <c r="B94" s="3590" t="str">
        <f>估价对象房地状况!G16</f>
        <v>估价对象周边道路状况、公共交通通达情况、停车便捷程度，综合评价交通便捷度较好</v>
      </c>
      <c r="C94" s="3597"/>
      <c r="D94" s="3598">
        <f t="shared" ref="D94:D101" si="29">SUMIF($J$92:$N$92,C94,J94:N94)</f>
        <v>0</v>
      </c>
      <c r="E94" s="3622"/>
      <c r="F94" s="3600"/>
      <c r="G94" s="3615"/>
      <c r="H94" s="3602" t="str">
        <f t="shared" ref="H94:H101" si="30">IFERROR(ROUNDDOWN($F$93*I94/2,4),"——")</f>
        <v>——</v>
      </c>
      <c r="I94" s="3576">
        <v>0.26</v>
      </c>
      <c r="J94" s="3627">
        <f>K94+$G94</f>
        <v>0</v>
      </c>
      <c r="K94" s="3627">
        <f t="shared" si="27"/>
        <v>0</v>
      </c>
      <c r="L94" s="3627">
        <v>0</v>
      </c>
      <c r="M94" s="3627">
        <f t="shared" ref="M94:M101" si="31">L94-$G94</f>
        <v>0</v>
      </c>
      <c r="N94" s="3627">
        <f t="shared" ref="N94:N101" si="32">M94-$G94</f>
        <v>0</v>
      </c>
      <c r="AE94" s="3583"/>
      <c r="AF94" s="3583"/>
      <c r="AG94" s="3583"/>
      <c r="AH94" s="3583"/>
      <c r="AI94" s="3583"/>
      <c r="AJ94" s="3583"/>
    </row>
    <row r="95" spans="1:36" s="1348" customFormat="1" ht="36">
      <c r="A95" s="3628" t="s">
        <v>3215</v>
      </c>
      <c r="B95" s="3590">
        <f>估价对象房地状况!G17</f>
        <v>0</v>
      </c>
      <c r="C95" s="3597"/>
      <c r="D95" s="3598">
        <f t="shared" si="29"/>
        <v>0</v>
      </c>
      <c r="E95" s="3622"/>
      <c r="F95" s="3600"/>
      <c r="G95" s="3615"/>
      <c r="H95" s="3602" t="str">
        <f t="shared" si="30"/>
        <v>——</v>
      </c>
      <c r="I95" s="3576">
        <v>0.11</v>
      </c>
      <c r="J95" s="3627">
        <f t="shared" ref="J95:J101" si="33">K95+$G95</f>
        <v>0</v>
      </c>
      <c r="K95" s="3627">
        <f t="shared" si="27"/>
        <v>0</v>
      </c>
      <c r="L95" s="3627">
        <v>0</v>
      </c>
      <c r="M95" s="3627">
        <f t="shared" si="31"/>
        <v>0</v>
      </c>
      <c r="N95" s="3627">
        <f t="shared" si="32"/>
        <v>0</v>
      </c>
      <c r="AE95" s="3583"/>
      <c r="AF95" s="3583"/>
      <c r="AG95" s="3583"/>
      <c r="AH95" s="3583"/>
      <c r="AI95" s="3583"/>
      <c r="AJ95" s="3583"/>
    </row>
    <row r="96" spans="1:36" s="1348" customFormat="1" ht="36.75">
      <c r="A96" s="3573" t="s">
        <v>3219</v>
      </c>
      <c r="B96" s="3577" t="s">
        <v>3220</v>
      </c>
      <c r="C96" s="3597"/>
      <c r="D96" s="3598">
        <f t="shared" si="29"/>
        <v>0</v>
      </c>
      <c r="E96" s="3622"/>
      <c r="F96" s="3600"/>
      <c r="G96" s="3615"/>
      <c r="H96" s="3602" t="str">
        <f t="shared" si="30"/>
        <v>——</v>
      </c>
      <c r="I96" s="3576">
        <v>0.05</v>
      </c>
      <c r="J96" s="3627">
        <f t="shared" si="33"/>
        <v>0</v>
      </c>
      <c r="K96" s="3627">
        <f t="shared" si="27"/>
        <v>0</v>
      </c>
      <c r="L96" s="3627">
        <v>0</v>
      </c>
      <c r="M96" s="3627">
        <f>L96-$G96</f>
        <v>0</v>
      </c>
      <c r="N96" s="3627">
        <f t="shared" si="32"/>
        <v>0</v>
      </c>
      <c r="AE96" s="3583"/>
      <c r="AF96" s="3583"/>
      <c r="AG96" s="3583"/>
      <c r="AH96" s="3583"/>
      <c r="AI96" s="3583"/>
      <c r="AJ96" s="3583"/>
    </row>
    <row r="97" spans="1:36" s="1348" customFormat="1" ht="24">
      <c r="A97" s="3573" t="s">
        <v>3221</v>
      </c>
      <c r="B97" s="3590">
        <f>估价对象房地状况!G22</f>
        <v>0</v>
      </c>
      <c r="C97" s="3597"/>
      <c r="D97" s="3598">
        <f t="shared" si="29"/>
        <v>0</v>
      </c>
      <c r="E97" s="3622"/>
      <c r="F97" s="3600"/>
      <c r="G97" s="3615"/>
      <c r="H97" s="3602" t="str">
        <f t="shared" si="30"/>
        <v>——</v>
      </c>
      <c r="I97" s="3576">
        <v>0.05</v>
      </c>
      <c r="J97" s="3627">
        <f t="shared" si="33"/>
        <v>0</v>
      </c>
      <c r="K97" s="3627">
        <f t="shared" si="27"/>
        <v>0</v>
      </c>
      <c r="L97" s="3627">
        <v>0</v>
      </c>
      <c r="M97" s="3627">
        <f t="shared" si="31"/>
        <v>0</v>
      </c>
      <c r="N97" s="3627">
        <f t="shared" si="32"/>
        <v>0</v>
      </c>
      <c r="AE97" s="3583"/>
      <c r="AF97" s="3583"/>
      <c r="AG97" s="3583"/>
      <c r="AH97" s="3583"/>
      <c r="AI97" s="3583"/>
      <c r="AJ97" s="3583"/>
    </row>
    <row r="98" spans="1:36" s="1348" customFormat="1" ht="24">
      <c r="A98" s="3573" t="s">
        <v>3228</v>
      </c>
      <c r="B98" s="3605" t="s">
        <v>2199</v>
      </c>
      <c r="C98" s="3597"/>
      <c r="D98" s="3598">
        <f t="shared" si="29"/>
        <v>0</v>
      </c>
      <c r="E98" s="3622"/>
      <c r="F98" s="3600"/>
      <c r="G98" s="3615"/>
      <c r="H98" s="3602" t="str">
        <f t="shared" si="30"/>
        <v>——</v>
      </c>
      <c r="I98" s="3576">
        <v>0.06</v>
      </c>
      <c r="J98" s="3627">
        <f t="shared" si="33"/>
        <v>0</v>
      </c>
      <c r="K98" s="3627">
        <f t="shared" si="27"/>
        <v>0</v>
      </c>
      <c r="L98" s="3627">
        <v>0</v>
      </c>
      <c r="M98" s="3627">
        <f t="shared" si="31"/>
        <v>0</v>
      </c>
      <c r="N98" s="3627">
        <f t="shared" si="32"/>
        <v>0</v>
      </c>
      <c r="AE98" s="3583"/>
      <c r="AF98" s="3583"/>
      <c r="AG98" s="3583"/>
      <c r="AH98" s="3583"/>
      <c r="AI98" s="3583"/>
      <c r="AJ98" s="3583"/>
    </row>
    <row r="99" spans="1:36" s="1348" customFormat="1" ht="24">
      <c r="A99" s="3573" t="s">
        <v>3229</v>
      </c>
      <c r="B99" s="3590" t="str">
        <f>估价对象房地状况!C21</f>
        <v>估价对象所在区域公共配套设施齐备情况</v>
      </c>
      <c r="C99" s="3597"/>
      <c r="D99" s="3598">
        <f t="shared" si="29"/>
        <v>0</v>
      </c>
      <c r="E99" s="3622"/>
      <c r="F99" s="3600"/>
      <c r="G99" s="3615"/>
      <c r="H99" s="3602" t="str">
        <f t="shared" si="30"/>
        <v>——</v>
      </c>
      <c r="I99" s="3576">
        <v>0.06</v>
      </c>
      <c r="J99" s="3627">
        <f t="shared" si="33"/>
        <v>0</v>
      </c>
      <c r="K99" s="3627">
        <f t="shared" si="27"/>
        <v>0</v>
      </c>
      <c r="L99" s="3627">
        <v>0</v>
      </c>
      <c r="M99" s="3627">
        <f t="shared" si="31"/>
        <v>0</v>
      </c>
      <c r="N99" s="3627">
        <f t="shared" si="32"/>
        <v>0</v>
      </c>
      <c r="AE99" s="3583"/>
      <c r="AF99" s="3583"/>
      <c r="AG99" s="3583"/>
      <c r="AH99" s="3583"/>
      <c r="AI99" s="3583"/>
      <c r="AJ99" s="3583"/>
    </row>
    <row r="100" spans="1:36" s="1348" customFormat="1" ht="24">
      <c r="A100" s="3573" t="s">
        <v>3222</v>
      </c>
      <c r="B100" s="3590" t="str">
        <f>估价对象房地状况!C22</f>
        <v>估价对象所在区域基础设施水平</v>
      </c>
      <c r="C100" s="3597"/>
      <c r="D100" s="3598">
        <f t="shared" si="29"/>
        <v>0</v>
      </c>
      <c r="E100" s="3622"/>
      <c r="F100" s="3600"/>
      <c r="G100" s="3615"/>
      <c r="H100" s="3602" t="str">
        <f t="shared" si="30"/>
        <v>——</v>
      </c>
      <c r="I100" s="3576">
        <v>0.09</v>
      </c>
      <c r="J100" s="3627">
        <f t="shared" si="33"/>
        <v>0</v>
      </c>
      <c r="K100" s="3627">
        <f t="shared" si="27"/>
        <v>0</v>
      </c>
      <c r="L100" s="3627">
        <v>0</v>
      </c>
      <c r="M100" s="3627">
        <f t="shared" si="31"/>
        <v>0</v>
      </c>
      <c r="N100" s="3627">
        <f t="shared" si="32"/>
        <v>0</v>
      </c>
      <c r="AE100" s="3583"/>
      <c r="AF100" s="3583"/>
      <c r="AG100" s="3583"/>
      <c r="AH100" s="3583"/>
      <c r="AI100" s="3583"/>
      <c r="AJ100" s="3583"/>
    </row>
    <row r="101" spans="1:36" s="1348" customFormat="1" ht="24.75" thickBot="1">
      <c r="A101" s="3573" t="s">
        <v>3223</v>
      </c>
      <c r="B101" s="3596" t="str">
        <f>估价对象房地状况!C20</f>
        <v>区域自然环境：；人文环境；综合评价环境状况一般</v>
      </c>
      <c r="C101" s="3597"/>
      <c r="D101" s="3598">
        <f t="shared" si="29"/>
        <v>0</v>
      </c>
      <c r="E101" s="3622"/>
      <c r="F101" s="3600"/>
      <c r="G101" s="3615"/>
      <c r="H101" s="3602" t="str">
        <f t="shared" si="30"/>
        <v>——</v>
      </c>
      <c r="I101" s="3578">
        <v>7.0000000000000007E-2</v>
      </c>
      <c r="J101" s="3627">
        <f t="shared" si="33"/>
        <v>0</v>
      </c>
      <c r="K101" s="3627">
        <f t="shared" si="27"/>
        <v>0</v>
      </c>
      <c r="L101" s="3627">
        <v>0</v>
      </c>
      <c r="M101" s="3627">
        <f t="shared" si="31"/>
        <v>0</v>
      </c>
      <c r="N101" s="3627">
        <f t="shared" si="32"/>
        <v>0</v>
      </c>
      <c r="AE101" s="3583"/>
      <c r="AF101" s="3583"/>
      <c r="AG101" s="3583"/>
      <c r="AH101" s="3583"/>
      <c r="AI101" s="3583"/>
      <c r="AJ101" s="3583"/>
    </row>
    <row r="102" spans="1:36" s="1348" customFormat="1" ht="14.25">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8" customFormat="1">
      <c r="K103" s="3583"/>
      <c r="AD103" s="3583"/>
      <c r="AE103" s="3583"/>
      <c r="AF103" s="3583"/>
      <c r="AG103" s="3583"/>
      <c r="AH103" s="3583"/>
      <c r="AI103" s="3583"/>
    </row>
    <row r="104" spans="1:36">
      <c r="A104" s="3931" t="s">
        <v>1172</v>
      </c>
      <c r="B104" s="3931"/>
      <c r="C104" s="3931"/>
      <c r="D104" s="3931"/>
      <c r="E104" s="3931"/>
      <c r="F104" s="3931"/>
      <c r="G104" s="3931"/>
      <c r="H104" s="3931"/>
      <c r="I104" s="3931"/>
      <c r="J104" s="3931"/>
      <c r="K104" s="2103"/>
      <c r="L104" s="2103"/>
      <c r="M104" s="2103"/>
      <c r="N104" s="2103"/>
    </row>
    <row r="105" spans="1:36">
      <c r="A105" s="3932" t="s">
        <v>1161</v>
      </c>
      <c r="B105" s="3932" t="s">
        <v>1173</v>
      </c>
      <c r="C105" s="1041" t="s">
        <v>1174</v>
      </c>
      <c r="D105" s="1042"/>
      <c r="E105" s="1042"/>
      <c r="F105" s="1042"/>
      <c r="G105" s="1042"/>
      <c r="H105" s="1042"/>
      <c r="I105" s="1042"/>
      <c r="J105" s="1043"/>
      <c r="K105" s="1035"/>
      <c r="L105" s="1035"/>
      <c r="M105" s="1035"/>
      <c r="N105" s="1035"/>
    </row>
    <row r="106" spans="1:36">
      <c r="A106" s="3932"/>
      <c r="B106" s="3932"/>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21"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22"/>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22"/>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22"/>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22"/>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22"/>
      <c r="B112" s="1044" t="s">
        <v>3231</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23"/>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28" t="s">
        <v>1175</v>
      </c>
      <c r="B114" s="3928"/>
      <c r="C114" s="3928"/>
      <c r="D114" s="3928"/>
      <c r="E114" s="3928"/>
      <c r="F114" s="3928"/>
      <c r="G114" s="3928"/>
      <c r="H114" s="3928"/>
      <c r="I114" s="3928"/>
      <c r="J114" s="3928"/>
      <c r="K114" s="2101"/>
      <c r="L114" s="2101"/>
      <c r="M114" s="2101"/>
      <c r="N114" s="2101"/>
    </row>
    <row r="116" spans="1:14" ht="12.75" thickBot="1"/>
    <row r="117" spans="1:14" ht="25.5" thickBot="1">
      <c r="A117" s="976" t="s">
        <v>831</v>
      </c>
      <c r="B117" s="2104">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2" t="s">
        <v>3232</v>
      </c>
      <c r="B119" s="3574">
        <f>ROUND(0.9968-0.011*B117,4)</f>
        <v>0.99680000000000002</v>
      </c>
      <c r="C119" s="3574">
        <f>B119</f>
        <v>0.99680000000000002</v>
      </c>
      <c r="D119" s="3574">
        <f>ROUND(0.949-0.014*B117,4)</f>
        <v>0.94899999999999995</v>
      </c>
      <c r="E119" s="3574">
        <f>D119</f>
        <v>0.94899999999999995</v>
      </c>
      <c r="F119" s="3574">
        <f>E119</f>
        <v>0.94899999999999995</v>
      </c>
      <c r="G119" s="3574">
        <f>F119</f>
        <v>0.94899999999999995</v>
      </c>
      <c r="H119" s="3574">
        <f>G119</f>
        <v>0.94899999999999995</v>
      </c>
      <c r="I119" s="3574">
        <f>ROUND(0.8486-0.018*B117,4)</f>
        <v>0.84860000000000002</v>
      </c>
      <c r="J119" s="3574">
        <f t="shared" ref="J119:M123" si="35">I119</f>
        <v>0.84860000000000002</v>
      </c>
      <c r="K119" s="3574">
        <f t="shared" si="35"/>
        <v>0.84860000000000002</v>
      </c>
      <c r="L119" s="3574">
        <f t="shared" si="35"/>
        <v>0.84860000000000002</v>
      </c>
      <c r="M119" s="3635">
        <f t="shared" si="35"/>
        <v>0.84860000000000002</v>
      </c>
    </row>
    <row r="120" spans="1:14" ht="12.75">
      <c r="A120" s="3632" t="s">
        <v>3233</v>
      </c>
      <c r="B120" s="3574">
        <f>ROUND(0.993-0.0112*B117,4)</f>
        <v>0.99299999999999999</v>
      </c>
      <c r="C120" s="3574">
        <f>B120</f>
        <v>0.99299999999999999</v>
      </c>
      <c r="D120" s="3574">
        <f>ROUND(0.9415-0.0142*B117,4)</f>
        <v>0.9415</v>
      </c>
      <c r="E120" s="3574">
        <f t="shared" ref="E120:H121" si="36">D120</f>
        <v>0.9415</v>
      </c>
      <c r="F120" s="3574">
        <f t="shared" si="36"/>
        <v>0.9415</v>
      </c>
      <c r="G120" s="3574">
        <f t="shared" si="36"/>
        <v>0.9415</v>
      </c>
      <c r="H120" s="3574">
        <f t="shared" si="36"/>
        <v>0.9415</v>
      </c>
      <c r="I120" s="3574">
        <f>ROUND(0.838-0.0182*B117,4)</f>
        <v>0.83799999999999997</v>
      </c>
      <c r="J120" s="3574">
        <f t="shared" si="35"/>
        <v>0.83799999999999997</v>
      </c>
      <c r="K120" s="3574">
        <f t="shared" si="35"/>
        <v>0.83799999999999997</v>
      </c>
      <c r="L120" s="3574">
        <f t="shared" si="35"/>
        <v>0.83799999999999997</v>
      </c>
      <c r="M120" s="3635">
        <f t="shared" si="35"/>
        <v>0.83799999999999997</v>
      </c>
    </row>
    <row r="121" spans="1:14" ht="12.75">
      <c r="A121" s="3632" t="s">
        <v>3234</v>
      </c>
      <c r="B121" s="3574">
        <f>ROUND(0.9448-0.0115*B117,4)</f>
        <v>0.94479999999999997</v>
      </c>
      <c r="C121" s="3574">
        <f>B121</f>
        <v>0.94479999999999997</v>
      </c>
      <c r="D121" s="3574">
        <f>ROUND(0.937-0.0145*B117,4)</f>
        <v>0.93700000000000006</v>
      </c>
      <c r="E121" s="3574">
        <f t="shared" si="36"/>
        <v>0.93700000000000006</v>
      </c>
      <c r="F121" s="3574">
        <f t="shared" si="36"/>
        <v>0.93700000000000006</v>
      </c>
      <c r="G121" s="3574">
        <f t="shared" si="36"/>
        <v>0.93700000000000006</v>
      </c>
      <c r="H121" s="3574">
        <f t="shared" si="36"/>
        <v>0.93700000000000006</v>
      </c>
      <c r="I121" s="3574">
        <f>ROUND(0.7965-0.0185*B117,4)</f>
        <v>0.79649999999999999</v>
      </c>
      <c r="J121" s="3574">
        <f t="shared" si="35"/>
        <v>0.79649999999999999</v>
      </c>
      <c r="K121" s="3574">
        <f t="shared" si="35"/>
        <v>0.79649999999999999</v>
      </c>
      <c r="L121" s="3574">
        <f t="shared" si="35"/>
        <v>0.79649999999999999</v>
      </c>
      <c r="M121" s="3635">
        <f t="shared" si="35"/>
        <v>0.79649999999999999</v>
      </c>
    </row>
    <row r="122" spans="1:14" ht="13.5" thickBot="1">
      <c r="A122" s="3633" t="s">
        <v>3235</v>
      </c>
      <c r="B122" s="3636">
        <f>ROUND(0.7836-0.012*B117,4)</f>
        <v>0.78359999999999996</v>
      </c>
      <c r="C122" s="3636">
        <f>B122</f>
        <v>0.78359999999999996</v>
      </c>
      <c r="D122" s="3636">
        <f>ROUND(0.753-0.015*B117,4)</f>
        <v>0.753</v>
      </c>
      <c r="E122" s="3636">
        <f>D122</f>
        <v>0.753</v>
      </c>
      <c r="F122" s="3636">
        <f>E122</f>
        <v>0.753</v>
      </c>
      <c r="G122" s="3636">
        <f>ROUND(0.6612-0.018*B117,4)</f>
        <v>0.66120000000000001</v>
      </c>
      <c r="H122" s="3636">
        <f>G122</f>
        <v>0.66120000000000001</v>
      </c>
      <c r="I122" s="3636">
        <f>ROUND(0.5905-0.019*B117,4)</f>
        <v>0.59050000000000002</v>
      </c>
      <c r="J122" s="3636">
        <f t="shared" si="35"/>
        <v>0.59050000000000002</v>
      </c>
      <c r="K122" s="3636">
        <f t="shared" si="35"/>
        <v>0.59050000000000002</v>
      </c>
      <c r="L122" s="3636">
        <f t="shared" si="35"/>
        <v>0.59050000000000002</v>
      </c>
      <c r="M122" s="3637">
        <f t="shared" si="35"/>
        <v>0.59050000000000002</v>
      </c>
    </row>
    <row r="123" spans="1:14" ht="12.75">
      <c r="A123" s="3634" t="s">
        <v>3216</v>
      </c>
      <c r="B123" s="3574">
        <f>ROUND(0.9404-0.0106*B117,4)</f>
        <v>0.94040000000000001</v>
      </c>
      <c r="C123" s="3574">
        <f>B123</f>
        <v>0.94040000000000001</v>
      </c>
      <c r="D123" s="3574">
        <f>ROUND(0.8955-0.0135*B117,4)</f>
        <v>0.89549999999999996</v>
      </c>
      <c r="E123" s="3574">
        <f t="shared" ref="E123:H123" si="37">D123</f>
        <v>0.89549999999999996</v>
      </c>
      <c r="F123" s="3574">
        <f t="shared" si="37"/>
        <v>0.89549999999999996</v>
      </c>
      <c r="G123" s="3574">
        <f t="shared" si="37"/>
        <v>0.89549999999999996</v>
      </c>
      <c r="H123" s="3574">
        <f t="shared" si="37"/>
        <v>0.89549999999999996</v>
      </c>
      <c r="I123" s="3574">
        <f>ROUND(0.7632-0.0166*B117,4)</f>
        <v>0.76319999999999999</v>
      </c>
      <c r="J123" s="3574">
        <f t="shared" si="35"/>
        <v>0.76319999999999999</v>
      </c>
      <c r="K123" s="3574">
        <f t="shared" si="35"/>
        <v>0.76319999999999999</v>
      </c>
      <c r="L123" s="3574">
        <f t="shared" si="35"/>
        <v>0.76319999999999999</v>
      </c>
      <c r="M123" s="3635">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1">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13" zoomScale="90" zoomScaleNormal="90" workbookViewId="0">
      <selection activeCell="C20" sqref="C20:C53"/>
    </sheetView>
  </sheetViews>
  <sheetFormatPr defaultColWidth="13.875" defaultRowHeight="13.5"/>
  <cols>
    <col min="1" max="1" width="13.875" style="1008"/>
    <col min="2" max="9" width="13.875" style="1025"/>
    <col min="10" max="16384" width="13.875" style="1008"/>
  </cols>
  <sheetData>
    <row r="1" spans="1:13" ht="14.25" thickBot="1">
      <c r="A1" s="1026" t="s">
        <v>2761</v>
      </c>
      <c r="B1" s="1013" t="s">
        <v>990</v>
      </c>
      <c r="C1" s="1013" t="s">
        <v>1031</v>
      </c>
      <c r="D1" s="1013" t="s">
        <v>1145</v>
      </c>
      <c r="E1" s="1013" t="s">
        <v>853</v>
      </c>
      <c r="F1" s="1013" t="s">
        <v>1152</v>
      </c>
      <c r="G1" s="1013" t="s">
        <v>1153</v>
      </c>
      <c r="H1" s="1013" t="s">
        <v>1154</v>
      </c>
      <c r="I1" s="1013" t="s">
        <v>1155</v>
      </c>
      <c r="J1" s="1013" t="s">
        <v>1156</v>
      </c>
      <c r="K1" s="1013" t="s">
        <v>1157</v>
      </c>
      <c r="L1" s="1013" t="s">
        <v>2762</v>
      </c>
      <c r="M1" s="1014" t="s">
        <v>2763</v>
      </c>
    </row>
    <row r="2" spans="1:13">
      <c r="A2" s="3234" t="s">
        <v>2738</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2764</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2736</v>
      </c>
      <c r="B7" s="3248">
        <v>2.5</v>
      </c>
      <c r="C7" s="3248">
        <v>2.5</v>
      </c>
      <c r="D7" s="3248">
        <v>2</v>
      </c>
      <c r="E7" s="3248">
        <v>2</v>
      </c>
      <c r="F7" s="3248">
        <v>2</v>
      </c>
      <c r="G7" s="3248">
        <v>2</v>
      </c>
      <c r="H7" s="3248">
        <v>2</v>
      </c>
      <c r="I7" s="3249">
        <v>1.5</v>
      </c>
      <c r="J7" s="3249">
        <v>1.5</v>
      </c>
      <c r="K7" s="3249">
        <v>1.5</v>
      </c>
      <c r="L7" s="3249">
        <v>1.5</v>
      </c>
      <c r="M7" s="3250">
        <v>1.5</v>
      </c>
    </row>
    <row r="8" spans="1:13">
      <c r="A8" s="1027" t="s">
        <v>2765</v>
      </c>
      <c r="B8" s="3251">
        <v>80</v>
      </c>
      <c r="C8" s="3251">
        <v>80</v>
      </c>
      <c r="D8" s="3251">
        <v>70</v>
      </c>
      <c r="E8" s="3251">
        <v>70</v>
      </c>
      <c r="F8" s="3251">
        <v>70</v>
      </c>
      <c r="G8" s="3251">
        <v>70</v>
      </c>
      <c r="H8" s="3251">
        <v>70</v>
      </c>
      <c r="I8" s="3251">
        <v>60</v>
      </c>
      <c r="J8" s="3251">
        <v>60</v>
      </c>
      <c r="K8" s="3251">
        <v>60</v>
      </c>
      <c r="L8" s="3251">
        <v>60</v>
      </c>
      <c r="M8" s="3252">
        <v>60</v>
      </c>
    </row>
    <row r="9" spans="1:13">
      <c r="A9" s="1009" t="s">
        <v>2766</v>
      </c>
      <c r="B9" s="3253">
        <v>70</v>
      </c>
      <c r="C9" s="3253">
        <v>70</v>
      </c>
      <c r="D9" s="3253">
        <v>60</v>
      </c>
      <c r="E9" s="3253">
        <v>60</v>
      </c>
      <c r="F9" s="3253">
        <v>60</v>
      </c>
      <c r="G9" s="3253">
        <v>60</v>
      </c>
      <c r="H9" s="3253">
        <v>60</v>
      </c>
      <c r="I9" s="3253">
        <v>50</v>
      </c>
      <c r="J9" s="3253">
        <v>50</v>
      </c>
      <c r="K9" s="3253">
        <v>50</v>
      </c>
      <c r="L9" s="3253">
        <v>50</v>
      </c>
      <c r="M9" s="3254">
        <v>50</v>
      </c>
    </row>
    <row r="10" spans="1:13">
      <c r="A10" s="1009" t="s">
        <v>2767</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2768</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2769</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2770</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2771</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2772</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2773</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2455</v>
      </c>
      <c r="B19" s="3257" t="s">
        <v>2456</v>
      </c>
      <c r="C19" s="3257" t="s">
        <v>2457</v>
      </c>
      <c r="D19" s="3684"/>
      <c r="E19" s="3255" t="s">
        <v>2458</v>
      </c>
      <c r="F19" s="1033"/>
      <c r="G19" s="1033"/>
    </row>
    <row r="20" spans="1:13" s="1408" customFormat="1">
      <c r="A20" s="3933" t="s">
        <v>2449</v>
      </c>
      <c r="B20" s="3936" t="s">
        <v>2459</v>
      </c>
      <c r="C20" s="3688" t="s">
        <v>2460</v>
      </c>
      <c r="D20" s="3688"/>
      <c r="E20" s="3261">
        <v>1</v>
      </c>
      <c r="F20" s="3262" t="s">
        <v>2461</v>
      </c>
      <c r="G20" s="1035"/>
      <c r="H20" s="1025"/>
      <c r="I20" s="1025"/>
    </row>
    <row r="21" spans="1:13" s="1408" customFormat="1">
      <c r="A21" s="3934"/>
      <c r="B21" s="3937"/>
      <c r="C21" s="3681" t="s">
        <v>2462</v>
      </c>
      <c r="D21" s="3681"/>
      <c r="E21" s="3265">
        <v>1</v>
      </c>
      <c r="F21" s="3262" t="s">
        <v>2463</v>
      </c>
      <c r="G21" s="1035"/>
      <c r="H21" s="1025"/>
      <c r="I21" s="1025"/>
    </row>
    <row r="22" spans="1:13" s="1408" customFormat="1">
      <c r="A22" s="3934"/>
      <c r="B22" s="3937"/>
      <c r="C22" s="3681" t="s">
        <v>2464</v>
      </c>
      <c r="D22" s="3681"/>
      <c r="E22" s="3265">
        <v>0.9</v>
      </c>
      <c r="F22" s="3262" t="s">
        <v>2465</v>
      </c>
      <c r="G22" s="1035"/>
      <c r="H22" s="1025"/>
      <c r="I22" s="1025"/>
    </row>
    <row r="23" spans="1:13" s="1408" customFormat="1">
      <c r="A23" s="3934"/>
      <c r="B23" s="3937"/>
      <c r="C23" s="3681" t="s">
        <v>2466</v>
      </c>
      <c r="D23" s="3681"/>
      <c r="E23" s="3265">
        <v>0.9</v>
      </c>
      <c r="F23" s="3262" t="s">
        <v>2467</v>
      </c>
      <c r="G23" s="1035"/>
      <c r="H23" s="1025"/>
      <c r="I23" s="1025"/>
    </row>
    <row r="24" spans="1:13" s="1408" customFormat="1">
      <c r="A24" s="3934"/>
      <c r="B24" s="3937"/>
      <c r="C24" s="3681" t="s">
        <v>2468</v>
      </c>
      <c r="D24" s="3681"/>
      <c r="E24" s="3265">
        <v>0.8</v>
      </c>
      <c r="F24" s="3262" t="s">
        <v>2469</v>
      </c>
      <c r="G24" s="1035"/>
      <c r="H24" s="1025"/>
      <c r="I24" s="1025"/>
    </row>
    <row r="25" spans="1:13" s="1408" customFormat="1">
      <c r="A25" s="3934"/>
      <c r="B25" s="3937"/>
      <c r="C25" s="3681" t="s">
        <v>2470</v>
      </c>
      <c r="D25" s="3681"/>
      <c r="E25" s="3265">
        <v>0.8</v>
      </c>
      <c r="F25" s="3262"/>
      <c r="G25" s="1035"/>
      <c r="H25" s="1025"/>
      <c r="I25" s="1025"/>
    </row>
    <row r="26" spans="1:13" s="1408" customFormat="1">
      <c r="A26" s="3934"/>
      <c r="B26" s="3937"/>
      <c r="C26" s="3681" t="s">
        <v>3316</v>
      </c>
      <c r="D26" s="3681"/>
      <c r="E26" s="3265">
        <v>0.43</v>
      </c>
      <c r="F26" s="3262"/>
      <c r="G26" s="1035"/>
      <c r="H26" s="1025"/>
      <c r="I26" s="1025"/>
    </row>
    <row r="27" spans="1:13" s="1408" customFormat="1" ht="14.25" thickBot="1">
      <c r="A27" s="3935"/>
      <c r="B27" s="3938"/>
      <c r="C27" s="3689" t="s">
        <v>3318</v>
      </c>
      <c r="D27" s="3689"/>
      <c r="E27" s="3268">
        <f>E26*0.9</f>
        <v>0.38700000000000001</v>
      </c>
      <c r="F27" s="3262" t="s">
        <v>2471</v>
      </c>
      <c r="G27" s="1035"/>
      <c r="H27" s="1025"/>
      <c r="I27" s="1025"/>
    </row>
    <row r="28" spans="1:13" s="1408" customFormat="1" ht="14.25" thickBot="1">
      <c r="A28" s="3683" t="s">
        <v>2450</v>
      </c>
      <c r="B28" s="3682" t="s">
        <v>2459</v>
      </c>
      <c r="C28" s="3685" t="s">
        <v>2472</v>
      </c>
      <c r="D28" s="3686"/>
      <c r="E28" s="3687">
        <v>1</v>
      </c>
      <c r="F28" s="3262" t="s">
        <v>2473</v>
      </c>
      <c r="G28" s="1035"/>
      <c r="H28" s="1025"/>
      <c r="I28" s="1025"/>
    </row>
    <row r="29" spans="1:13" s="1408" customFormat="1">
      <c r="A29" s="3939" t="s">
        <v>2454</v>
      </c>
      <c r="B29" s="3942" t="s">
        <v>2454</v>
      </c>
      <c r="C29" s="3259" t="s">
        <v>2474</v>
      </c>
      <c r="D29" s="3260"/>
      <c r="E29" s="3261">
        <v>1</v>
      </c>
      <c r="F29" s="3262" t="s">
        <v>2475</v>
      </c>
      <c r="G29" s="1035"/>
      <c r="H29" s="1025"/>
      <c r="I29" s="1025"/>
    </row>
    <row r="30" spans="1:13" s="1408" customFormat="1">
      <c r="A30" s="3940"/>
      <c r="B30" s="3943"/>
      <c r="C30" s="3263" t="s">
        <v>2476</v>
      </c>
      <c r="D30" s="3264"/>
      <c r="E30" s="3265">
        <v>1</v>
      </c>
      <c r="F30" s="3262" t="s">
        <v>2477</v>
      </c>
      <c r="G30" s="1035"/>
      <c r="H30" s="1025"/>
      <c r="I30" s="1025"/>
    </row>
    <row r="31" spans="1:13" s="1408" customFormat="1">
      <c r="A31" s="3940"/>
      <c r="B31" s="3943"/>
      <c r="C31" s="3263" t="s">
        <v>2478</v>
      </c>
      <c r="D31" s="3264"/>
      <c r="E31" s="3265">
        <v>0.8</v>
      </c>
      <c r="F31" s="3262" t="s">
        <v>2479</v>
      </c>
      <c r="G31" s="1035"/>
      <c r="H31" s="1025"/>
      <c r="I31" s="1025"/>
    </row>
    <row r="32" spans="1:13" s="1408" customFormat="1">
      <c r="A32" s="3940"/>
      <c r="B32" s="3943"/>
      <c r="C32" s="3263" t="s">
        <v>2480</v>
      </c>
      <c r="D32" s="3264"/>
      <c r="E32" s="3265">
        <v>0.8</v>
      </c>
      <c r="F32" s="3262" t="s">
        <v>2481</v>
      </c>
      <c r="G32" s="1035"/>
      <c r="H32" s="1025"/>
      <c r="I32" s="1025"/>
    </row>
    <row r="33" spans="1:9" s="1408" customFormat="1">
      <c r="A33" s="3940"/>
      <c r="B33" s="3943"/>
      <c r="C33" s="3263" t="s">
        <v>2482</v>
      </c>
      <c r="D33" s="3264"/>
      <c r="E33" s="3265">
        <v>0.8</v>
      </c>
      <c r="F33" s="3262" t="s">
        <v>2483</v>
      </c>
      <c r="G33" s="1035"/>
      <c r="H33" s="1025"/>
      <c r="I33" s="1025"/>
    </row>
    <row r="34" spans="1:9" s="1408" customFormat="1">
      <c r="A34" s="3940"/>
      <c r="B34" s="3943"/>
      <c r="C34" s="3263" t="s">
        <v>2484</v>
      </c>
      <c r="D34" s="3264"/>
      <c r="E34" s="3265">
        <v>0.7</v>
      </c>
      <c r="F34" s="3262" t="s">
        <v>2485</v>
      </c>
      <c r="G34" s="1035"/>
      <c r="H34" s="1025"/>
      <c r="I34" s="1025"/>
    </row>
    <row r="35" spans="1:9" s="1408" customFormat="1">
      <c r="A35" s="3940"/>
      <c r="B35" s="3943"/>
      <c r="C35" s="3263" t="s">
        <v>2486</v>
      </c>
      <c r="D35" s="3264"/>
      <c r="E35" s="3265">
        <v>0.8</v>
      </c>
      <c r="F35" s="3262" t="s">
        <v>2487</v>
      </c>
      <c r="G35" s="1035"/>
      <c r="H35" s="1025"/>
      <c r="I35" s="1025"/>
    </row>
    <row r="36" spans="1:9" s="1408" customFormat="1">
      <c r="A36" s="3940"/>
      <c r="B36" s="3943"/>
      <c r="C36" s="3263" t="s">
        <v>2488</v>
      </c>
      <c r="D36" s="3264"/>
      <c r="E36" s="3265">
        <v>0.6</v>
      </c>
      <c r="F36" s="3262" t="s">
        <v>2489</v>
      </c>
      <c r="G36" s="1035"/>
      <c r="H36" s="1025"/>
      <c r="I36" s="1025"/>
    </row>
    <row r="37" spans="1:9" s="1408" customFormat="1">
      <c r="A37" s="3940"/>
      <c r="B37" s="3943"/>
      <c r="C37" s="3263" t="s">
        <v>2490</v>
      </c>
      <c r="D37" s="3264"/>
      <c r="E37" s="3265">
        <v>0.2</v>
      </c>
      <c r="F37" s="3262" t="s">
        <v>2491</v>
      </c>
      <c r="G37" s="1035"/>
      <c r="H37" s="1025"/>
      <c r="I37" s="1025"/>
    </row>
    <row r="38" spans="1:9" s="1408" customFormat="1">
      <c r="A38" s="3940"/>
      <c r="B38" s="3943"/>
      <c r="C38" s="3263" t="s">
        <v>2492</v>
      </c>
      <c r="D38" s="3264"/>
      <c r="E38" s="3265">
        <v>0.2</v>
      </c>
      <c r="F38" s="3262" t="s">
        <v>2493</v>
      </c>
      <c r="G38" s="1035"/>
      <c r="H38" s="1025"/>
      <c r="I38" s="1025"/>
    </row>
    <row r="39" spans="1:9" s="1408" customFormat="1">
      <c r="A39" s="3940"/>
      <c r="B39" s="3944" t="s">
        <v>2494</v>
      </c>
      <c r="C39" s="3263" t="s">
        <v>2495</v>
      </c>
      <c r="D39" s="3264"/>
      <c r="E39" s="3265">
        <v>0.6</v>
      </c>
      <c r="F39" s="3262" t="s">
        <v>2496</v>
      </c>
      <c r="G39" s="1035"/>
      <c r="H39" s="1025"/>
      <c r="I39" s="1025"/>
    </row>
    <row r="40" spans="1:9" s="1408" customFormat="1">
      <c r="A40" s="3940"/>
      <c r="B40" s="3943"/>
      <c r="C40" s="3263" t="s">
        <v>2497</v>
      </c>
      <c r="D40" s="3264"/>
      <c r="E40" s="3265">
        <v>0.6</v>
      </c>
      <c r="F40" s="3262" t="s">
        <v>2498</v>
      </c>
      <c r="G40" s="1035"/>
      <c r="H40" s="1025"/>
      <c r="I40" s="1025"/>
    </row>
    <row r="41" spans="1:9" s="1408" customFormat="1" ht="14.25" thickBot="1">
      <c r="A41" s="3941"/>
      <c r="B41" s="3945"/>
      <c r="C41" s="3266" t="s">
        <v>2499</v>
      </c>
      <c r="D41" s="3267"/>
      <c r="E41" s="3268">
        <v>0.6</v>
      </c>
      <c r="F41" s="3262" t="s">
        <v>2500</v>
      </c>
      <c r="G41" s="1035"/>
      <c r="H41" s="1025"/>
      <c r="I41" s="1025"/>
    </row>
    <row r="42" spans="1:9" s="1408" customFormat="1" ht="14.25" thickBot="1">
      <c r="A42" s="3269" t="s">
        <v>2451</v>
      </c>
      <c r="B42" s="3270" t="s">
        <v>2451</v>
      </c>
      <c r="C42" s="3271" t="s">
        <v>2501</v>
      </c>
      <c r="D42" s="3272"/>
      <c r="E42" s="3273">
        <v>1</v>
      </c>
      <c r="F42" s="3262" t="s">
        <v>2502</v>
      </c>
      <c r="G42" s="1035"/>
      <c r="H42" s="1025"/>
      <c r="I42" s="1025"/>
    </row>
    <row r="43" spans="1:9" s="1408" customFormat="1">
      <c r="A43" s="3933" t="s">
        <v>2452</v>
      </c>
      <c r="B43" s="3942" t="s">
        <v>2503</v>
      </c>
      <c r="C43" s="3259" t="s">
        <v>2504</v>
      </c>
      <c r="D43" s="3260"/>
      <c r="E43" s="3261">
        <v>1</v>
      </c>
      <c r="F43" s="3262" t="s">
        <v>2505</v>
      </c>
      <c r="G43" s="1035"/>
      <c r="H43" s="1025"/>
      <c r="I43" s="1025"/>
    </row>
    <row r="44" spans="1:9" s="1408" customFormat="1">
      <c r="A44" s="3934"/>
      <c r="B44" s="3943"/>
      <c r="C44" s="3263" t="s">
        <v>2506</v>
      </c>
      <c r="D44" s="3264"/>
      <c r="E44" s="3265">
        <v>1</v>
      </c>
      <c r="F44" s="3262" t="s">
        <v>2507</v>
      </c>
      <c r="G44" s="1035"/>
      <c r="H44" s="1025"/>
      <c r="I44" s="1025"/>
    </row>
    <row r="45" spans="1:9" s="1408" customFormat="1">
      <c r="A45" s="3934"/>
      <c r="B45" s="3946"/>
      <c r="C45" s="3263" t="s">
        <v>2508</v>
      </c>
      <c r="D45" s="3264"/>
      <c r="E45" s="3265">
        <v>1.5</v>
      </c>
      <c r="F45" s="3262" t="s">
        <v>2509</v>
      </c>
      <c r="G45" s="1035"/>
      <c r="H45" s="1025"/>
      <c r="I45" s="1025"/>
    </row>
    <row r="46" spans="1:9" s="1408" customFormat="1">
      <c r="A46" s="3934"/>
      <c r="B46" s="3274" t="s">
        <v>2454</v>
      </c>
      <c r="C46" s="3263" t="s">
        <v>2453</v>
      </c>
      <c r="D46" s="3264"/>
      <c r="E46" s="3265">
        <v>2</v>
      </c>
      <c r="F46" s="3262" t="s">
        <v>2510</v>
      </c>
      <c r="G46" s="1035"/>
      <c r="H46" s="1025"/>
      <c r="I46" s="1025"/>
    </row>
    <row r="47" spans="1:9" s="1408" customFormat="1">
      <c r="A47" s="3934"/>
      <c r="B47" s="3944" t="s">
        <v>2511</v>
      </c>
      <c r="C47" s="3263" t="s">
        <v>2512</v>
      </c>
      <c r="D47" s="3264"/>
      <c r="E47" s="3265">
        <v>1</v>
      </c>
      <c r="F47" s="3262" t="s">
        <v>2513</v>
      </c>
      <c r="G47" s="1035"/>
      <c r="H47" s="1025"/>
      <c r="I47" s="1025"/>
    </row>
    <row r="48" spans="1:9" s="1408" customFormat="1">
      <c r="A48" s="3934"/>
      <c r="B48" s="3943"/>
      <c r="C48" s="3263" t="s">
        <v>2514</v>
      </c>
      <c r="D48" s="3264"/>
      <c r="E48" s="3265">
        <v>1</v>
      </c>
      <c r="F48" s="3262" t="s">
        <v>2515</v>
      </c>
      <c r="G48" s="1035"/>
      <c r="H48" s="1025"/>
      <c r="I48" s="1025"/>
    </row>
    <row r="49" spans="1:9" s="1408" customFormat="1">
      <c r="A49" s="3934"/>
      <c r="B49" s="3943"/>
      <c r="C49" s="3263" t="s">
        <v>2516</v>
      </c>
      <c r="D49" s="3264"/>
      <c r="E49" s="3265">
        <v>1</v>
      </c>
      <c r="F49" s="3262" t="s">
        <v>2517</v>
      </c>
      <c r="G49" s="1035"/>
      <c r="H49" s="1025"/>
      <c r="I49" s="1025"/>
    </row>
    <row r="50" spans="1:9" s="1408" customFormat="1">
      <c r="A50" s="3934"/>
      <c r="B50" s="3943"/>
      <c r="C50" s="3263" t="s">
        <v>2518</v>
      </c>
      <c r="D50" s="3264"/>
      <c r="E50" s="3265">
        <v>1</v>
      </c>
      <c r="F50" s="3262" t="s">
        <v>2519</v>
      </c>
      <c r="G50" s="1035"/>
      <c r="H50" s="1025"/>
      <c r="I50" s="1025"/>
    </row>
    <row r="51" spans="1:9" s="1408" customFormat="1">
      <c r="A51" s="3934"/>
      <c r="B51" s="3943"/>
      <c r="C51" s="3263" t="s">
        <v>2520</v>
      </c>
      <c r="D51" s="3264"/>
      <c r="E51" s="3265">
        <v>1</v>
      </c>
      <c r="F51" s="3262" t="s">
        <v>2521</v>
      </c>
      <c r="G51" s="1035"/>
      <c r="H51" s="1025"/>
      <c r="I51" s="1025"/>
    </row>
    <row r="52" spans="1:9" s="1408" customFormat="1">
      <c r="A52" s="3934"/>
      <c r="B52" s="3943"/>
      <c r="C52" s="3263" t="s">
        <v>2522</v>
      </c>
      <c r="D52" s="3264"/>
      <c r="E52" s="3265">
        <v>1</v>
      </c>
      <c r="F52" s="3262" t="s">
        <v>2523</v>
      </c>
      <c r="G52" s="1035"/>
      <c r="H52" s="1025"/>
      <c r="I52" s="1025"/>
    </row>
    <row r="53" spans="1:9" s="1408" customFormat="1" ht="14.25" thickBot="1">
      <c r="A53" s="3935"/>
      <c r="B53" s="3945"/>
      <c r="C53" s="3266" t="s">
        <v>2524</v>
      </c>
      <c r="D53" s="3267"/>
      <c r="E53" s="3268">
        <v>1</v>
      </c>
      <c r="F53" s="3262" t="s">
        <v>2525</v>
      </c>
      <c r="G53" s="1035"/>
      <c r="H53" s="1025"/>
      <c r="I53" s="1025"/>
    </row>
    <row r="54" spans="1:9" s="1408" customFormat="1">
      <c r="A54" s="1409"/>
      <c r="B54" s="1409"/>
      <c r="C54" s="1409"/>
      <c r="D54" s="1409"/>
      <c r="E54" s="1409"/>
      <c r="F54" s="1034"/>
      <c r="G54" s="1034"/>
      <c r="H54" s="1025"/>
      <c r="I54" s="1025"/>
    </row>
    <row r="56" spans="1:9">
      <c r="A56" s="1036"/>
      <c r="B56" s="1010" t="s">
        <v>1162</v>
      </c>
      <c r="C56" s="1010" t="s">
        <v>1162</v>
      </c>
      <c r="D56" s="1010" t="s">
        <v>1162</v>
      </c>
      <c r="E56" s="1052" t="s">
        <v>1162</v>
      </c>
      <c r="F56" s="1052" t="s">
        <v>1163</v>
      </c>
      <c r="G56" s="1052" t="s">
        <v>1162</v>
      </c>
      <c r="I56" s="1008"/>
    </row>
    <row r="57" spans="1:9">
      <c r="A57" s="1037"/>
      <c r="B57" s="1052" t="s">
        <v>929</v>
      </c>
      <c r="C57" s="1052" t="s">
        <v>929</v>
      </c>
      <c r="D57" s="1052" t="s">
        <v>929</v>
      </c>
      <c r="E57" s="1010" t="s">
        <v>951</v>
      </c>
      <c r="F57" s="1010" t="s">
        <v>1158</v>
      </c>
      <c r="G57" s="1010" t="s">
        <v>1164</v>
      </c>
      <c r="I57" s="1008"/>
    </row>
    <row r="58" spans="1:9">
      <c r="A58" s="1038"/>
      <c r="B58" s="1010">
        <v>1</v>
      </c>
      <c r="C58" s="1010">
        <v>2</v>
      </c>
      <c r="D58" s="1010">
        <v>3</v>
      </c>
      <c r="E58" s="1032" t="s">
        <v>2774</v>
      </c>
      <c r="F58" s="1032" t="s">
        <v>2774</v>
      </c>
      <c r="G58" s="1032" t="s">
        <v>2774</v>
      </c>
      <c r="I58" s="1008"/>
    </row>
    <row r="59" spans="1:9">
      <c r="A59" s="1051" t="s">
        <v>836</v>
      </c>
      <c r="B59" s="3253">
        <v>0.7</v>
      </c>
      <c r="C59" s="3253">
        <v>0.4</v>
      </c>
      <c r="D59" s="3253">
        <v>0.3</v>
      </c>
      <c r="E59" s="3258">
        <v>0.3</v>
      </c>
      <c r="F59" s="3253">
        <v>0.3</v>
      </c>
      <c r="G59" s="3253">
        <v>0.2</v>
      </c>
      <c r="I59" s="1008"/>
    </row>
    <row r="60" spans="1:9">
      <c r="A60" s="1051" t="s">
        <v>837</v>
      </c>
      <c r="B60" s="3253">
        <v>0.7</v>
      </c>
      <c r="C60" s="3253">
        <v>0.4</v>
      </c>
      <c r="D60" s="3253">
        <v>0.3</v>
      </c>
      <c r="E60" s="3253">
        <v>0.3</v>
      </c>
      <c r="F60" s="3253">
        <v>0.3</v>
      </c>
      <c r="G60" s="3253">
        <v>0.2</v>
      </c>
      <c r="I60" s="1008"/>
    </row>
    <row r="61" spans="1:9">
      <c r="A61" s="1051" t="s">
        <v>838</v>
      </c>
      <c r="B61" s="3253">
        <v>0.6</v>
      </c>
      <c r="C61" s="3253">
        <v>0.3</v>
      </c>
      <c r="D61" s="3253">
        <v>0.25</v>
      </c>
      <c r="E61" s="3253">
        <v>0.25</v>
      </c>
      <c r="F61" s="3253">
        <v>0.25</v>
      </c>
      <c r="G61" s="3253">
        <v>0.15</v>
      </c>
      <c r="I61" s="1008"/>
    </row>
    <row r="62" spans="1:9">
      <c r="A62" s="1051" t="s">
        <v>839</v>
      </c>
      <c r="B62" s="3253">
        <v>0.6</v>
      </c>
      <c r="C62" s="3253">
        <v>0.3</v>
      </c>
      <c r="D62" s="3253">
        <v>0.25</v>
      </c>
      <c r="E62" s="3253">
        <v>0.25</v>
      </c>
      <c r="F62" s="3253">
        <v>0.25</v>
      </c>
      <c r="G62" s="3253">
        <v>0.15</v>
      </c>
      <c r="I62" s="1008"/>
    </row>
    <row r="63" spans="1:9" s="1025" customFormat="1">
      <c r="A63" s="1051" t="s">
        <v>840</v>
      </c>
      <c r="B63" s="3253">
        <v>0.6</v>
      </c>
      <c r="C63" s="3253">
        <v>0.3</v>
      </c>
      <c r="D63" s="3253">
        <v>0.25</v>
      </c>
      <c r="E63" s="3253">
        <v>0.25</v>
      </c>
      <c r="F63" s="3253">
        <v>0.25</v>
      </c>
      <c r="G63" s="3253">
        <v>0.15</v>
      </c>
    </row>
    <row r="64" spans="1:9" s="1025" customFormat="1">
      <c r="A64" s="1051" t="s">
        <v>841</v>
      </c>
      <c r="B64" s="3253">
        <v>0.6</v>
      </c>
      <c r="C64" s="3253">
        <v>0.3</v>
      </c>
      <c r="D64" s="3253">
        <v>0.25</v>
      </c>
      <c r="E64" s="3253">
        <v>0.25</v>
      </c>
      <c r="F64" s="3253">
        <v>0.25</v>
      </c>
      <c r="G64" s="3253">
        <v>0.15</v>
      </c>
    </row>
    <row r="65" spans="1:8" s="1025" customFormat="1">
      <c r="A65" s="1051" t="s">
        <v>842</v>
      </c>
      <c r="B65" s="3253">
        <v>0.6</v>
      </c>
      <c r="C65" s="3253">
        <v>0.3</v>
      </c>
      <c r="D65" s="3253">
        <v>0.25</v>
      </c>
      <c r="E65" s="3253">
        <v>0.25</v>
      </c>
      <c r="F65" s="3253">
        <v>0.25</v>
      </c>
      <c r="G65" s="3253">
        <v>0.15</v>
      </c>
    </row>
    <row r="66" spans="1:8" s="1025" customFormat="1">
      <c r="A66" s="1051" t="s">
        <v>843</v>
      </c>
      <c r="B66" s="3253">
        <v>0.5</v>
      </c>
      <c r="C66" s="3253">
        <v>0.2</v>
      </c>
      <c r="D66" s="3253">
        <v>0.2</v>
      </c>
      <c r="E66" s="3253">
        <v>0.2</v>
      </c>
      <c r="F66" s="3253">
        <v>0.2</v>
      </c>
      <c r="G66" s="3253">
        <v>0.1</v>
      </c>
    </row>
    <row r="67" spans="1:8" s="1025" customFormat="1">
      <c r="A67" s="1051" t="s">
        <v>844</v>
      </c>
      <c r="B67" s="3253">
        <v>0.5</v>
      </c>
      <c r="C67" s="3253">
        <v>0.2</v>
      </c>
      <c r="D67" s="3253">
        <v>0.2</v>
      </c>
      <c r="E67" s="3253">
        <v>0.2</v>
      </c>
      <c r="F67" s="3253">
        <v>0.2</v>
      </c>
      <c r="G67" s="3253">
        <v>0.1</v>
      </c>
    </row>
    <row r="68" spans="1:8" s="1025" customFormat="1">
      <c r="A68" s="1051" t="s">
        <v>845</v>
      </c>
      <c r="B68" s="3253">
        <v>0.5</v>
      </c>
      <c r="C68" s="3253">
        <v>0.2</v>
      </c>
      <c r="D68" s="3253">
        <v>0.2</v>
      </c>
      <c r="E68" s="3253">
        <v>0.2</v>
      </c>
      <c r="F68" s="3253">
        <v>0.2</v>
      </c>
      <c r="G68" s="3253">
        <v>0.1</v>
      </c>
    </row>
    <row r="69" spans="1:8" s="1025" customFormat="1">
      <c r="A69" s="1051" t="s">
        <v>846</v>
      </c>
      <c r="B69" s="3253">
        <v>0.5</v>
      </c>
      <c r="C69" s="3253">
        <v>0.2</v>
      </c>
      <c r="D69" s="3253">
        <v>0.2</v>
      </c>
      <c r="E69" s="3253">
        <v>0.2</v>
      </c>
      <c r="F69" s="3253">
        <v>0.2</v>
      </c>
      <c r="G69" s="3253">
        <v>0.1</v>
      </c>
    </row>
    <row r="70" spans="1:8" s="1025" customFormat="1">
      <c r="A70" s="1051" t="s">
        <v>847</v>
      </c>
      <c r="B70" s="3253">
        <v>0.5</v>
      </c>
      <c r="C70" s="3253">
        <v>0.2</v>
      </c>
      <c r="D70" s="3253">
        <v>0.2</v>
      </c>
      <c r="E70" s="3253">
        <v>0.2</v>
      </c>
      <c r="F70" s="3253">
        <v>0.2</v>
      </c>
      <c r="G70" s="3253">
        <v>0.1</v>
      </c>
    </row>
    <row r="72" spans="1:8" s="1025" customFormat="1">
      <c r="A72" s="1039"/>
      <c r="B72" s="1030"/>
      <c r="C72" s="1030"/>
      <c r="D72" s="1030" t="s">
        <v>1165</v>
      </c>
      <c r="E72" s="1030"/>
      <c r="F72" s="1030"/>
    </row>
    <row r="73" spans="1:8" s="1025" customFormat="1">
      <c r="A73" s="1053" t="s">
        <v>1166</v>
      </c>
      <c r="B73" s="1053" t="s">
        <v>1167</v>
      </c>
      <c r="C73" s="1053" t="s">
        <v>1168</v>
      </c>
      <c r="D73" s="1053" t="s">
        <v>1169</v>
      </c>
      <c r="E73" s="1053" t="s">
        <v>1170</v>
      </c>
      <c r="F73" s="1053" t="s">
        <v>1171</v>
      </c>
    </row>
    <row r="74" spans="1:8" s="1025" customFormat="1">
      <c r="A74" s="1053"/>
      <c r="B74" s="1053"/>
      <c r="C74" s="1053" t="s">
        <v>2526</v>
      </c>
      <c r="D74" s="1053"/>
      <c r="E74" s="1040" t="s">
        <v>1159</v>
      </c>
      <c r="F74" s="1053" t="s">
        <v>1159</v>
      </c>
    </row>
    <row r="75" spans="1:8" s="1025" customFormat="1">
      <c r="A75" s="3274">
        <v>1</v>
      </c>
      <c r="B75" s="3944" t="s">
        <v>2527</v>
      </c>
      <c r="C75" s="3253" t="s">
        <v>2528</v>
      </c>
      <c r="D75" s="3253" t="s">
        <v>2529</v>
      </c>
      <c r="E75" s="3275">
        <v>0.2</v>
      </c>
      <c r="F75" s="3274">
        <v>25</v>
      </c>
      <c r="H75" s="1025">
        <f>SUMIF(C73:C141,基准地价!C8,E73:E141)</f>
        <v>0</v>
      </c>
    </row>
    <row r="76" spans="1:8" s="1025" customFormat="1" ht="24">
      <c r="A76" s="3274">
        <v>2</v>
      </c>
      <c r="B76" s="3943"/>
      <c r="C76" s="3253" t="s">
        <v>2530</v>
      </c>
      <c r="D76" s="3253" t="s">
        <v>2531</v>
      </c>
      <c r="E76" s="3275">
        <v>0.2</v>
      </c>
      <c r="F76" s="3274">
        <v>25</v>
      </c>
    </row>
    <row r="77" spans="1:8" s="1025" customFormat="1" ht="24">
      <c r="A77" s="3274">
        <v>3</v>
      </c>
      <c r="B77" s="3943"/>
      <c r="C77" s="3253" t="s">
        <v>2532</v>
      </c>
      <c r="D77" s="3253" t="s">
        <v>2533</v>
      </c>
      <c r="E77" s="3275">
        <v>0.2</v>
      </c>
      <c r="F77" s="3274">
        <v>25</v>
      </c>
    </row>
    <row r="78" spans="1:8" s="1025" customFormat="1">
      <c r="A78" s="3274">
        <v>4</v>
      </c>
      <c r="B78" s="3943"/>
      <c r="C78" s="3253" t="s">
        <v>2534</v>
      </c>
      <c r="D78" s="3253" t="s">
        <v>2535</v>
      </c>
      <c r="E78" s="3275">
        <v>0.15</v>
      </c>
      <c r="F78" s="3274">
        <v>20</v>
      </c>
    </row>
    <row r="79" spans="1:8" s="1025" customFormat="1" ht="24">
      <c r="A79" s="3274">
        <v>5</v>
      </c>
      <c r="B79" s="3943"/>
      <c r="C79" s="3253" t="s">
        <v>2536</v>
      </c>
      <c r="D79" s="3253" t="s">
        <v>2537</v>
      </c>
      <c r="E79" s="3275">
        <v>0.15</v>
      </c>
      <c r="F79" s="3274">
        <v>20</v>
      </c>
    </row>
    <row r="80" spans="1:8" s="1025" customFormat="1" ht="24">
      <c r="A80" s="3274">
        <v>6</v>
      </c>
      <c r="B80" s="3943"/>
      <c r="C80" s="3253" t="s">
        <v>2538</v>
      </c>
      <c r="D80" s="3253" t="s">
        <v>2539</v>
      </c>
      <c r="E80" s="3275">
        <v>0.15</v>
      </c>
      <c r="F80" s="3274">
        <v>20</v>
      </c>
    </row>
    <row r="81" spans="1:6" s="1025" customFormat="1" ht="24">
      <c r="A81" s="3274">
        <v>7</v>
      </c>
      <c r="B81" s="3943"/>
      <c r="C81" s="3253" t="s">
        <v>2540</v>
      </c>
      <c r="D81" s="3253" t="s">
        <v>2541</v>
      </c>
      <c r="E81" s="3275">
        <v>0.15</v>
      </c>
      <c r="F81" s="3274">
        <v>20</v>
      </c>
    </row>
    <row r="82" spans="1:6" s="1025" customFormat="1" ht="24">
      <c r="A82" s="3274">
        <v>8</v>
      </c>
      <c r="B82" s="3943"/>
      <c r="C82" s="3253" t="s">
        <v>2542</v>
      </c>
      <c r="D82" s="3253" t="s">
        <v>2543</v>
      </c>
      <c r="E82" s="3275">
        <v>0.1</v>
      </c>
      <c r="F82" s="3274">
        <v>15</v>
      </c>
    </row>
    <row r="83" spans="1:6" s="1025" customFormat="1" ht="24">
      <c r="A83" s="3274">
        <v>9</v>
      </c>
      <c r="B83" s="3943"/>
      <c r="C83" s="3253" t="s">
        <v>2544</v>
      </c>
      <c r="D83" s="3253" t="s">
        <v>2545</v>
      </c>
      <c r="E83" s="3275">
        <v>0.1</v>
      </c>
      <c r="F83" s="3274">
        <v>15</v>
      </c>
    </row>
    <row r="84" spans="1:6" s="1025" customFormat="1" ht="24">
      <c r="A84" s="3274">
        <v>10</v>
      </c>
      <c r="B84" s="3943"/>
      <c r="C84" s="3253" t="s">
        <v>2546</v>
      </c>
      <c r="D84" s="3253" t="s">
        <v>2547</v>
      </c>
      <c r="E84" s="3275">
        <v>0.1</v>
      </c>
      <c r="F84" s="3274">
        <v>15</v>
      </c>
    </row>
    <row r="85" spans="1:6" s="1025" customFormat="1" ht="24">
      <c r="A85" s="3274">
        <v>11</v>
      </c>
      <c r="B85" s="3943"/>
      <c r="C85" s="3253" t="s">
        <v>2548</v>
      </c>
      <c r="D85" s="3253" t="s">
        <v>2549</v>
      </c>
      <c r="E85" s="3275">
        <v>0.1</v>
      </c>
      <c r="F85" s="3274">
        <v>15</v>
      </c>
    </row>
    <row r="86" spans="1:6" s="1025" customFormat="1" ht="24">
      <c r="A86" s="3274">
        <v>12</v>
      </c>
      <c r="B86" s="3943"/>
      <c r="C86" s="3253" t="s">
        <v>2550</v>
      </c>
      <c r="D86" s="3253" t="s">
        <v>2551</v>
      </c>
      <c r="E86" s="3275">
        <v>0.1</v>
      </c>
      <c r="F86" s="3274">
        <v>15</v>
      </c>
    </row>
    <row r="87" spans="1:6" s="1025" customFormat="1">
      <c r="A87" s="3274">
        <v>13</v>
      </c>
      <c r="B87" s="3943"/>
      <c r="C87" s="3253" t="s">
        <v>2552</v>
      </c>
      <c r="D87" s="3253" t="s">
        <v>2553</v>
      </c>
      <c r="E87" s="3275">
        <v>0.1</v>
      </c>
      <c r="F87" s="3274">
        <v>15</v>
      </c>
    </row>
    <row r="88" spans="1:6" s="1025" customFormat="1">
      <c r="A88" s="3274">
        <v>14</v>
      </c>
      <c r="B88" s="3943"/>
      <c r="C88" s="3253" t="s">
        <v>2554</v>
      </c>
      <c r="D88" s="3253" t="s">
        <v>2555</v>
      </c>
      <c r="E88" s="3275">
        <v>0.1</v>
      </c>
      <c r="F88" s="3274">
        <v>15</v>
      </c>
    </row>
    <row r="89" spans="1:6" s="1025" customFormat="1">
      <c r="A89" s="3274">
        <v>15</v>
      </c>
      <c r="B89" s="3943"/>
      <c r="C89" s="3253" t="s">
        <v>2556</v>
      </c>
      <c r="D89" s="3253" t="s">
        <v>2557</v>
      </c>
      <c r="E89" s="3275">
        <v>0.1</v>
      </c>
      <c r="F89" s="3274">
        <v>15</v>
      </c>
    </row>
    <row r="90" spans="1:6" s="1025" customFormat="1" ht="24">
      <c r="A90" s="3274">
        <v>16</v>
      </c>
      <c r="B90" s="3943"/>
      <c r="C90" s="3253" t="s">
        <v>2558</v>
      </c>
      <c r="D90" s="3253" t="s">
        <v>2559</v>
      </c>
      <c r="E90" s="3275">
        <v>0.1</v>
      </c>
      <c r="F90" s="3274">
        <v>15</v>
      </c>
    </row>
    <row r="91" spans="1:6" s="1025" customFormat="1" ht="24">
      <c r="A91" s="3274">
        <v>17</v>
      </c>
      <c r="B91" s="3946"/>
      <c r="C91" s="3253" t="s">
        <v>2560</v>
      </c>
      <c r="D91" s="3253" t="s">
        <v>2561</v>
      </c>
      <c r="E91" s="3275">
        <v>0.1</v>
      </c>
      <c r="F91" s="3274">
        <v>15</v>
      </c>
    </row>
    <row r="92" spans="1:6" s="1025" customFormat="1">
      <c r="A92" s="3274">
        <v>18</v>
      </c>
      <c r="B92" s="3944" t="s">
        <v>2562</v>
      </c>
      <c r="C92" s="3253" t="s">
        <v>2563</v>
      </c>
      <c r="D92" s="3253" t="s">
        <v>2564</v>
      </c>
      <c r="E92" s="3275">
        <v>0.2</v>
      </c>
      <c r="F92" s="3274">
        <v>25</v>
      </c>
    </row>
    <row r="93" spans="1:6" s="1025" customFormat="1" ht="24">
      <c r="A93" s="3274">
        <v>19</v>
      </c>
      <c r="B93" s="3943"/>
      <c r="C93" s="3253" t="s">
        <v>2565</v>
      </c>
      <c r="D93" s="3253" t="s">
        <v>2566</v>
      </c>
      <c r="E93" s="3275">
        <v>0.2</v>
      </c>
      <c r="F93" s="3274">
        <v>25</v>
      </c>
    </row>
    <row r="94" spans="1:6" s="1025" customFormat="1">
      <c r="A94" s="3274">
        <v>20</v>
      </c>
      <c r="B94" s="3943"/>
      <c r="C94" s="3253" t="s">
        <v>2567</v>
      </c>
      <c r="D94" s="3253" t="s">
        <v>2568</v>
      </c>
      <c r="E94" s="3275">
        <v>0.15</v>
      </c>
      <c r="F94" s="3274">
        <v>20</v>
      </c>
    </row>
    <row r="95" spans="1:6" s="1025" customFormat="1" ht="24">
      <c r="A95" s="3274">
        <v>21</v>
      </c>
      <c r="B95" s="3943"/>
      <c r="C95" s="3253" t="s">
        <v>2569</v>
      </c>
      <c r="D95" s="3253" t="s">
        <v>2570</v>
      </c>
      <c r="E95" s="3275">
        <v>0.15</v>
      </c>
      <c r="F95" s="3274">
        <v>20</v>
      </c>
    </row>
    <row r="96" spans="1:6" s="1025" customFormat="1" ht="24">
      <c r="A96" s="3274">
        <v>22</v>
      </c>
      <c r="B96" s="3943"/>
      <c r="C96" s="3253" t="s">
        <v>2571</v>
      </c>
      <c r="D96" s="3253" t="s">
        <v>2572</v>
      </c>
      <c r="E96" s="3275">
        <v>0.15</v>
      </c>
      <c r="F96" s="3274">
        <v>20</v>
      </c>
    </row>
    <row r="97" spans="1:6" s="1025" customFormat="1" ht="36">
      <c r="A97" s="3274">
        <v>23</v>
      </c>
      <c r="B97" s="3943"/>
      <c r="C97" s="3253" t="s">
        <v>2573</v>
      </c>
      <c r="D97" s="3253" t="s">
        <v>2574</v>
      </c>
      <c r="E97" s="3275">
        <v>0.15</v>
      </c>
      <c r="F97" s="3274">
        <v>20</v>
      </c>
    </row>
    <row r="98" spans="1:6" s="1025" customFormat="1">
      <c r="A98" s="3274">
        <v>24</v>
      </c>
      <c r="B98" s="3943"/>
      <c r="C98" s="3253" t="s">
        <v>2575</v>
      </c>
      <c r="D98" s="3253" t="s">
        <v>2576</v>
      </c>
      <c r="E98" s="3275">
        <v>0.1</v>
      </c>
      <c r="F98" s="3274">
        <v>15</v>
      </c>
    </row>
    <row r="99" spans="1:6" s="1025" customFormat="1" ht="24">
      <c r="A99" s="3274">
        <v>25</v>
      </c>
      <c r="B99" s="3943"/>
      <c r="C99" s="3253" t="s">
        <v>2577</v>
      </c>
      <c r="D99" s="3253" t="s">
        <v>2578</v>
      </c>
      <c r="E99" s="3275">
        <v>0.1</v>
      </c>
      <c r="F99" s="3274">
        <v>15</v>
      </c>
    </row>
    <row r="100" spans="1:6" s="1025" customFormat="1" ht="24">
      <c r="A100" s="3274">
        <v>26</v>
      </c>
      <c r="B100" s="3943"/>
      <c r="C100" s="3253" t="s">
        <v>2579</v>
      </c>
      <c r="D100" s="3253" t="s">
        <v>2580</v>
      </c>
      <c r="E100" s="3275">
        <v>0.1</v>
      </c>
      <c r="F100" s="3274">
        <v>15</v>
      </c>
    </row>
    <row r="101" spans="1:6" s="1025" customFormat="1" ht="24">
      <c r="A101" s="3274">
        <v>27</v>
      </c>
      <c r="B101" s="3943"/>
      <c r="C101" s="3253" t="s">
        <v>2581</v>
      </c>
      <c r="D101" s="3253" t="s">
        <v>2582</v>
      </c>
      <c r="E101" s="3275">
        <v>0.1</v>
      </c>
      <c r="F101" s="3274">
        <v>15</v>
      </c>
    </row>
    <row r="102" spans="1:6" s="1025" customFormat="1" ht="24">
      <c r="A102" s="3274">
        <v>28</v>
      </c>
      <c r="B102" s="3943"/>
      <c r="C102" s="3253" t="s">
        <v>2583</v>
      </c>
      <c r="D102" s="3253" t="s">
        <v>2584</v>
      </c>
      <c r="E102" s="3275">
        <v>0.1</v>
      </c>
      <c r="F102" s="3274">
        <v>15</v>
      </c>
    </row>
    <row r="103" spans="1:6" s="1025" customFormat="1" ht="24">
      <c r="A103" s="3274">
        <v>29</v>
      </c>
      <c r="B103" s="3943"/>
      <c r="C103" s="3253" t="s">
        <v>2585</v>
      </c>
      <c r="D103" s="3253" t="s">
        <v>2586</v>
      </c>
      <c r="E103" s="3275">
        <v>0.1</v>
      </c>
      <c r="F103" s="3274">
        <v>15</v>
      </c>
    </row>
    <row r="104" spans="1:6" s="1025" customFormat="1" ht="24">
      <c r="A104" s="3274">
        <v>30</v>
      </c>
      <c r="B104" s="3943"/>
      <c r="C104" s="3253" t="s">
        <v>2587</v>
      </c>
      <c r="D104" s="3253" t="s">
        <v>2588</v>
      </c>
      <c r="E104" s="3275">
        <v>0.1</v>
      </c>
      <c r="F104" s="3274">
        <v>15</v>
      </c>
    </row>
    <row r="105" spans="1:6" s="1025" customFormat="1" ht="24">
      <c r="A105" s="3274">
        <v>31</v>
      </c>
      <c r="B105" s="3943"/>
      <c r="C105" s="3253" t="s">
        <v>2589</v>
      </c>
      <c r="D105" s="3253" t="s">
        <v>2590</v>
      </c>
      <c r="E105" s="3275">
        <v>0.1</v>
      </c>
      <c r="F105" s="3274">
        <v>15</v>
      </c>
    </row>
    <row r="106" spans="1:6" s="1025" customFormat="1" ht="24">
      <c r="A106" s="3274">
        <v>32</v>
      </c>
      <c r="B106" s="3943"/>
      <c r="C106" s="3253" t="s">
        <v>2591</v>
      </c>
      <c r="D106" s="3253" t="s">
        <v>2592</v>
      </c>
      <c r="E106" s="3275">
        <v>0.1</v>
      </c>
      <c r="F106" s="3274">
        <v>15</v>
      </c>
    </row>
    <row r="107" spans="1:6" s="1025" customFormat="1" ht="24">
      <c r="A107" s="3274">
        <v>33</v>
      </c>
      <c r="B107" s="3943"/>
      <c r="C107" s="3253" t="s">
        <v>2593</v>
      </c>
      <c r="D107" s="3253" t="s">
        <v>2594</v>
      </c>
      <c r="E107" s="3275">
        <v>0.1</v>
      </c>
      <c r="F107" s="3274">
        <v>15</v>
      </c>
    </row>
    <row r="108" spans="1:6" s="1025" customFormat="1" ht="24">
      <c r="A108" s="3274">
        <v>34</v>
      </c>
      <c r="B108" s="3946"/>
      <c r="C108" s="3253" t="s">
        <v>2595</v>
      </c>
      <c r="D108" s="3253" t="s">
        <v>2596</v>
      </c>
      <c r="E108" s="3275">
        <v>0.1</v>
      </c>
      <c r="F108" s="3274">
        <v>15</v>
      </c>
    </row>
    <row r="109" spans="1:6" s="1025" customFormat="1" ht="24">
      <c r="A109" s="3274">
        <v>35</v>
      </c>
      <c r="B109" s="3944" t="s">
        <v>2597</v>
      </c>
      <c r="C109" s="3274" t="s">
        <v>2598</v>
      </c>
      <c r="D109" s="3253" t="s">
        <v>2599</v>
      </c>
      <c r="E109" s="3275">
        <v>0.15</v>
      </c>
      <c r="F109" s="3274">
        <v>20</v>
      </c>
    </row>
    <row r="110" spans="1:6" s="1025" customFormat="1" ht="24">
      <c r="A110" s="3274">
        <v>36</v>
      </c>
      <c r="B110" s="3943"/>
      <c r="C110" s="3274" t="s">
        <v>2600</v>
      </c>
      <c r="D110" s="3253" t="s">
        <v>2601</v>
      </c>
      <c r="E110" s="3275">
        <v>0.15</v>
      </c>
      <c r="F110" s="3274">
        <v>20</v>
      </c>
    </row>
    <row r="111" spans="1:6" s="1025" customFormat="1" ht="24">
      <c r="A111" s="3274">
        <v>37</v>
      </c>
      <c r="B111" s="3943"/>
      <c r="C111" s="3274" t="s">
        <v>2602</v>
      </c>
      <c r="D111" s="3253" t="s">
        <v>2603</v>
      </c>
      <c r="E111" s="3275">
        <v>0.15</v>
      </c>
      <c r="F111" s="3274">
        <v>20</v>
      </c>
    </row>
    <row r="112" spans="1:6" s="1025" customFormat="1">
      <c r="A112" s="3274">
        <v>38</v>
      </c>
      <c r="B112" s="3943"/>
      <c r="C112" s="3274" t="s">
        <v>2604</v>
      </c>
      <c r="D112" s="3253" t="s">
        <v>2605</v>
      </c>
      <c r="E112" s="3275">
        <v>0.1</v>
      </c>
      <c r="F112" s="3274">
        <v>15</v>
      </c>
    </row>
    <row r="113" spans="1:6" s="1025" customFormat="1" ht="24">
      <c r="A113" s="3274">
        <v>39</v>
      </c>
      <c r="B113" s="3943"/>
      <c r="C113" s="3274" t="s">
        <v>2606</v>
      </c>
      <c r="D113" s="3253" t="s">
        <v>2607</v>
      </c>
      <c r="E113" s="3275">
        <v>0.1</v>
      </c>
      <c r="F113" s="3274">
        <v>15</v>
      </c>
    </row>
    <row r="114" spans="1:6" s="1025" customFormat="1" ht="24">
      <c r="A114" s="3274">
        <v>40</v>
      </c>
      <c r="B114" s="3946"/>
      <c r="C114" s="3274" t="s">
        <v>2608</v>
      </c>
      <c r="D114" s="3253" t="s">
        <v>2609</v>
      </c>
      <c r="E114" s="3275">
        <v>0.1</v>
      </c>
      <c r="F114" s="3274">
        <v>15</v>
      </c>
    </row>
    <row r="115" spans="1:6" s="1025" customFormat="1" ht="24">
      <c r="A115" s="3274">
        <v>41</v>
      </c>
      <c r="B115" s="3937" t="s">
        <v>2610</v>
      </c>
      <c r="C115" s="3274" t="s">
        <v>2611</v>
      </c>
      <c r="D115" s="3253" t="s">
        <v>2612</v>
      </c>
      <c r="E115" s="3275">
        <v>0.1</v>
      </c>
      <c r="F115" s="3274">
        <v>15</v>
      </c>
    </row>
    <row r="116" spans="1:6" s="1025" customFormat="1">
      <c r="A116" s="3274">
        <v>42</v>
      </c>
      <c r="B116" s="3937"/>
      <c r="C116" s="3274" t="s">
        <v>2613</v>
      </c>
      <c r="D116" s="3253" t="s">
        <v>2614</v>
      </c>
      <c r="E116" s="3275">
        <v>0.1</v>
      </c>
      <c r="F116" s="3274">
        <v>15</v>
      </c>
    </row>
    <row r="117" spans="1:6" s="1025" customFormat="1" ht="24">
      <c r="A117" s="3274">
        <v>43</v>
      </c>
      <c r="B117" s="3937"/>
      <c r="C117" s="3274" t="s">
        <v>2615</v>
      </c>
      <c r="D117" s="3253" t="s">
        <v>2616</v>
      </c>
      <c r="E117" s="3275">
        <v>0.1</v>
      </c>
      <c r="F117" s="3274">
        <v>15</v>
      </c>
    </row>
    <row r="118" spans="1:6" s="1025" customFormat="1" ht="24">
      <c r="A118" s="3274">
        <v>44</v>
      </c>
      <c r="B118" s="3944" t="s">
        <v>2617</v>
      </c>
      <c r="C118" s="3274" t="s">
        <v>2618</v>
      </c>
      <c r="D118" s="3253" t="s">
        <v>2619</v>
      </c>
      <c r="E118" s="3275">
        <v>0.1</v>
      </c>
      <c r="F118" s="3274">
        <v>15</v>
      </c>
    </row>
    <row r="119" spans="1:6" s="1025" customFormat="1" ht="24">
      <c r="A119" s="3274">
        <v>45</v>
      </c>
      <c r="B119" s="3946"/>
      <c r="C119" s="3253" t="s">
        <v>2620</v>
      </c>
      <c r="D119" s="3253" t="s">
        <v>2621</v>
      </c>
      <c r="E119" s="3275">
        <v>0.1</v>
      </c>
      <c r="F119" s="3274">
        <v>15</v>
      </c>
    </row>
    <row r="120" spans="1:6" s="1025" customFormat="1" ht="24">
      <c r="A120" s="3274">
        <v>46</v>
      </c>
      <c r="B120" s="3944" t="s">
        <v>2622</v>
      </c>
      <c r="C120" s="3274" t="s">
        <v>2623</v>
      </c>
      <c r="D120" s="3253" t="s">
        <v>2624</v>
      </c>
      <c r="E120" s="3275">
        <v>0.1</v>
      </c>
      <c r="F120" s="3274">
        <v>15</v>
      </c>
    </row>
    <row r="121" spans="1:6" s="1025" customFormat="1" ht="24">
      <c r="A121" s="3274">
        <v>47</v>
      </c>
      <c r="B121" s="3946"/>
      <c r="C121" s="3274" t="s">
        <v>2625</v>
      </c>
      <c r="D121" s="3253" t="s">
        <v>2626</v>
      </c>
      <c r="E121" s="3275">
        <v>0.1</v>
      </c>
      <c r="F121" s="3274">
        <v>15</v>
      </c>
    </row>
    <row r="122" spans="1:6" s="1025" customFormat="1" ht="24">
      <c r="A122" s="3274">
        <v>48</v>
      </c>
      <c r="B122" s="3944" t="s">
        <v>2627</v>
      </c>
      <c r="C122" s="3274" t="s">
        <v>2628</v>
      </c>
      <c r="D122" s="3253" t="s">
        <v>2629</v>
      </c>
      <c r="E122" s="3275">
        <v>0.1</v>
      </c>
      <c r="F122" s="3274">
        <v>15</v>
      </c>
    </row>
    <row r="123" spans="1:6" s="1025" customFormat="1">
      <c r="A123" s="3274">
        <v>49</v>
      </c>
      <c r="B123" s="3946"/>
      <c r="C123" s="3274" t="s">
        <v>2630</v>
      </c>
      <c r="D123" s="3253" t="s">
        <v>2631</v>
      </c>
      <c r="E123" s="3275">
        <v>0.1</v>
      </c>
      <c r="F123" s="3274">
        <v>15</v>
      </c>
    </row>
    <row r="124" spans="1:6" s="1025" customFormat="1" ht="24">
      <c r="A124" s="3274">
        <v>50</v>
      </c>
      <c r="B124" s="3937" t="s">
        <v>2632</v>
      </c>
      <c r="C124" s="3274" t="s">
        <v>2633</v>
      </c>
      <c r="D124" s="3253" t="s">
        <v>2634</v>
      </c>
      <c r="E124" s="3275">
        <v>0.1</v>
      </c>
      <c r="F124" s="3274">
        <v>15</v>
      </c>
    </row>
    <row r="125" spans="1:6" s="1025" customFormat="1" ht="24">
      <c r="A125" s="3274">
        <v>51</v>
      </c>
      <c r="B125" s="3937"/>
      <c r="C125" s="3274" t="s">
        <v>2635</v>
      </c>
      <c r="D125" s="3253" t="s">
        <v>2636</v>
      </c>
      <c r="E125" s="3275">
        <v>0.1</v>
      </c>
      <c r="F125" s="3274">
        <v>15</v>
      </c>
    </row>
    <row r="126" spans="1:6" s="1025" customFormat="1" ht="24">
      <c r="A126" s="3274">
        <v>52</v>
      </c>
      <c r="B126" s="3937" t="s">
        <v>2637</v>
      </c>
      <c r="C126" s="3274" t="s">
        <v>2638</v>
      </c>
      <c r="D126" s="3253" t="s">
        <v>2639</v>
      </c>
      <c r="E126" s="3275">
        <v>0.1</v>
      </c>
      <c r="F126" s="3274">
        <v>15</v>
      </c>
    </row>
    <row r="127" spans="1:6" s="1025" customFormat="1" ht="24">
      <c r="A127" s="3274">
        <v>53</v>
      </c>
      <c r="B127" s="3937"/>
      <c r="C127" s="3274" t="s">
        <v>2640</v>
      </c>
      <c r="D127" s="3253" t="s">
        <v>2641</v>
      </c>
      <c r="E127" s="3275">
        <v>0.1</v>
      </c>
      <c r="F127" s="3274">
        <v>15</v>
      </c>
    </row>
    <row r="128" spans="1:6" ht="24">
      <c r="A128" s="3274">
        <v>54</v>
      </c>
      <c r="B128" s="3274" t="s">
        <v>2642</v>
      </c>
      <c r="C128" s="3274" t="s">
        <v>2643</v>
      </c>
      <c r="D128" s="3253" t="s">
        <v>2644</v>
      </c>
      <c r="E128" s="3275">
        <v>0.1</v>
      </c>
      <c r="F128" s="3274">
        <v>15</v>
      </c>
    </row>
    <row r="129" spans="1:14">
      <c r="A129" s="3274">
        <v>55</v>
      </c>
      <c r="B129" s="3937" t="s">
        <v>2645</v>
      </c>
      <c r="C129" s="3274" t="s">
        <v>2646</v>
      </c>
      <c r="D129" s="3253" t="s">
        <v>2647</v>
      </c>
      <c r="E129" s="3275">
        <v>0.1</v>
      </c>
      <c r="F129" s="3274">
        <v>15</v>
      </c>
    </row>
    <row r="130" spans="1:14">
      <c r="A130" s="3274">
        <v>56</v>
      </c>
      <c r="B130" s="3937"/>
      <c r="C130" s="3274" t="s">
        <v>2648</v>
      </c>
      <c r="D130" s="3253" t="s">
        <v>2649</v>
      </c>
      <c r="E130" s="3275">
        <v>0.1</v>
      </c>
      <c r="F130" s="3274">
        <v>15</v>
      </c>
    </row>
    <row r="131" spans="1:14" ht="24">
      <c r="A131" s="3274">
        <v>57</v>
      </c>
      <c r="B131" s="3937"/>
      <c r="C131" s="3274" t="s">
        <v>2650</v>
      </c>
      <c r="D131" s="3253" t="s">
        <v>2651</v>
      </c>
      <c r="E131" s="3275">
        <v>0.1</v>
      </c>
      <c r="F131" s="3274">
        <v>15</v>
      </c>
    </row>
    <row r="132" spans="1:14" ht="24">
      <c r="A132" s="3274">
        <v>58</v>
      </c>
      <c r="B132" s="3937" t="s">
        <v>2652</v>
      </c>
      <c r="C132" s="3274" t="s">
        <v>2653</v>
      </c>
      <c r="D132" s="3253" t="s">
        <v>2654</v>
      </c>
      <c r="E132" s="3275">
        <v>0.1</v>
      </c>
      <c r="F132" s="3274">
        <v>15</v>
      </c>
    </row>
    <row r="133" spans="1:14" ht="24">
      <c r="A133" s="3274">
        <v>59</v>
      </c>
      <c r="B133" s="3937"/>
      <c r="C133" s="3274" t="s">
        <v>2655</v>
      </c>
      <c r="D133" s="3253" t="s">
        <v>2656</v>
      </c>
      <c r="E133" s="3275">
        <v>0.1</v>
      </c>
      <c r="F133" s="3274">
        <v>15</v>
      </c>
    </row>
    <row r="134" spans="1:14" ht="24">
      <c r="A134" s="3274">
        <v>60</v>
      </c>
      <c r="B134" s="3944" t="s">
        <v>2657</v>
      </c>
      <c r="C134" s="3274" t="s">
        <v>2658</v>
      </c>
      <c r="D134" s="3253" t="s">
        <v>2659</v>
      </c>
      <c r="E134" s="3275">
        <v>0.1</v>
      </c>
      <c r="F134" s="3274">
        <v>15</v>
      </c>
    </row>
    <row r="135" spans="1:14" ht="24">
      <c r="A135" s="3274">
        <v>61</v>
      </c>
      <c r="B135" s="3946"/>
      <c r="C135" s="3274" t="s">
        <v>2660</v>
      </c>
      <c r="D135" s="3253" t="s">
        <v>2661</v>
      </c>
      <c r="E135" s="3275">
        <v>0.1</v>
      </c>
      <c r="F135" s="3274">
        <v>15</v>
      </c>
    </row>
    <row r="136" spans="1:14" ht="24">
      <c r="A136" s="3274">
        <v>62</v>
      </c>
      <c r="B136" s="3274" t="s">
        <v>2662</v>
      </c>
      <c r="C136" s="3274" t="s">
        <v>2663</v>
      </c>
      <c r="D136" s="3253" t="s">
        <v>2664</v>
      </c>
      <c r="E136" s="3275">
        <v>0.1</v>
      </c>
      <c r="F136" s="3274">
        <v>15</v>
      </c>
    </row>
    <row r="137" spans="1:14" ht="24">
      <c r="A137" s="3274">
        <v>63</v>
      </c>
      <c r="B137" s="3937" t="s">
        <v>2665</v>
      </c>
      <c r="C137" s="3274" t="s">
        <v>2666</v>
      </c>
      <c r="D137" s="3253" t="s">
        <v>2667</v>
      </c>
      <c r="E137" s="3275">
        <v>0.1</v>
      </c>
      <c r="F137" s="3274">
        <v>15</v>
      </c>
    </row>
    <row r="138" spans="1:14">
      <c r="A138" s="3274">
        <v>64</v>
      </c>
      <c r="B138" s="3937"/>
      <c r="C138" s="3274" t="s">
        <v>2668</v>
      </c>
      <c r="D138" s="3253" t="s">
        <v>2669</v>
      </c>
      <c r="E138" s="3275">
        <v>0.1</v>
      </c>
      <c r="F138" s="3274">
        <v>15</v>
      </c>
    </row>
    <row r="139" spans="1:14" ht="24">
      <c r="A139" s="3274">
        <v>65</v>
      </c>
      <c r="B139" s="3274" t="s">
        <v>2670</v>
      </c>
      <c r="C139" s="3274" t="s">
        <v>2671</v>
      </c>
      <c r="D139" s="3253" t="s">
        <v>2672</v>
      </c>
      <c r="E139" s="3275">
        <v>0.1</v>
      </c>
      <c r="F139" s="3274">
        <v>15</v>
      </c>
    </row>
    <row r="140" spans="1:14">
      <c r="A140" s="1053"/>
      <c r="B140" s="3233"/>
      <c r="C140" s="1053"/>
      <c r="D140" s="1010"/>
      <c r="E140" s="1040"/>
      <c r="F140" s="1053"/>
    </row>
    <row r="141" spans="1:14">
      <c r="A141" s="1053"/>
      <c r="B141" s="1053"/>
      <c r="C141" s="1053"/>
      <c r="D141" s="1053"/>
      <c r="E141" s="1040"/>
      <c r="F141" s="1053"/>
    </row>
    <row r="143" spans="1:14">
      <c r="A143" s="3338"/>
      <c r="B143" s="3338"/>
      <c r="C143" s="3338"/>
      <c r="D143" s="3338"/>
      <c r="E143" s="3338"/>
      <c r="F143" s="3338"/>
      <c r="G143" s="3338"/>
      <c r="H143" s="3338"/>
      <c r="I143" s="3338"/>
      <c r="J143" s="3338"/>
      <c r="K143" s="1054"/>
      <c r="L143" s="1054"/>
      <c r="M143" s="1054"/>
      <c r="N143" s="1054"/>
    </row>
  </sheetData>
  <sheetProtection password="CEE9" sheet="1" objects="1" scenarios="1" formatCells="0" formatColumns="0" formatRows="0"/>
  <mergeCells count="21">
    <mergeCell ref="B137:B138"/>
    <mergeCell ref="B124:B125"/>
    <mergeCell ref="B126:B127"/>
    <mergeCell ref="B129:B131"/>
    <mergeCell ref="B132:B133"/>
    <mergeCell ref="B134:B135"/>
    <mergeCell ref="B109:B114"/>
    <mergeCell ref="B115:B117"/>
    <mergeCell ref="B118:B119"/>
    <mergeCell ref="B120:B121"/>
    <mergeCell ref="B122:B123"/>
    <mergeCell ref="A43:A53"/>
    <mergeCell ref="B43:B45"/>
    <mergeCell ref="B47:B53"/>
    <mergeCell ref="B75:B91"/>
    <mergeCell ref="B92:B108"/>
    <mergeCell ref="A20:A27"/>
    <mergeCell ref="B20:B27"/>
    <mergeCell ref="A29:A41"/>
    <mergeCell ref="B29:B38"/>
    <mergeCell ref="B39:B41"/>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3" customWidth="1"/>
    <col min="2" max="2" width="15" style="3433" customWidth="1"/>
    <col min="3" max="6" width="10.25" style="3433" customWidth="1"/>
    <col min="7" max="7" width="9" style="3433"/>
    <col min="8" max="8" width="9" style="1011"/>
    <col min="9" max="9" width="9" style="1008"/>
    <col min="10" max="10" width="17.375" style="3459" customWidth="1"/>
    <col min="11" max="21" width="17.375" style="3433" customWidth="1"/>
    <col min="22" max="16384" width="9" style="1008"/>
  </cols>
  <sheetData>
    <row r="1" spans="1:21">
      <c r="A1" s="3947" t="s">
        <v>2811</v>
      </c>
      <c r="B1" s="3947"/>
      <c r="C1" s="3947"/>
      <c r="D1" s="3947"/>
      <c r="E1" s="3947"/>
      <c r="F1" s="3947"/>
      <c r="G1" s="3948"/>
      <c r="I1" s="1012"/>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4.25" thickBot="1">
      <c r="A2" s="3419" t="s">
        <v>2812</v>
      </c>
      <c r="B2" s="3419"/>
      <c r="C2" s="3419"/>
      <c r="D2" s="3419"/>
      <c r="E2" s="3419"/>
      <c r="F2" s="3419"/>
      <c r="G2" s="3414" t="s">
        <v>2813</v>
      </c>
      <c r="J2" s="3443" t="s">
        <v>2819</v>
      </c>
      <c r="K2" s="3423" t="s">
        <v>2821</v>
      </c>
      <c r="L2" s="3423" t="s">
        <v>2823</v>
      </c>
      <c r="M2" s="3423" t="s">
        <v>2829</v>
      </c>
      <c r="N2" s="3423" t="s">
        <v>2839</v>
      </c>
      <c r="O2" s="3423" t="s">
        <v>2854</v>
      </c>
      <c r="P2" s="3423" t="s">
        <v>2891</v>
      </c>
      <c r="Q2" s="3423" t="s">
        <v>2922</v>
      </c>
      <c r="R2" s="3423" t="s">
        <v>2950</v>
      </c>
      <c r="S2" s="3423" t="s">
        <v>2985</v>
      </c>
      <c r="T2" s="3423" t="s">
        <v>3005</v>
      </c>
      <c r="U2" s="3423" t="s">
        <v>3017</v>
      </c>
    </row>
    <row r="3" spans="1:21" s="1012" customFormat="1" ht="19.5" customHeight="1">
      <c r="A3" s="3949" t="s">
        <v>2814</v>
      </c>
      <c r="B3" s="3415"/>
      <c r="C3" s="3416" t="s">
        <v>2792</v>
      </c>
      <c r="D3" s="3416" t="s">
        <v>2815</v>
      </c>
      <c r="E3" s="3416" t="s">
        <v>2794</v>
      </c>
      <c r="F3" s="3416" t="s">
        <v>2816</v>
      </c>
      <c r="G3" s="3416" t="s">
        <v>2737</v>
      </c>
      <c r="H3" s="1015"/>
      <c r="J3" s="3443" t="s">
        <v>2820</v>
      </c>
      <c r="K3" s="3423" t="s">
        <v>973</v>
      </c>
      <c r="L3" s="3423" t="s">
        <v>974</v>
      </c>
      <c r="M3" s="3423" t="s">
        <v>975</v>
      </c>
      <c r="N3" s="3423" t="s">
        <v>976</v>
      </c>
      <c r="O3" s="3423" t="s">
        <v>977</v>
      </c>
      <c r="P3" s="3423" t="s">
        <v>978</v>
      </c>
      <c r="Q3" s="3423" t="s">
        <v>979</v>
      </c>
      <c r="R3" s="3423" t="s">
        <v>980</v>
      </c>
      <c r="S3" s="3423" t="s">
        <v>981</v>
      </c>
      <c r="T3" s="3423" t="s">
        <v>3006</v>
      </c>
      <c r="U3" s="3423" t="s">
        <v>3018</v>
      </c>
    </row>
    <row r="4" spans="1:21" s="1012" customFormat="1" ht="19.5" customHeight="1" thickBot="1">
      <c r="A4" s="3950"/>
      <c r="B4" s="3417" t="s">
        <v>2817</v>
      </c>
      <c r="C4" s="3417" t="s">
        <v>2818</v>
      </c>
      <c r="D4" s="3417" t="s">
        <v>2818</v>
      </c>
      <c r="E4" s="3417" t="s">
        <v>2818</v>
      </c>
      <c r="F4" s="3418" t="s">
        <v>2818</v>
      </c>
      <c r="G4" s="3418" t="s">
        <v>2818</v>
      </c>
      <c r="H4" s="1015"/>
      <c r="J4" s="3443" t="s">
        <v>982</v>
      </c>
      <c r="K4" s="3423" t="s">
        <v>983</v>
      </c>
      <c r="L4" s="3423" t="s">
        <v>984</v>
      </c>
      <c r="M4" s="3423" t="s">
        <v>985</v>
      </c>
      <c r="N4" s="3423" t="s">
        <v>986</v>
      </c>
      <c r="O4" s="3423" t="s">
        <v>987</v>
      </c>
      <c r="P4" s="3423" t="s">
        <v>988</v>
      </c>
      <c r="Q4" s="3423" t="s">
        <v>989</v>
      </c>
      <c r="R4" s="3423" t="s">
        <v>2951</v>
      </c>
      <c r="S4" s="3423" t="s">
        <v>2986</v>
      </c>
      <c r="T4" s="3423" t="s">
        <v>3007</v>
      </c>
      <c r="U4" s="3423" t="s">
        <v>3019</v>
      </c>
    </row>
    <row r="5" spans="1:21" ht="14.25" customHeight="1">
      <c r="A5" s="3420" t="s">
        <v>990</v>
      </c>
      <c r="B5" s="3421" t="s">
        <v>2819</v>
      </c>
      <c r="C5" s="3421">
        <v>34550</v>
      </c>
      <c r="D5" s="3421">
        <v>34470</v>
      </c>
      <c r="E5" s="3421">
        <v>34330</v>
      </c>
      <c r="F5" s="3422">
        <v>13400</v>
      </c>
      <c r="G5" s="3422">
        <v>25450</v>
      </c>
      <c r="H5" s="1016" t="s">
        <v>961</v>
      </c>
      <c r="I5" s="1017">
        <f>SUMPRODUCT((B5:B9=基准地价!I2)*(C3:G3=基准地价!E2)*(C5:G9))</f>
        <v>0</v>
      </c>
      <c r="J5" s="3443" t="s">
        <v>991</v>
      </c>
      <c r="K5" s="3423" t="s">
        <v>992</v>
      </c>
      <c r="L5" s="3423" t="s">
        <v>993</v>
      </c>
      <c r="M5" s="3423" t="s">
        <v>994</v>
      </c>
      <c r="N5" s="3423" t="s">
        <v>995</v>
      </c>
      <c r="O5" s="3423" t="s">
        <v>996</v>
      </c>
      <c r="P5" s="3423" t="s">
        <v>997</v>
      </c>
      <c r="Q5" s="3423" t="s">
        <v>998</v>
      </c>
      <c r="R5" s="3423" t="s">
        <v>2952</v>
      </c>
      <c r="S5" s="3423" t="s">
        <v>2987</v>
      </c>
      <c r="T5" s="3423" t="s">
        <v>999</v>
      </c>
      <c r="U5" s="3423" t="s">
        <v>3020</v>
      </c>
    </row>
    <row r="6" spans="1:21" ht="14.25" customHeight="1">
      <c r="A6" s="3423" t="s">
        <v>990</v>
      </c>
      <c r="B6" s="3423" t="s">
        <v>2820</v>
      </c>
      <c r="C6" s="3423">
        <v>36990</v>
      </c>
      <c r="D6" s="3423">
        <v>36850</v>
      </c>
      <c r="E6" s="3423">
        <v>36700</v>
      </c>
      <c r="F6" s="3424">
        <v>14590</v>
      </c>
      <c r="G6" s="3424">
        <v>27450</v>
      </c>
      <c r="H6" s="1018" t="s">
        <v>1000</v>
      </c>
      <c r="I6" s="1019">
        <f>SUMPRODUCT((B10:B29=基准地价!I2)*(C3:G3=基准地价!E2)*(C10:G29))</f>
        <v>0</v>
      </c>
      <c r="J6" s="3443" t="s">
        <v>1001</v>
      </c>
      <c r="K6" s="3423" t="s">
        <v>1002</v>
      </c>
      <c r="L6" s="3423" t="s">
        <v>1003</v>
      </c>
      <c r="M6" s="3423" t="s">
        <v>1004</v>
      </c>
      <c r="N6" s="3423" t="s">
        <v>1005</v>
      </c>
      <c r="O6" s="3423" t="s">
        <v>1006</v>
      </c>
      <c r="P6" s="3423" t="s">
        <v>1007</v>
      </c>
      <c r="Q6" s="3423" t="s">
        <v>2923</v>
      </c>
      <c r="R6" s="3423" t="s">
        <v>2953</v>
      </c>
      <c r="S6" s="3423" t="s">
        <v>1008</v>
      </c>
      <c r="T6" s="3423" t="s">
        <v>3008</v>
      </c>
      <c r="U6" s="3423" t="s">
        <v>3021</v>
      </c>
    </row>
    <row r="7" spans="1:21" ht="14.25" customHeight="1">
      <c r="A7" s="3423" t="s">
        <v>990</v>
      </c>
      <c r="B7" s="1289" t="s">
        <v>982</v>
      </c>
      <c r="C7" s="3423">
        <v>34850</v>
      </c>
      <c r="D7" s="3423">
        <v>34690</v>
      </c>
      <c r="E7" s="3423">
        <v>34550</v>
      </c>
      <c r="F7" s="3424">
        <v>14360</v>
      </c>
      <c r="G7" s="3424">
        <v>25620</v>
      </c>
      <c r="H7" s="1018" t="s">
        <v>838</v>
      </c>
      <c r="I7" s="1019">
        <f>SUMPRODUCT((B30:B54=基准地价!I2)*(C3:G3=基准地价!E2)*(C30:G54))</f>
        <v>0</v>
      </c>
      <c r="K7" s="3423" t="s">
        <v>1009</v>
      </c>
      <c r="L7" s="3423" t="s">
        <v>1010</v>
      </c>
      <c r="M7" s="3423" t="s">
        <v>1011</v>
      </c>
      <c r="N7" s="3423" t="s">
        <v>1012</v>
      </c>
      <c r="O7" s="3423" t="s">
        <v>1013</v>
      </c>
      <c r="P7" s="3423" t="s">
        <v>1014</v>
      </c>
      <c r="Q7" s="3423" t="s">
        <v>2924</v>
      </c>
      <c r="R7" s="3423" t="s">
        <v>2954</v>
      </c>
      <c r="S7" s="3423" t="s">
        <v>2988</v>
      </c>
      <c r="T7" s="3423" t="s">
        <v>3009</v>
      </c>
      <c r="U7" s="1289" t="s">
        <v>3022</v>
      </c>
    </row>
    <row r="8" spans="1:21" ht="14.25" customHeight="1">
      <c r="A8" s="3423" t="s">
        <v>990</v>
      </c>
      <c r="B8" s="3423" t="s">
        <v>991</v>
      </c>
      <c r="C8" s="3423">
        <v>32630</v>
      </c>
      <c r="D8" s="3423">
        <v>32510</v>
      </c>
      <c r="E8" s="3423">
        <v>32420</v>
      </c>
      <c r="F8" s="3424">
        <v>13300</v>
      </c>
      <c r="G8" s="3424">
        <v>24010</v>
      </c>
      <c r="H8" s="1018" t="s">
        <v>839</v>
      </c>
      <c r="I8" s="1019">
        <f>SUMPRODUCT((B55:B86=基准地价!I2)*(C3:G3=基准地价!E2)*(C55:G86))</f>
        <v>0</v>
      </c>
      <c r="K8" s="3423" t="s">
        <v>1015</v>
      </c>
      <c r="L8" s="3423" t="s">
        <v>1016</v>
      </c>
      <c r="M8" s="3423" t="s">
        <v>1017</v>
      </c>
      <c r="N8" s="3423" t="s">
        <v>1018</v>
      </c>
      <c r="O8" s="3423" t="s">
        <v>1019</v>
      </c>
      <c r="P8" s="3423" t="s">
        <v>1020</v>
      </c>
      <c r="Q8" s="3423" t="s">
        <v>2925</v>
      </c>
      <c r="R8" s="3423" t="s">
        <v>1021</v>
      </c>
      <c r="S8" s="3423" t="s">
        <v>2989</v>
      </c>
      <c r="T8" s="3423" t="s">
        <v>3010</v>
      </c>
      <c r="U8" s="3423" t="s">
        <v>3023</v>
      </c>
    </row>
    <row r="9" spans="1:21" ht="14.25" customHeight="1" thickBot="1">
      <c r="A9" s="3437" t="s">
        <v>990</v>
      </c>
      <c r="B9" s="3425" t="s">
        <v>1001</v>
      </c>
      <c r="C9" s="3426">
        <v>36370</v>
      </c>
      <c r="D9" s="3426">
        <v>36210</v>
      </c>
      <c r="E9" s="3426">
        <v>36050</v>
      </c>
      <c r="F9" s="3427"/>
      <c r="G9" s="3428">
        <v>26740</v>
      </c>
      <c r="H9" s="1018" t="s">
        <v>840</v>
      </c>
      <c r="I9" s="1019">
        <f>SUMPRODUCT((B87:B126=基准地价!I2)*(C3:G3=基准地价!E2)*(C87:G126))</f>
        <v>0</v>
      </c>
      <c r="K9" s="3423" t="s">
        <v>1022</v>
      </c>
      <c r="L9" s="3423" t="s">
        <v>1023</v>
      </c>
      <c r="M9" s="3423" t="s">
        <v>1024</v>
      </c>
      <c r="N9" s="3423" t="s">
        <v>1025</v>
      </c>
      <c r="O9" s="3423" t="s">
        <v>1026</v>
      </c>
      <c r="P9" s="3423" t="s">
        <v>1027</v>
      </c>
      <c r="Q9" s="3423" t="s">
        <v>2926</v>
      </c>
      <c r="R9" s="3423" t="s">
        <v>1029</v>
      </c>
      <c r="S9" s="3423" t="s">
        <v>1030</v>
      </c>
      <c r="T9" s="3423" t="s">
        <v>1047</v>
      </c>
    </row>
    <row r="10" spans="1:21" ht="14.25" customHeight="1">
      <c r="A10" s="3420" t="s">
        <v>1031</v>
      </c>
      <c r="B10" s="3421" t="s">
        <v>2821</v>
      </c>
      <c r="C10" s="3421">
        <v>32350</v>
      </c>
      <c r="D10" s="3421">
        <v>31430</v>
      </c>
      <c r="E10" s="3421">
        <v>31320</v>
      </c>
      <c r="F10" s="3422">
        <v>10850</v>
      </c>
      <c r="G10" s="3422">
        <v>22860</v>
      </c>
      <c r="H10" s="1018" t="s">
        <v>841</v>
      </c>
      <c r="I10" s="1019">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3011</v>
      </c>
    </row>
    <row r="11" spans="1:21" ht="14.25" customHeight="1">
      <c r="A11" s="3423" t="s">
        <v>1031</v>
      </c>
      <c r="B11" s="1289" t="s">
        <v>973</v>
      </c>
      <c r="C11" s="3423">
        <v>31590</v>
      </c>
      <c r="D11" s="3423">
        <v>29490</v>
      </c>
      <c r="E11" s="3423">
        <v>28700</v>
      </c>
      <c r="F11" s="3429">
        <v>10410</v>
      </c>
      <c r="G11" s="3429">
        <v>21460</v>
      </c>
      <c r="H11" s="1018" t="s">
        <v>842</v>
      </c>
      <c r="I11" s="1019">
        <f>SUMPRODUCT((B190:B233=基准地价!I2)*(C3:G3=基准地价!E2)*(C190:G233))</f>
        <v>0</v>
      </c>
      <c r="K11" s="3423" t="s">
        <v>1041</v>
      </c>
      <c r="L11" s="3423" t="s">
        <v>1042</v>
      </c>
      <c r="M11" s="3423" t="s">
        <v>1043</v>
      </c>
      <c r="N11" s="3423" t="s">
        <v>1044</v>
      </c>
      <c r="O11" s="3423" t="s">
        <v>1045</v>
      </c>
      <c r="P11" s="3423" t="s">
        <v>2892</v>
      </c>
      <c r="Q11" s="3423" t="s">
        <v>1038</v>
      </c>
      <c r="R11" s="3423" t="s">
        <v>1046</v>
      </c>
      <c r="S11" s="3423" t="s">
        <v>2990</v>
      </c>
      <c r="T11" s="3423" t="s">
        <v>3012</v>
      </c>
    </row>
    <row r="12" spans="1:21" ht="14.25" customHeight="1">
      <c r="A12" s="3423" t="s">
        <v>1031</v>
      </c>
      <c r="B12" s="1289" t="s">
        <v>983</v>
      </c>
      <c r="C12" s="3423">
        <v>29640</v>
      </c>
      <c r="D12" s="3423">
        <v>27550</v>
      </c>
      <c r="E12" s="3423">
        <v>28010</v>
      </c>
      <c r="F12" s="3429">
        <v>8730</v>
      </c>
      <c r="G12" s="3429">
        <v>20050</v>
      </c>
      <c r="H12" s="1018" t="s">
        <v>843</v>
      </c>
      <c r="I12" s="1019">
        <f>SUMPRODUCT((B234:B276=基准地价!I2)*(C3:G3=基准地价!E2)*(C234:G276))</f>
        <v>0</v>
      </c>
      <c r="K12" s="3423" t="s">
        <v>1048</v>
      </c>
      <c r="L12" s="3423" t="s">
        <v>1049</v>
      </c>
      <c r="M12" s="3423" t="s">
        <v>1050</v>
      </c>
      <c r="N12" s="3423" t="s">
        <v>1051</v>
      </c>
      <c r="O12" s="3423" t="s">
        <v>1052</v>
      </c>
      <c r="P12" s="3423" t="s">
        <v>2893</v>
      </c>
      <c r="Q12" s="3423" t="s">
        <v>2927</v>
      </c>
      <c r="R12" s="3423" t="s">
        <v>2955</v>
      </c>
      <c r="S12" s="3423" t="s">
        <v>2991</v>
      </c>
      <c r="T12" s="3423" t="s">
        <v>3013</v>
      </c>
    </row>
    <row r="13" spans="1:21" ht="14.25" customHeight="1">
      <c r="A13" s="3423" t="s">
        <v>1031</v>
      </c>
      <c r="B13" s="1289" t="s">
        <v>992</v>
      </c>
      <c r="C13" s="3423">
        <v>29680</v>
      </c>
      <c r="D13" s="3423">
        <v>27660</v>
      </c>
      <c r="E13" s="3423">
        <v>28210</v>
      </c>
      <c r="F13" s="3429">
        <v>9590</v>
      </c>
      <c r="G13" s="3429">
        <v>20120</v>
      </c>
      <c r="H13" s="1018" t="s">
        <v>844</v>
      </c>
      <c r="I13" s="1019">
        <f>SUMPRODUCT((B277:B326=基准地价!I2)*(C3:G3=基准地价!E2)*(C277:G326))</f>
        <v>0</v>
      </c>
      <c r="K13" s="3423" t="s">
        <v>1055</v>
      </c>
      <c r="L13" s="3423" t="s">
        <v>1056</v>
      </c>
      <c r="M13" s="3423" t="s">
        <v>1057</v>
      </c>
      <c r="N13" s="3423" t="s">
        <v>1058</v>
      </c>
      <c r="O13" s="3423" t="s">
        <v>1059</v>
      </c>
      <c r="P13" s="3423" t="s">
        <v>2894</v>
      </c>
      <c r="Q13" s="3423" t="s">
        <v>1053</v>
      </c>
      <c r="R13" s="3423" t="s">
        <v>1067</v>
      </c>
      <c r="S13" s="3423" t="s">
        <v>1068</v>
      </c>
      <c r="T13" s="3423" t="s">
        <v>1061</v>
      </c>
    </row>
    <row r="14" spans="1:21" ht="14.25" customHeight="1">
      <c r="A14" s="3423" t="s">
        <v>1031</v>
      </c>
      <c r="B14" s="1289" t="s">
        <v>1002</v>
      </c>
      <c r="C14" s="3423">
        <v>30520</v>
      </c>
      <c r="D14" s="3423">
        <v>29510</v>
      </c>
      <c r="E14" s="3423">
        <v>29400</v>
      </c>
      <c r="F14" s="3429">
        <v>9630</v>
      </c>
      <c r="G14" s="3429">
        <v>21480</v>
      </c>
      <c r="H14" s="1018" t="s">
        <v>845</v>
      </c>
      <c r="I14" s="1019">
        <f>SUMPRODUCT((B327:B357=基准地价!I2)*(C3:G3=基准地价!E2)*(C327:G357))</f>
        <v>0</v>
      </c>
      <c r="K14" s="3423" t="s">
        <v>1062</v>
      </c>
      <c r="L14" s="3423" t="s">
        <v>1063</v>
      </c>
      <c r="M14" s="3423" t="s">
        <v>1064</v>
      </c>
      <c r="N14" s="3423" t="s">
        <v>1065</v>
      </c>
      <c r="O14" s="3423" t="s">
        <v>1066</v>
      </c>
      <c r="P14" s="3423" t="s">
        <v>1088</v>
      </c>
      <c r="Q14" s="3423" t="s">
        <v>1060</v>
      </c>
      <c r="R14" s="3423" t="s">
        <v>2956</v>
      </c>
      <c r="S14" s="3423" t="s">
        <v>1076</v>
      </c>
      <c r="T14" s="3423" t="s">
        <v>1069</v>
      </c>
    </row>
    <row r="15" spans="1:21" ht="14.25" customHeight="1">
      <c r="A15" s="3423" t="s">
        <v>1031</v>
      </c>
      <c r="B15" s="1289" t="s">
        <v>1009</v>
      </c>
      <c r="C15" s="3423">
        <v>29090</v>
      </c>
      <c r="D15" s="3423">
        <v>27590</v>
      </c>
      <c r="E15" s="3423">
        <v>28120</v>
      </c>
      <c r="F15" s="3429">
        <v>9110</v>
      </c>
      <c r="G15" s="3429">
        <v>20070</v>
      </c>
      <c r="H15" s="1018" t="s">
        <v>846</v>
      </c>
      <c r="I15" s="1019">
        <f>SUMPRODUCT((B358:B377=基准地价!I2)*(C3:G3=基准地价!E2)*(C358:G377))</f>
        <v>0</v>
      </c>
      <c r="K15" s="3423" t="s">
        <v>1070</v>
      </c>
      <c r="L15" s="3423" t="s">
        <v>1071</v>
      </c>
      <c r="M15" s="3423" t="s">
        <v>1072</v>
      </c>
      <c r="N15" s="3423" t="s">
        <v>1073</v>
      </c>
      <c r="O15" s="3423" t="s">
        <v>1074</v>
      </c>
      <c r="P15" s="3423" t="s">
        <v>2895</v>
      </c>
      <c r="Q15" s="3423" t="s">
        <v>2928</v>
      </c>
      <c r="R15" s="3423" t="s">
        <v>1090</v>
      </c>
      <c r="S15" s="3423" t="s">
        <v>2992</v>
      </c>
      <c r="T15" s="3423" t="s">
        <v>1077</v>
      </c>
    </row>
    <row r="16" spans="1:21" ht="14.25" customHeight="1" thickBot="1">
      <c r="A16" s="3423" t="s">
        <v>1031</v>
      </c>
      <c r="B16" s="1289" t="s">
        <v>1015</v>
      </c>
      <c r="C16" s="3423">
        <v>26790</v>
      </c>
      <c r="D16" s="3423">
        <v>30370</v>
      </c>
      <c r="E16" s="3423">
        <v>30240</v>
      </c>
      <c r="F16" s="3429">
        <v>11590</v>
      </c>
      <c r="G16" s="3429">
        <v>22090</v>
      </c>
      <c r="H16" s="1020" t="s">
        <v>847</v>
      </c>
      <c r="I16" s="1021">
        <f>SUMPRODUCT((B378:B384=基准地价!I2)*(C3:G3=基准地价!E2)*(C378:G384))</f>
        <v>0</v>
      </c>
      <c r="K16" s="3423" t="s">
        <v>1078</v>
      </c>
      <c r="L16" s="3423" t="s">
        <v>1079</v>
      </c>
      <c r="M16" s="3423" t="s">
        <v>1080</v>
      </c>
      <c r="N16" s="3423" t="s">
        <v>1081</v>
      </c>
      <c r="O16" s="3423" t="s">
        <v>1082</v>
      </c>
      <c r="P16" s="3423" t="s">
        <v>2896</v>
      </c>
      <c r="Q16" s="3423" t="s">
        <v>1075</v>
      </c>
      <c r="R16" s="3423" t="s">
        <v>1098</v>
      </c>
      <c r="S16" s="3423" t="s">
        <v>1054</v>
      </c>
      <c r="T16" s="3423" t="s">
        <v>3014</v>
      </c>
    </row>
    <row r="17" spans="1:20" ht="14.25" customHeight="1">
      <c r="A17" s="3423" t="s">
        <v>1031</v>
      </c>
      <c r="B17" s="1289" t="s">
        <v>1022</v>
      </c>
      <c r="C17" s="3423">
        <v>29180</v>
      </c>
      <c r="D17" s="3423">
        <v>27620</v>
      </c>
      <c r="E17" s="3423">
        <v>28180</v>
      </c>
      <c r="F17" s="3429">
        <v>10790</v>
      </c>
      <c r="G17" s="3430">
        <v>20090</v>
      </c>
      <c r="I17" s="1022"/>
      <c r="K17" s="3423" t="s">
        <v>1083</v>
      </c>
      <c r="L17" s="3423" t="s">
        <v>1084</v>
      </c>
      <c r="M17" s="3423" t="s">
        <v>1085</v>
      </c>
      <c r="N17" s="3423" t="s">
        <v>1086</v>
      </c>
      <c r="O17" s="3423" t="s">
        <v>1087</v>
      </c>
      <c r="P17" s="3423" t="s">
        <v>2897</v>
      </c>
      <c r="Q17" s="3423" t="s">
        <v>2929</v>
      </c>
      <c r="R17" s="3423" t="s">
        <v>1104</v>
      </c>
      <c r="S17" s="3423" t="s">
        <v>2993</v>
      </c>
      <c r="T17" s="3423" t="s">
        <v>1106</v>
      </c>
    </row>
    <row r="18" spans="1:20" ht="14.25" customHeight="1">
      <c r="A18" s="3423" t="s">
        <v>1031</v>
      </c>
      <c r="B18" s="1289" t="s">
        <v>1032</v>
      </c>
      <c r="C18" s="3423">
        <v>26840</v>
      </c>
      <c r="D18" s="3423">
        <v>28930</v>
      </c>
      <c r="E18" s="3423">
        <v>28820</v>
      </c>
      <c r="F18" s="3429"/>
      <c r="G18" s="3430">
        <v>21050</v>
      </c>
      <c r="I18" s="1022"/>
      <c r="K18" s="3423" t="s">
        <v>1092</v>
      </c>
      <c r="L18" s="3423" t="s">
        <v>1093</v>
      </c>
      <c r="M18" s="3423" t="s">
        <v>1094</v>
      </c>
      <c r="N18" s="3423" t="s">
        <v>1095</v>
      </c>
      <c r="O18" s="3423" t="s">
        <v>1096</v>
      </c>
      <c r="P18" s="3423" t="s">
        <v>2898</v>
      </c>
      <c r="Q18" s="3423" t="s">
        <v>1089</v>
      </c>
      <c r="R18" s="3423" t="s">
        <v>2957</v>
      </c>
      <c r="S18" s="3423" t="s">
        <v>1105</v>
      </c>
      <c r="T18" s="3423" t="s">
        <v>1114</v>
      </c>
    </row>
    <row r="19" spans="1:20" ht="14.25" customHeight="1">
      <c r="A19" s="3423" t="s">
        <v>1031</v>
      </c>
      <c r="B19" s="1289" t="s">
        <v>1041</v>
      </c>
      <c r="C19" s="3423">
        <v>27750</v>
      </c>
      <c r="D19" s="3423">
        <v>26680</v>
      </c>
      <c r="E19" s="3423">
        <v>26590</v>
      </c>
      <c r="F19" s="3429"/>
      <c r="G19" s="3430">
        <v>19420</v>
      </c>
      <c r="I19" s="1022"/>
      <c r="K19" s="3423" t="s">
        <v>1099</v>
      </c>
      <c r="L19" s="3423" t="s">
        <v>1100</v>
      </c>
      <c r="M19" s="3423" t="s">
        <v>1101</v>
      </c>
      <c r="N19" s="3423" t="s">
        <v>1102</v>
      </c>
      <c r="O19" s="3423" t="s">
        <v>1103</v>
      </c>
      <c r="P19" s="3423" t="s">
        <v>2899</v>
      </c>
      <c r="Q19" s="3423" t="s">
        <v>1097</v>
      </c>
      <c r="R19" s="3423" t="s">
        <v>2958</v>
      </c>
      <c r="S19" s="3423" t="s">
        <v>1113</v>
      </c>
      <c r="T19" s="3423" t="s">
        <v>3015</v>
      </c>
    </row>
    <row r="20" spans="1:20" ht="14.25" customHeight="1">
      <c r="A20" s="3423" t="s">
        <v>1031</v>
      </c>
      <c r="B20" s="1289" t="s">
        <v>1048</v>
      </c>
      <c r="C20" s="3423">
        <v>27050</v>
      </c>
      <c r="D20" s="3423">
        <v>29010</v>
      </c>
      <c r="E20" s="3423">
        <v>28910</v>
      </c>
      <c r="F20" s="3429"/>
      <c r="G20" s="3430">
        <v>21110</v>
      </c>
      <c r="K20" s="3423" t="s">
        <v>1107</v>
      </c>
      <c r="L20" s="3423" t="s">
        <v>1108</v>
      </c>
      <c r="M20" s="3423" t="s">
        <v>1109</v>
      </c>
      <c r="N20" s="3423" t="s">
        <v>1110</v>
      </c>
      <c r="O20" s="3423" t="s">
        <v>1111</v>
      </c>
      <c r="P20" s="3423" t="s">
        <v>2900</v>
      </c>
      <c r="Q20" s="3423" t="s">
        <v>2930</v>
      </c>
      <c r="R20" s="3423" t="s">
        <v>1139</v>
      </c>
      <c r="S20" s="3423" t="s">
        <v>2994</v>
      </c>
      <c r="T20" s="3423" t="s">
        <v>1126</v>
      </c>
    </row>
    <row r="21" spans="1:20" ht="14.25" customHeight="1">
      <c r="A21" s="3423" t="s">
        <v>1031</v>
      </c>
      <c r="B21" s="1289" t="s">
        <v>1055</v>
      </c>
      <c r="C21" s="3423">
        <v>32370</v>
      </c>
      <c r="D21" s="3423">
        <v>26730</v>
      </c>
      <c r="E21" s="3423">
        <v>26640</v>
      </c>
      <c r="F21" s="3429"/>
      <c r="G21" s="3430">
        <v>19440</v>
      </c>
      <c r="K21" s="3432" t="s">
        <v>2822</v>
      </c>
      <c r="L21" s="3423" t="s">
        <v>1115</v>
      </c>
      <c r="M21" s="3423" t="s">
        <v>1116</v>
      </c>
      <c r="N21" s="3423" t="s">
        <v>1117</v>
      </c>
      <c r="O21" s="3423" t="s">
        <v>1118</v>
      </c>
      <c r="P21" s="3423" t="s">
        <v>1112</v>
      </c>
      <c r="Q21" s="3423" t="s">
        <v>1132</v>
      </c>
      <c r="R21" s="3423" t="s">
        <v>1142</v>
      </c>
      <c r="S21" s="3423" t="s">
        <v>2995</v>
      </c>
      <c r="T21" s="3423" t="s">
        <v>3016</v>
      </c>
    </row>
    <row r="22" spans="1:20" ht="14.25" customHeight="1">
      <c r="A22" s="3423" t="s">
        <v>1031</v>
      </c>
      <c r="B22" s="1289" t="s">
        <v>1062</v>
      </c>
      <c r="C22" s="3423">
        <v>29830</v>
      </c>
      <c r="D22" s="3423">
        <v>27600</v>
      </c>
      <c r="E22" s="3423">
        <v>28150</v>
      </c>
      <c r="F22" s="3429"/>
      <c r="G22" s="3430">
        <v>20080</v>
      </c>
      <c r="L22" s="3432" t="s">
        <v>2824</v>
      </c>
      <c r="M22" s="3423" t="s">
        <v>1120</v>
      </c>
      <c r="N22" s="3423" t="s">
        <v>1121</v>
      </c>
      <c r="O22" s="3423" t="s">
        <v>1122</v>
      </c>
      <c r="P22" s="3423" t="s">
        <v>2901</v>
      </c>
      <c r="Q22" s="3423" t="s">
        <v>1135</v>
      </c>
      <c r="R22" s="3423" t="s">
        <v>1144</v>
      </c>
      <c r="S22" s="3423" t="s">
        <v>1091</v>
      </c>
      <c r="T22" s="1289"/>
    </row>
    <row r="23" spans="1:20" ht="14.25" customHeight="1">
      <c r="A23" s="3423" t="s">
        <v>1031</v>
      </c>
      <c r="B23" s="1289" t="s">
        <v>1070</v>
      </c>
      <c r="C23" s="3423">
        <v>27800</v>
      </c>
      <c r="D23" s="3423">
        <v>26900</v>
      </c>
      <c r="E23" s="3423">
        <v>27170</v>
      </c>
      <c r="F23" s="3429"/>
      <c r="G23" s="3430">
        <v>19570</v>
      </c>
      <c r="L23" s="3432" t="s">
        <v>2825</v>
      </c>
      <c r="M23" s="3423" t="s">
        <v>1127</v>
      </c>
      <c r="N23" s="3423" t="s">
        <v>1128</v>
      </c>
      <c r="O23" s="3423" t="s">
        <v>2855</v>
      </c>
      <c r="P23" s="3423" t="s">
        <v>2902</v>
      </c>
      <c r="Q23" s="3423" t="s">
        <v>1138</v>
      </c>
      <c r="R23" s="3423" t="s">
        <v>1147</v>
      </c>
      <c r="S23" s="3423" t="s">
        <v>2996</v>
      </c>
    </row>
    <row r="24" spans="1:20" ht="14.25" customHeight="1">
      <c r="A24" s="3423" t="s">
        <v>1031</v>
      </c>
      <c r="B24" s="1289" t="s">
        <v>1078</v>
      </c>
      <c r="C24" s="3423">
        <v>27930</v>
      </c>
      <c r="D24" s="3423">
        <v>32260</v>
      </c>
      <c r="E24" s="3423">
        <v>32120</v>
      </c>
      <c r="F24" s="3429"/>
      <c r="G24" s="3430">
        <v>23470</v>
      </c>
      <c r="L24" s="3432" t="s">
        <v>2826</v>
      </c>
      <c r="M24" s="3423" t="s">
        <v>1130</v>
      </c>
      <c r="N24" s="3423" t="s">
        <v>1131</v>
      </c>
      <c r="O24" s="3423" t="s">
        <v>2856</v>
      </c>
      <c r="P24" s="3423" t="s">
        <v>1134</v>
      </c>
      <c r="Q24" s="3423" t="s">
        <v>2931</v>
      </c>
      <c r="R24" s="3423" t="s">
        <v>2959</v>
      </c>
      <c r="S24" s="3423" t="s">
        <v>2997</v>
      </c>
    </row>
    <row r="25" spans="1:20" ht="14.25" customHeight="1">
      <c r="A25" s="3423" t="s">
        <v>1031</v>
      </c>
      <c r="B25" s="1289" t="s">
        <v>1083</v>
      </c>
      <c r="C25" s="3423">
        <v>32230</v>
      </c>
      <c r="D25" s="3423">
        <v>29640</v>
      </c>
      <c r="E25" s="3423">
        <v>29510</v>
      </c>
      <c r="F25" s="3429"/>
      <c r="G25" s="3430">
        <v>21560</v>
      </c>
      <c r="L25" s="3432" t="s">
        <v>2827</v>
      </c>
      <c r="M25" s="3423" t="s">
        <v>2830</v>
      </c>
      <c r="N25" s="3423" t="s">
        <v>1133</v>
      </c>
      <c r="O25" s="3423" t="s">
        <v>1141</v>
      </c>
      <c r="P25" s="3423" t="s">
        <v>1137</v>
      </c>
      <c r="Q25" s="3423" t="s">
        <v>1124</v>
      </c>
      <c r="R25" s="3423" t="s">
        <v>1119</v>
      </c>
      <c r="S25" s="3423" t="s">
        <v>2998</v>
      </c>
    </row>
    <row r="26" spans="1:20" ht="14.25" customHeight="1">
      <c r="A26" s="3423" t="s">
        <v>1031</v>
      </c>
      <c r="B26" s="1289" t="s">
        <v>1092</v>
      </c>
      <c r="C26" s="3423">
        <v>31690</v>
      </c>
      <c r="D26" s="3423">
        <v>27650</v>
      </c>
      <c r="E26" s="3423">
        <v>28200</v>
      </c>
      <c r="F26" s="3429"/>
      <c r="G26" s="3430">
        <v>20110</v>
      </c>
      <c r="L26" s="3432" t="s">
        <v>2828</v>
      </c>
      <c r="M26" s="3423" t="s">
        <v>2831</v>
      </c>
      <c r="N26" s="3423" t="s">
        <v>1136</v>
      </c>
      <c r="O26" s="3423" t="s">
        <v>1143</v>
      </c>
      <c r="P26" s="3423" t="s">
        <v>2903</v>
      </c>
      <c r="Q26" s="3423" t="s">
        <v>2932</v>
      </c>
      <c r="R26" s="3423" t="s">
        <v>1125</v>
      </c>
      <c r="S26" s="3423" t="s">
        <v>2999</v>
      </c>
    </row>
    <row r="27" spans="1:20" ht="14.25" customHeight="1">
      <c r="A27" s="3423" t="s">
        <v>1031</v>
      </c>
      <c r="B27" s="1289" t="s">
        <v>1099</v>
      </c>
      <c r="C27" s="3423">
        <v>29610</v>
      </c>
      <c r="D27" s="3423">
        <v>27770</v>
      </c>
      <c r="E27" s="3423">
        <v>28300</v>
      </c>
      <c r="F27" s="3429"/>
      <c r="G27" s="3430">
        <v>20210</v>
      </c>
      <c r="M27" s="3423" t="s">
        <v>2832</v>
      </c>
      <c r="N27" s="3423" t="s">
        <v>1140</v>
      </c>
      <c r="O27" s="3423" t="s">
        <v>1146</v>
      </c>
      <c r="P27" s="3423" t="s">
        <v>1123</v>
      </c>
      <c r="Q27" s="3423" t="s">
        <v>2933</v>
      </c>
      <c r="R27" s="3423" t="s">
        <v>2960</v>
      </c>
      <c r="S27" s="3423" t="s">
        <v>3000</v>
      </c>
    </row>
    <row r="28" spans="1:20" ht="14.25" customHeight="1">
      <c r="A28" s="3437" t="s">
        <v>1031</v>
      </c>
      <c r="B28" s="2601" t="s">
        <v>1107</v>
      </c>
      <c r="C28" s="1287"/>
      <c r="D28" s="1287">
        <v>31520</v>
      </c>
      <c r="E28" s="1287">
        <v>31410</v>
      </c>
      <c r="F28" s="3434"/>
      <c r="G28" s="3435">
        <v>22940</v>
      </c>
      <c r="M28" s="3423" t="s">
        <v>2833</v>
      </c>
      <c r="N28" s="3423" t="s">
        <v>2840</v>
      </c>
      <c r="O28" s="3423" t="s">
        <v>2857</v>
      </c>
      <c r="P28" s="3423" t="s">
        <v>2904</v>
      </c>
      <c r="Q28" s="3423" t="s">
        <v>2934</v>
      </c>
      <c r="R28" s="3423" t="s">
        <v>2961</v>
      </c>
      <c r="S28" s="3432" t="s">
        <v>3001</v>
      </c>
    </row>
    <row r="29" spans="1:20" ht="14.25" customHeight="1" thickBot="1">
      <c r="A29" s="3438" t="s">
        <v>1031</v>
      </c>
      <c r="B29" s="3426" t="s">
        <v>2822</v>
      </c>
      <c r="C29" s="3426"/>
      <c r="D29" s="3426">
        <v>29460</v>
      </c>
      <c r="E29" s="3426">
        <v>28640</v>
      </c>
      <c r="F29" s="3427"/>
      <c r="G29" s="3439">
        <v>21430</v>
      </c>
      <c r="M29" s="3432" t="s">
        <v>2834</v>
      </c>
      <c r="N29" s="3423" t="s">
        <v>2841</v>
      </c>
      <c r="O29" s="3423" t="s">
        <v>2858</v>
      </c>
      <c r="P29" s="3423" t="s">
        <v>2905</v>
      </c>
      <c r="Q29" s="3423" t="s">
        <v>2935</v>
      </c>
      <c r="R29" s="3423" t="s">
        <v>2962</v>
      </c>
      <c r="S29" s="3432" t="s">
        <v>1129</v>
      </c>
    </row>
    <row r="30" spans="1:20" ht="14.25" customHeight="1">
      <c r="A30" s="3437" t="s">
        <v>1145</v>
      </c>
      <c r="B30" s="1289" t="s">
        <v>2823</v>
      </c>
      <c r="C30" s="1289">
        <v>26890</v>
      </c>
      <c r="D30" s="1289">
        <v>26770</v>
      </c>
      <c r="E30" s="1289">
        <v>25700</v>
      </c>
      <c r="F30" s="3424">
        <v>8180</v>
      </c>
      <c r="G30" s="3424">
        <v>18740</v>
      </c>
      <c r="I30" s="1022"/>
      <c r="M30" s="3432" t="s">
        <v>2835</v>
      </c>
      <c r="N30" s="3423" t="s">
        <v>2842</v>
      </c>
      <c r="O30" s="3423" t="s">
        <v>2859</v>
      </c>
      <c r="P30" s="3423" t="s">
        <v>2906</v>
      </c>
      <c r="Q30" s="3423" t="s">
        <v>2936</v>
      </c>
      <c r="R30" s="3423" t="s">
        <v>2963</v>
      </c>
      <c r="S30" s="3432" t="s">
        <v>3002</v>
      </c>
    </row>
    <row r="31" spans="1:20" ht="14.25" customHeight="1">
      <c r="A31" s="3423" t="s">
        <v>1145</v>
      </c>
      <c r="B31" s="1289" t="s">
        <v>974</v>
      </c>
      <c r="C31" s="3423">
        <v>24550</v>
      </c>
      <c r="D31" s="3423">
        <v>23990</v>
      </c>
      <c r="E31" s="3423">
        <v>22930</v>
      </c>
      <c r="F31" s="3429">
        <v>7470</v>
      </c>
      <c r="G31" s="3429">
        <v>16790</v>
      </c>
      <c r="I31" s="1022"/>
      <c r="M31" s="3432" t="s">
        <v>2836</v>
      </c>
      <c r="N31" s="3423" t="s">
        <v>2843</v>
      </c>
      <c r="O31" s="3423" t="s">
        <v>2860</v>
      </c>
      <c r="P31" s="3423" t="s">
        <v>2907</v>
      </c>
      <c r="Q31" s="3423" t="s">
        <v>2937</v>
      </c>
      <c r="R31" s="3423" t="s">
        <v>2964</v>
      </c>
      <c r="S31" s="3432" t="s">
        <v>3003</v>
      </c>
    </row>
    <row r="32" spans="1:20" ht="14.25" customHeight="1">
      <c r="A32" s="3423" t="s">
        <v>1145</v>
      </c>
      <c r="B32" s="1289" t="s">
        <v>984</v>
      </c>
      <c r="C32" s="3423">
        <v>27210</v>
      </c>
      <c r="D32" s="3423">
        <v>23240</v>
      </c>
      <c r="E32" s="3423">
        <v>23260</v>
      </c>
      <c r="F32" s="3429">
        <v>7130</v>
      </c>
      <c r="G32" s="3429">
        <v>16270</v>
      </c>
      <c r="I32" s="1022"/>
      <c r="M32" s="3432" t="s">
        <v>2837</v>
      </c>
      <c r="N32" s="3423" t="s">
        <v>2844</v>
      </c>
      <c r="O32" s="3423" t="s">
        <v>1149</v>
      </c>
      <c r="P32" s="3423" t="s">
        <v>2908</v>
      </c>
      <c r="Q32" s="3423" t="s">
        <v>1148</v>
      </c>
      <c r="R32" s="3423" t="s">
        <v>2965</v>
      </c>
      <c r="S32" s="3432" t="s">
        <v>3004</v>
      </c>
    </row>
    <row r="33" spans="1:18" ht="14.25" customHeight="1">
      <c r="A33" s="3423" t="s">
        <v>1145</v>
      </c>
      <c r="B33" s="1289" t="s">
        <v>993</v>
      </c>
      <c r="C33" s="3423">
        <v>27300</v>
      </c>
      <c r="D33" s="3423">
        <v>22980</v>
      </c>
      <c r="E33" s="3423">
        <v>24260</v>
      </c>
      <c r="F33" s="3429">
        <v>5860</v>
      </c>
      <c r="G33" s="3429">
        <v>16090</v>
      </c>
      <c r="I33" s="1022"/>
      <c r="M33" s="3432" t="s">
        <v>2838</v>
      </c>
      <c r="N33" s="3423" t="s">
        <v>2845</v>
      </c>
      <c r="O33" s="3423" t="s">
        <v>1150</v>
      </c>
      <c r="P33" s="3423" t="s">
        <v>2909</v>
      </c>
      <c r="Q33" s="3423" t="s">
        <v>2938</v>
      </c>
      <c r="R33" s="3423" t="s">
        <v>2966</v>
      </c>
    </row>
    <row r="34" spans="1:18" ht="14.25" customHeight="1">
      <c r="A34" s="3423" t="s">
        <v>1145</v>
      </c>
      <c r="B34" s="1289" t="s">
        <v>1003</v>
      </c>
      <c r="C34" s="3423">
        <v>23090</v>
      </c>
      <c r="D34" s="3423">
        <v>23390</v>
      </c>
      <c r="E34" s="3423">
        <v>23510</v>
      </c>
      <c r="F34" s="3429">
        <v>6700</v>
      </c>
      <c r="G34" s="3429">
        <v>16370</v>
      </c>
      <c r="I34" s="1022"/>
      <c r="N34" s="3423" t="s">
        <v>2846</v>
      </c>
      <c r="O34" s="3423" t="s">
        <v>1151</v>
      </c>
      <c r="P34" s="3423" t="s">
        <v>2910</v>
      </c>
      <c r="Q34" s="3423" t="s">
        <v>2939</v>
      </c>
      <c r="R34" s="3423" t="s">
        <v>2967</v>
      </c>
    </row>
    <row r="35" spans="1:18" ht="14.25" customHeight="1">
      <c r="A35" s="3423" t="s">
        <v>1145</v>
      </c>
      <c r="B35" s="1289" t="s">
        <v>1010</v>
      </c>
      <c r="C35" s="3423">
        <v>27270</v>
      </c>
      <c r="D35" s="3423">
        <v>24270</v>
      </c>
      <c r="E35" s="3423">
        <v>24950</v>
      </c>
      <c r="F35" s="3429">
        <v>6600</v>
      </c>
      <c r="G35" s="3429">
        <v>16990</v>
      </c>
      <c r="I35" s="1022"/>
      <c r="N35" s="3423" t="s">
        <v>2847</v>
      </c>
      <c r="O35" s="3423" t="s">
        <v>2861</v>
      </c>
      <c r="P35" s="3423" t="s">
        <v>2911</v>
      </c>
      <c r="Q35" s="3423" t="s">
        <v>2940</v>
      </c>
      <c r="R35" s="3423" t="s">
        <v>2968</v>
      </c>
    </row>
    <row r="36" spans="1:18" ht="14.25" customHeight="1">
      <c r="A36" s="3423" t="s">
        <v>1145</v>
      </c>
      <c r="B36" s="1289" t="s">
        <v>1016</v>
      </c>
      <c r="C36" s="3423">
        <v>23490</v>
      </c>
      <c r="D36" s="3423">
        <v>23020</v>
      </c>
      <c r="E36" s="3423">
        <v>25230</v>
      </c>
      <c r="F36" s="3429">
        <v>6780</v>
      </c>
      <c r="G36" s="3429">
        <v>16120</v>
      </c>
      <c r="I36" s="1022"/>
      <c r="N36" s="3432" t="s">
        <v>2848</v>
      </c>
      <c r="O36" s="3460" t="s">
        <v>2862</v>
      </c>
      <c r="P36" s="3423" t="s">
        <v>2912</v>
      </c>
      <c r="Q36" s="3423" t="s">
        <v>2941</v>
      </c>
      <c r="R36" s="3423" t="s">
        <v>2969</v>
      </c>
    </row>
    <row r="37" spans="1:18" ht="14.25" customHeight="1">
      <c r="A37" s="3423" t="s">
        <v>1145</v>
      </c>
      <c r="B37" s="1289" t="s">
        <v>1023</v>
      </c>
      <c r="C37" s="3423">
        <v>24380</v>
      </c>
      <c r="D37" s="3423">
        <v>22240</v>
      </c>
      <c r="E37" s="3423">
        <v>25980</v>
      </c>
      <c r="F37" s="3429">
        <v>8160</v>
      </c>
      <c r="G37" s="3429">
        <v>15570</v>
      </c>
      <c r="I37" s="1023"/>
      <c r="N37" s="3432" t="s">
        <v>2849</v>
      </c>
      <c r="O37" s="3460" t="s">
        <v>2863</v>
      </c>
      <c r="P37" s="3423" t="s">
        <v>2913</v>
      </c>
      <c r="Q37" s="3423" t="s">
        <v>2942</v>
      </c>
      <c r="R37" s="3423" t="s">
        <v>2970</v>
      </c>
    </row>
    <row r="38" spans="1:18" ht="14.25" customHeight="1">
      <c r="A38" s="3423" t="s">
        <v>1145</v>
      </c>
      <c r="B38" s="1289" t="s">
        <v>1033</v>
      </c>
      <c r="C38" s="3423">
        <v>23120</v>
      </c>
      <c r="D38" s="3423">
        <v>24630</v>
      </c>
      <c r="E38" s="3423">
        <v>25030</v>
      </c>
      <c r="F38" s="3429">
        <v>7710</v>
      </c>
      <c r="G38" s="3429">
        <v>17240</v>
      </c>
      <c r="I38" s="1024"/>
      <c r="N38" s="3432" t="s">
        <v>2850</v>
      </c>
      <c r="O38" s="3460" t="s">
        <v>2864</v>
      </c>
      <c r="P38" s="3423" t="s">
        <v>2914</v>
      </c>
      <c r="Q38" s="3423" t="s">
        <v>2943</v>
      </c>
      <c r="R38" s="3423" t="s">
        <v>2971</v>
      </c>
    </row>
    <row r="39" spans="1:18" ht="14.25" customHeight="1">
      <c r="A39" s="3423" t="s">
        <v>1145</v>
      </c>
      <c r="B39" s="1289" t="s">
        <v>1042</v>
      </c>
      <c r="C39" s="3423">
        <v>22330</v>
      </c>
      <c r="D39" s="3423">
        <v>21140</v>
      </c>
      <c r="E39" s="3423">
        <v>23970</v>
      </c>
      <c r="F39" s="3429">
        <v>7940</v>
      </c>
      <c r="G39" s="3429">
        <v>14790</v>
      </c>
      <c r="I39" s="1024"/>
      <c r="N39" s="3432" t="s">
        <v>2851</v>
      </c>
      <c r="O39" s="3460" t="s">
        <v>2865</v>
      </c>
      <c r="P39" s="3423" t="s">
        <v>2915</v>
      </c>
      <c r="Q39" s="3423" t="s">
        <v>2944</v>
      </c>
      <c r="R39" s="3423" t="s">
        <v>2972</v>
      </c>
    </row>
    <row r="40" spans="1:18" ht="14.25" customHeight="1">
      <c r="A40" s="3423" t="s">
        <v>1145</v>
      </c>
      <c r="B40" s="1289" t="s">
        <v>1049</v>
      </c>
      <c r="C40" s="3423">
        <v>24740</v>
      </c>
      <c r="D40" s="3423">
        <v>24690</v>
      </c>
      <c r="E40" s="3423">
        <v>22610</v>
      </c>
      <c r="F40" s="3429"/>
      <c r="G40" s="3429">
        <v>17280</v>
      </c>
      <c r="I40" s="1024"/>
      <c r="N40" s="3432" t="s">
        <v>2852</v>
      </c>
      <c r="O40" s="3460" t="s">
        <v>2866</v>
      </c>
      <c r="P40" s="3423" t="s">
        <v>2916</v>
      </c>
      <c r="Q40" s="3423" t="s">
        <v>2945</v>
      </c>
      <c r="R40" s="3423" t="s">
        <v>2973</v>
      </c>
    </row>
    <row r="41" spans="1:18" ht="14.25" customHeight="1">
      <c r="A41" s="3423" t="s">
        <v>1145</v>
      </c>
      <c r="B41" s="1289" t="s">
        <v>1056</v>
      </c>
      <c r="C41" s="3423">
        <v>21220</v>
      </c>
      <c r="D41" s="3423">
        <v>21120</v>
      </c>
      <c r="E41" s="3423">
        <v>22590</v>
      </c>
      <c r="F41" s="3429"/>
      <c r="G41" s="3429">
        <v>14780</v>
      </c>
      <c r="I41" s="1024"/>
      <c r="N41" s="3432" t="s">
        <v>2853</v>
      </c>
      <c r="O41" s="3461" t="s">
        <v>2867</v>
      </c>
      <c r="P41" s="1289" t="s">
        <v>2917</v>
      </c>
      <c r="Q41" s="3432" t="s">
        <v>2946</v>
      </c>
      <c r="R41" s="1289" t="s">
        <v>2974</v>
      </c>
    </row>
    <row r="42" spans="1:18" ht="14.25" customHeight="1">
      <c r="A42" s="3423" t="s">
        <v>1145</v>
      </c>
      <c r="B42" s="1289" t="s">
        <v>1063</v>
      </c>
      <c r="C42" s="3423">
        <v>24800</v>
      </c>
      <c r="D42" s="3423">
        <v>22280</v>
      </c>
      <c r="E42" s="3423">
        <v>24350</v>
      </c>
      <c r="F42" s="3429"/>
      <c r="G42" s="3429">
        <v>15590</v>
      </c>
      <c r="I42" s="1024"/>
      <c r="O42" s="3423" t="s">
        <v>2868</v>
      </c>
      <c r="P42" s="3423" t="s">
        <v>2918</v>
      </c>
      <c r="Q42" s="3432" t="s">
        <v>2947</v>
      </c>
      <c r="R42" s="3423" t="s">
        <v>2975</v>
      </c>
    </row>
    <row r="43" spans="1:18" ht="14.25" customHeight="1">
      <c r="A43" s="3423" t="s">
        <v>1145</v>
      </c>
      <c r="B43" s="1289" t="s">
        <v>1071</v>
      </c>
      <c r="C43" s="3423">
        <v>21210</v>
      </c>
      <c r="D43" s="3423">
        <v>21160</v>
      </c>
      <c r="E43" s="3423">
        <v>22650</v>
      </c>
      <c r="F43" s="3429"/>
      <c r="G43" s="3429">
        <v>14800</v>
      </c>
      <c r="I43" s="1024"/>
      <c r="O43" s="3423" t="s">
        <v>2869</v>
      </c>
      <c r="P43" s="3423" t="s">
        <v>2919</v>
      </c>
      <c r="Q43" s="3432" t="s">
        <v>2948</v>
      </c>
      <c r="R43" s="3423" t="s">
        <v>2976</v>
      </c>
    </row>
    <row r="44" spans="1:18" ht="14.25" customHeight="1">
      <c r="A44" s="3423" t="s">
        <v>1145</v>
      </c>
      <c r="B44" s="1289" t="s">
        <v>1079</v>
      </c>
      <c r="C44" s="3423">
        <v>22370</v>
      </c>
      <c r="D44" s="3423">
        <v>23140</v>
      </c>
      <c r="E44" s="3423">
        <v>25090</v>
      </c>
      <c r="F44" s="3429"/>
      <c r="G44" s="3429">
        <v>16190</v>
      </c>
      <c r="I44" s="1024"/>
      <c r="O44" s="3423" t="s">
        <v>2870</v>
      </c>
      <c r="P44" s="3423" t="s">
        <v>2920</v>
      </c>
      <c r="Q44" s="3432" t="s">
        <v>2949</v>
      </c>
      <c r="R44" s="3423" t="s">
        <v>2977</v>
      </c>
    </row>
    <row r="45" spans="1:18" ht="14.25" customHeight="1">
      <c r="A45" s="3423" t="s">
        <v>1145</v>
      </c>
      <c r="B45" s="1289" t="s">
        <v>1084</v>
      </c>
      <c r="C45" s="3423">
        <v>21240</v>
      </c>
      <c r="D45" s="3423">
        <v>27050</v>
      </c>
      <c r="E45" s="3423">
        <v>28000</v>
      </c>
      <c r="F45" s="3429"/>
      <c r="G45" s="3429">
        <v>18940</v>
      </c>
      <c r="I45" s="1022"/>
      <c r="O45" s="3423" t="s">
        <v>2871</v>
      </c>
      <c r="P45" s="3423" t="s">
        <v>2921</v>
      </c>
      <c r="R45" s="3423" t="s">
        <v>2978</v>
      </c>
    </row>
    <row r="46" spans="1:18" ht="14.25" customHeight="1">
      <c r="A46" s="3423" t="s">
        <v>1145</v>
      </c>
      <c r="B46" s="1289" t="s">
        <v>1093</v>
      </c>
      <c r="C46" s="3423">
        <v>23240</v>
      </c>
      <c r="D46" s="3423">
        <v>23000</v>
      </c>
      <c r="E46" s="3423">
        <v>24980</v>
      </c>
      <c r="F46" s="3429"/>
      <c r="G46" s="3429">
        <v>16100</v>
      </c>
      <c r="I46" s="1024"/>
      <c r="O46" s="3423" t="s">
        <v>2872</v>
      </c>
      <c r="P46" s="3423"/>
      <c r="R46" s="3423" t="s">
        <v>2979</v>
      </c>
    </row>
    <row r="47" spans="1:18" ht="14.25" customHeight="1">
      <c r="A47" s="3423" t="s">
        <v>1145</v>
      </c>
      <c r="B47" s="2601" t="s">
        <v>1100</v>
      </c>
      <c r="C47" s="1287">
        <v>27150</v>
      </c>
      <c r="D47" s="1287">
        <v>23310</v>
      </c>
      <c r="E47" s="1287">
        <v>25150</v>
      </c>
      <c r="F47" s="3434"/>
      <c r="G47" s="3434">
        <v>16310</v>
      </c>
      <c r="I47" s="1024"/>
      <c r="O47" s="3423" t="s">
        <v>2873</v>
      </c>
      <c r="P47" s="3423"/>
      <c r="R47" s="3432" t="s">
        <v>2980</v>
      </c>
    </row>
    <row r="48" spans="1:18" ht="14.25" customHeight="1">
      <c r="A48" s="3423" t="s">
        <v>1145</v>
      </c>
      <c r="B48" s="3423" t="s">
        <v>1108</v>
      </c>
      <c r="C48" s="3423">
        <v>23100</v>
      </c>
      <c r="D48" s="3423">
        <v>21110</v>
      </c>
      <c r="E48" s="3423">
        <v>23080</v>
      </c>
      <c r="F48" s="3429"/>
      <c r="G48" s="3436">
        <v>14780</v>
      </c>
      <c r="I48" s="1022"/>
      <c r="O48" s="3423" t="s">
        <v>2874</v>
      </c>
      <c r="P48" s="3423"/>
      <c r="R48" s="3432" t="s">
        <v>2981</v>
      </c>
    </row>
    <row r="49" spans="1:18" ht="14.25" customHeight="1">
      <c r="A49" s="3423" t="s">
        <v>1145</v>
      </c>
      <c r="B49" s="1289" t="s">
        <v>1115</v>
      </c>
      <c r="C49" s="1289">
        <v>23400</v>
      </c>
      <c r="D49" s="1289">
        <v>22920</v>
      </c>
      <c r="E49" s="1289">
        <v>24900</v>
      </c>
      <c r="F49" s="3424"/>
      <c r="G49" s="3424">
        <v>16040</v>
      </c>
      <c r="I49" s="1024"/>
      <c r="O49" s="3423" t="s">
        <v>2875</v>
      </c>
      <c r="P49" s="3423"/>
      <c r="R49" s="3432" t="s">
        <v>2982</v>
      </c>
    </row>
    <row r="50" spans="1:18" ht="14.25" customHeight="1">
      <c r="A50" s="3423" t="s">
        <v>1145</v>
      </c>
      <c r="B50" s="3423" t="s">
        <v>2824</v>
      </c>
      <c r="C50" s="3423">
        <v>21200</v>
      </c>
      <c r="D50" s="3423">
        <v>26540</v>
      </c>
      <c r="E50" s="3423">
        <v>23200</v>
      </c>
      <c r="F50" s="3429"/>
      <c r="G50" s="3429">
        <v>18580</v>
      </c>
      <c r="I50" s="1024"/>
      <c r="O50" s="3432" t="s">
        <v>2876</v>
      </c>
      <c r="R50" s="3432" t="s">
        <v>2983</v>
      </c>
    </row>
    <row r="51" spans="1:18" ht="14.25" customHeight="1">
      <c r="A51" s="3423" t="s">
        <v>1145</v>
      </c>
      <c r="B51" s="3423" t="s">
        <v>2825</v>
      </c>
      <c r="C51" s="3423">
        <v>23000</v>
      </c>
      <c r="D51" s="3423">
        <v>23460</v>
      </c>
      <c r="E51" s="3423">
        <v>25290</v>
      </c>
      <c r="F51" s="3429"/>
      <c r="G51" s="3429">
        <v>16420</v>
      </c>
      <c r="I51" s="1024"/>
      <c r="O51" s="3432" t="s">
        <v>2877</v>
      </c>
      <c r="R51" s="3432" t="s">
        <v>2984</v>
      </c>
    </row>
    <row r="52" spans="1:18" ht="14.25" customHeight="1">
      <c r="A52" s="3423" t="s">
        <v>1145</v>
      </c>
      <c r="B52" s="3423" t="s">
        <v>2826</v>
      </c>
      <c r="C52" s="3423">
        <v>26660</v>
      </c>
      <c r="D52" s="3423">
        <v>22350</v>
      </c>
      <c r="E52" s="3423">
        <v>22920</v>
      </c>
      <c r="F52" s="3429"/>
      <c r="G52" s="3429">
        <v>15640</v>
      </c>
      <c r="I52" s="1024"/>
      <c r="O52" s="3432" t="s">
        <v>2878</v>
      </c>
    </row>
    <row r="53" spans="1:18" ht="14.25" customHeight="1">
      <c r="A53" s="3423" t="s">
        <v>1145</v>
      </c>
      <c r="B53" s="3423" t="s">
        <v>2827</v>
      </c>
      <c r="C53" s="3423">
        <v>23580</v>
      </c>
      <c r="D53" s="3423"/>
      <c r="E53" s="3423">
        <v>24280</v>
      </c>
      <c r="F53" s="3429"/>
      <c r="G53" s="3429"/>
      <c r="I53" s="1024"/>
      <c r="O53" s="3432" t="s">
        <v>2879</v>
      </c>
    </row>
    <row r="54" spans="1:18" ht="14.25" customHeight="1" thickBot="1">
      <c r="A54" s="3438" t="s">
        <v>1145</v>
      </c>
      <c r="B54" s="3426" t="s">
        <v>2828</v>
      </c>
      <c r="C54" s="3426">
        <v>22460</v>
      </c>
      <c r="D54" s="3426"/>
      <c r="E54" s="3426"/>
      <c r="F54" s="3427"/>
      <c r="G54" s="3439"/>
      <c r="I54" s="1024"/>
      <c r="O54" s="3432" t="s">
        <v>2880</v>
      </c>
    </row>
    <row r="55" spans="1:18" ht="14.25" customHeight="1">
      <c r="A55" s="3437" t="s">
        <v>853</v>
      </c>
      <c r="B55" s="1289" t="s">
        <v>2829</v>
      </c>
      <c r="C55" s="1289">
        <v>21970</v>
      </c>
      <c r="D55" s="1289">
        <v>20370</v>
      </c>
      <c r="E55" s="1289">
        <v>20180</v>
      </c>
      <c r="F55" s="3424">
        <v>5730</v>
      </c>
      <c r="G55" s="3424">
        <v>13820</v>
      </c>
      <c r="I55" s="1024"/>
      <c r="O55" s="3432" t="s">
        <v>2881</v>
      </c>
    </row>
    <row r="56" spans="1:18" ht="14.25" customHeight="1">
      <c r="A56" s="3423" t="s">
        <v>853</v>
      </c>
      <c r="B56" s="3423" t="s">
        <v>975</v>
      </c>
      <c r="C56" s="3423">
        <v>20470</v>
      </c>
      <c r="D56" s="3423">
        <v>20700</v>
      </c>
      <c r="E56" s="3423">
        <v>20380</v>
      </c>
      <c r="F56" s="3429">
        <v>4760</v>
      </c>
      <c r="G56" s="3429">
        <v>14050</v>
      </c>
      <c r="I56" s="1024"/>
      <c r="O56" s="3432" t="s">
        <v>2882</v>
      </c>
    </row>
    <row r="57" spans="1:18" ht="14.25" customHeight="1">
      <c r="A57" s="3423" t="s">
        <v>853</v>
      </c>
      <c r="B57" s="3423" t="s">
        <v>985</v>
      </c>
      <c r="C57" s="3423">
        <v>20790</v>
      </c>
      <c r="D57" s="3423">
        <v>21370</v>
      </c>
      <c r="E57" s="3423">
        <v>20890</v>
      </c>
      <c r="F57" s="3429">
        <v>4910</v>
      </c>
      <c r="G57" s="3429">
        <v>14510</v>
      </c>
      <c r="I57" s="1024"/>
      <c r="O57" s="3432" t="s">
        <v>2883</v>
      </c>
    </row>
    <row r="58" spans="1:18" ht="14.25" customHeight="1">
      <c r="A58" s="3423" t="s">
        <v>853</v>
      </c>
      <c r="B58" s="3423" t="s">
        <v>994</v>
      </c>
      <c r="C58" s="3423">
        <v>21460</v>
      </c>
      <c r="D58" s="3423">
        <v>20920</v>
      </c>
      <c r="E58" s="3423">
        <v>23410</v>
      </c>
      <c r="F58" s="3429">
        <v>5100</v>
      </c>
      <c r="G58" s="3429">
        <v>14200</v>
      </c>
      <c r="I58" s="1024"/>
      <c r="O58" s="3432" t="s">
        <v>2884</v>
      </c>
    </row>
    <row r="59" spans="1:18" ht="14.25" customHeight="1">
      <c r="A59" s="3423" t="s">
        <v>853</v>
      </c>
      <c r="B59" s="3423" t="s">
        <v>1004</v>
      </c>
      <c r="C59" s="3423">
        <v>21000</v>
      </c>
      <c r="D59" s="3423">
        <v>21550</v>
      </c>
      <c r="E59" s="3423">
        <v>21150</v>
      </c>
      <c r="F59" s="3429">
        <v>5250</v>
      </c>
      <c r="G59" s="3429">
        <v>14630</v>
      </c>
      <c r="I59" s="1024"/>
      <c r="O59" s="3432" t="s">
        <v>2885</v>
      </c>
    </row>
    <row r="60" spans="1:18" ht="14.25" customHeight="1">
      <c r="A60" s="3423" t="s">
        <v>853</v>
      </c>
      <c r="B60" s="3423" t="s">
        <v>1011</v>
      </c>
      <c r="C60" s="3423">
        <v>21640</v>
      </c>
      <c r="D60" s="3423">
        <v>21260</v>
      </c>
      <c r="E60" s="3423">
        <v>24040</v>
      </c>
      <c r="F60" s="3429">
        <v>4470</v>
      </c>
      <c r="G60" s="3429">
        <v>14430</v>
      </c>
      <c r="I60" s="1024"/>
      <c r="O60" s="3432" t="s">
        <v>2886</v>
      </c>
    </row>
    <row r="61" spans="1:18" ht="14.25" customHeight="1">
      <c r="A61" s="3423" t="s">
        <v>853</v>
      </c>
      <c r="B61" s="3423" t="s">
        <v>1017</v>
      </c>
      <c r="C61" s="3423">
        <v>21330</v>
      </c>
      <c r="D61" s="3423">
        <v>18640</v>
      </c>
      <c r="E61" s="3423">
        <v>21190</v>
      </c>
      <c r="F61" s="3429">
        <v>4180</v>
      </c>
      <c r="G61" s="3431">
        <v>12650</v>
      </c>
      <c r="I61" s="1024"/>
      <c r="O61" s="3432" t="s">
        <v>2887</v>
      </c>
    </row>
    <row r="62" spans="1:18" ht="14.25" customHeight="1">
      <c r="A62" s="3423" t="s">
        <v>853</v>
      </c>
      <c r="B62" s="3423" t="s">
        <v>1024</v>
      </c>
      <c r="C62" s="3423">
        <v>18710</v>
      </c>
      <c r="D62" s="3423">
        <v>19400</v>
      </c>
      <c r="E62" s="3423">
        <v>23750</v>
      </c>
      <c r="F62" s="3429">
        <v>4860</v>
      </c>
      <c r="G62" s="3431">
        <v>13170</v>
      </c>
      <c r="I62" s="1024"/>
      <c r="O62" s="3432" t="s">
        <v>2888</v>
      </c>
    </row>
    <row r="63" spans="1:18" ht="14.25" customHeight="1">
      <c r="A63" s="3423" t="s">
        <v>853</v>
      </c>
      <c r="B63" s="3423" t="s">
        <v>1034</v>
      </c>
      <c r="C63" s="3423">
        <v>19480</v>
      </c>
      <c r="D63" s="3423">
        <v>16830</v>
      </c>
      <c r="E63" s="3423">
        <v>21590</v>
      </c>
      <c r="F63" s="3429">
        <v>4560</v>
      </c>
      <c r="G63" s="3431">
        <v>11420</v>
      </c>
      <c r="I63" s="1024"/>
      <c r="O63" s="3432" t="s">
        <v>2889</v>
      </c>
    </row>
    <row r="64" spans="1:18" ht="14.25" customHeight="1">
      <c r="A64" s="3423" t="s">
        <v>853</v>
      </c>
      <c r="B64" s="3423" t="s">
        <v>1043</v>
      </c>
      <c r="C64" s="3423">
        <v>16920</v>
      </c>
      <c r="D64" s="3423">
        <v>19190</v>
      </c>
      <c r="E64" s="3423">
        <v>22200</v>
      </c>
      <c r="F64" s="3429">
        <v>4390</v>
      </c>
      <c r="G64" s="3431">
        <v>13030</v>
      </c>
      <c r="I64" s="1024"/>
      <c r="O64" s="3432" t="s">
        <v>2890</v>
      </c>
    </row>
    <row r="65" spans="1:21" s="1011" customFormat="1" ht="14.25" customHeight="1">
      <c r="A65" s="3423" t="s">
        <v>853</v>
      </c>
      <c r="B65" s="3423" t="s">
        <v>1050</v>
      </c>
      <c r="C65" s="3423">
        <v>19290</v>
      </c>
      <c r="D65" s="3423">
        <v>17020</v>
      </c>
      <c r="E65" s="3423">
        <v>19880</v>
      </c>
      <c r="F65" s="3429">
        <v>4070</v>
      </c>
      <c r="G65" s="3429">
        <v>11550</v>
      </c>
      <c r="I65" s="1024"/>
      <c r="J65" s="3459"/>
      <c r="K65" s="3459"/>
      <c r="L65" s="3459"/>
      <c r="M65" s="3459"/>
      <c r="N65" s="3459"/>
      <c r="O65" s="3459"/>
      <c r="P65" s="3459"/>
      <c r="Q65" s="3459"/>
      <c r="R65" s="3459"/>
      <c r="S65" s="3459"/>
      <c r="T65" s="3459"/>
      <c r="U65" s="3459"/>
    </row>
    <row r="66" spans="1:21" s="1011" customFormat="1" ht="14.25" customHeight="1">
      <c r="A66" s="3423" t="s">
        <v>853</v>
      </c>
      <c r="B66" s="3423" t="s">
        <v>1057</v>
      </c>
      <c r="C66" s="3423">
        <v>17090</v>
      </c>
      <c r="D66" s="3423">
        <v>18340</v>
      </c>
      <c r="E66" s="3423">
        <v>21830</v>
      </c>
      <c r="F66" s="3429">
        <v>4690</v>
      </c>
      <c r="G66" s="3429">
        <v>12450</v>
      </c>
      <c r="I66" s="1024"/>
      <c r="J66" s="3459"/>
      <c r="K66" s="3459"/>
      <c r="L66" s="3459"/>
      <c r="M66" s="3459"/>
      <c r="N66" s="3459"/>
      <c r="O66" s="3459"/>
      <c r="P66" s="3459"/>
      <c r="Q66" s="3459"/>
      <c r="R66" s="3459"/>
      <c r="S66" s="3459"/>
      <c r="T66" s="3459"/>
      <c r="U66" s="3459"/>
    </row>
    <row r="67" spans="1:21" s="1011" customFormat="1" ht="14.25" customHeight="1">
      <c r="A67" s="3423" t="s">
        <v>853</v>
      </c>
      <c r="B67" s="3423" t="s">
        <v>1064</v>
      </c>
      <c r="C67" s="3423">
        <v>18420</v>
      </c>
      <c r="D67" s="3423">
        <v>16360</v>
      </c>
      <c r="E67" s="3423">
        <v>20020</v>
      </c>
      <c r="F67" s="3429">
        <v>5150</v>
      </c>
      <c r="G67" s="3429">
        <v>11110</v>
      </c>
      <c r="I67" s="1024"/>
      <c r="J67" s="3459"/>
      <c r="K67" s="3459"/>
      <c r="L67" s="3459"/>
      <c r="M67" s="3459"/>
      <c r="N67" s="3459"/>
      <c r="O67" s="3459"/>
      <c r="P67" s="3459"/>
      <c r="Q67" s="3459"/>
      <c r="R67" s="3459"/>
      <c r="S67" s="3459"/>
      <c r="T67" s="3459"/>
      <c r="U67" s="3459"/>
    </row>
    <row r="68" spans="1:21" s="1011" customFormat="1" ht="14.25" customHeight="1">
      <c r="A68" s="3423" t="s">
        <v>853</v>
      </c>
      <c r="B68" s="3423" t="s">
        <v>1072</v>
      </c>
      <c r="C68" s="3423">
        <v>16450</v>
      </c>
      <c r="D68" s="3423">
        <v>18430</v>
      </c>
      <c r="E68" s="3423">
        <v>21010</v>
      </c>
      <c r="F68" s="3429">
        <v>4720</v>
      </c>
      <c r="G68" s="3429">
        <v>12510</v>
      </c>
      <c r="I68" s="1024"/>
      <c r="J68" s="3459"/>
      <c r="K68" s="3459"/>
      <c r="L68" s="3459"/>
      <c r="M68" s="3459"/>
      <c r="N68" s="3459"/>
      <c r="O68" s="3459"/>
      <c r="P68" s="3459"/>
      <c r="Q68" s="3459"/>
      <c r="R68" s="3459"/>
      <c r="S68" s="3459"/>
      <c r="T68" s="3459"/>
      <c r="U68" s="3459"/>
    </row>
    <row r="69" spans="1:21" s="1011" customFormat="1" ht="14.25" customHeight="1">
      <c r="A69" s="3423" t="s">
        <v>853</v>
      </c>
      <c r="B69" s="3423" t="s">
        <v>1080</v>
      </c>
      <c r="C69" s="3423">
        <v>18510</v>
      </c>
      <c r="D69" s="3423">
        <v>16300</v>
      </c>
      <c r="E69" s="3423">
        <v>18830</v>
      </c>
      <c r="F69" s="3429">
        <v>5400</v>
      </c>
      <c r="G69" s="3429">
        <v>11070</v>
      </c>
      <c r="I69" s="1024"/>
      <c r="J69" s="3459"/>
      <c r="K69" s="3459"/>
      <c r="L69" s="3459"/>
      <c r="M69" s="3459"/>
      <c r="N69" s="3459"/>
      <c r="O69" s="3459"/>
      <c r="P69" s="3459"/>
      <c r="Q69" s="3459"/>
      <c r="R69" s="3459"/>
      <c r="S69" s="3459"/>
      <c r="T69" s="3459"/>
      <c r="U69" s="3459"/>
    </row>
    <row r="70" spans="1:21" s="1011" customFormat="1" ht="14.25" customHeight="1">
      <c r="A70" s="3423" t="s">
        <v>853</v>
      </c>
      <c r="B70" s="3423" t="s">
        <v>1085</v>
      </c>
      <c r="C70" s="3423">
        <v>16370</v>
      </c>
      <c r="D70" s="3423">
        <v>18620</v>
      </c>
      <c r="E70" s="3423">
        <v>21100</v>
      </c>
      <c r="F70" s="3429">
        <v>5700</v>
      </c>
      <c r="G70" s="3429">
        <v>12640</v>
      </c>
      <c r="I70" s="1024"/>
      <c r="J70" s="3459"/>
      <c r="K70" s="3459"/>
      <c r="L70" s="3459"/>
      <c r="M70" s="3459"/>
      <c r="N70" s="3459"/>
      <c r="O70" s="3459"/>
      <c r="P70" s="3459"/>
      <c r="Q70" s="3459"/>
      <c r="R70" s="3459"/>
      <c r="S70" s="3459"/>
      <c r="T70" s="3459"/>
      <c r="U70" s="3459"/>
    </row>
    <row r="71" spans="1:21" s="1011" customFormat="1" ht="14.25" customHeight="1">
      <c r="A71" s="3423" t="s">
        <v>853</v>
      </c>
      <c r="B71" s="3423" t="s">
        <v>1094</v>
      </c>
      <c r="C71" s="3423">
        <v>18700</v>
      </c>
      <c r="D71" s="3423">
        <v>16290</v>
      </c>
      <c r="E71" s="3423">
        <v>18760</v>
      </c>
      <c r="F71" s="3429">
        <v>4780</v>
      </c>
      <c r="G71" s="3429">
        <v>11050</v>
      </c>
      <c r="I71" s="1024"/>
      <c r="J71" s="3459"/>
      <c r="K71" s="3459"/>
      <c r="L71" s="3459"/>
      <c r="M71" s="3459"/>
      <c r="N71" s="3459"/>
      <c r="O71" s="3459"/>
      <c r="P71" s="3459"/>
      <c r="Q71" s="3459"/>
      <c r="R71" s="3459"/>
      <c r="S71" s="3459"/>
      <c r="T71" s="3459"/>
      <c r="U71" s="3459"/>
    </row>
    <row r="72" spans="1:21" s="1011" customFormat="1" ht="14.25" customHeight="1">
      <c r="A72" s="3423" t="s">
        <v>853</v>
      </c>
      <c r="B72" s="3423" t="s">
        <v>1101</v>
      </c>
      <c r="C72" s="3423">
        <v>16340</v>
      </c>
      <c r="D72" s="3423">
        <v>17520</v>
      </c>
      <c r="E72" s="3423">
        <v>21170</v>
      </c>
      <c r="F72" s="3429"/>
      <c r="G72" s="3429">
        <v>11900</v>
      </c>
      <c r="I72" s="1024"/>
      <c r="J72" s="3459"/>
      <c r="K72" s="3459"/>
      <c r="L72" s="3459"/>
      <c r="M72" s="3459"/>
      <c r="N72" s="3459"/>
      <c r="O72" s="3459"/>
      <c r="P72" s="3459"/>
      <c r="Q72" s="3459"/>
      <c r="R72" s="3459"/>
      <c r="S72" s="3459"/>
      <c r="T72" s="3459"/>
      <c r="U72" s="3459"/>
    </row>
    <row r="73" spans="1:21" s="1011" customFormat="1" ht="14.25" customHeight="1">
      <c r="A73" s="3423" t="s">
        <v>853</v>
      </c>
      <c r="B73" s="3423" t="s">
        <v>1109</v>
      </c>
      <c r="C73" s="3423">
        <v>17610</v>
      </c>
      <c r="D73" s="3423">
        <v>18520</v>
      </c>
      <c r="E73" s="3423">
        <v>18720</v>
      </c>
      <c r="F73" s="3429"/>
      <c r="G73" s="3429">
        <v>12570</v>
      </c>
      <c r="I73" s="1024"/>
      <c r="J73" s="3459"/>
      <c r="K73" s="3459"/>
      <c r="L73" s="3459"/>
      <c r="M73" s="3459"/>
      <c r="N73" s="3459"/>
      <c r="O73" s="3459"/>
      <c r="P73" s="3459"/>
      <c r="Q73" s="3459"/>
      <c r="R73" s="3459"/>
      <c r="S73" s="3459"/>
      <c r="T73" s="3459"/>
      <c r="U73" s="3459"/>
    </row>
    <row r="74" spans="1:21" s="1011" customFormat="1" ht="14.25" customHeight="1">
      <c r="A74" s="3423" t="s">
        <v>853</v>
      </c>
      <c r="B74" s="3423" t="s">
        <v>1116</v>
      </c>
      <c r="C74" s="3423">
        <v>18600</v>
      </c>
      <c r="D74" s="3423">
        <v>16480</v>
      </c>
      <c r="E74" s="3423">
        <v>20100</v>
      </c>
      <c r="F74" s="3429"/>
      <c r="G74" s="3429">
        <v>11190</v>
      </c>
      <c r="I74" s="1024"/>
      <c r="J74" s="3459"/>
      <c r="K74" s="3459"/>
      <c r="L74" s="3459"/>
      <c r="M74" s="3459"/>
      <c r="N74" s="3459"/>
      <c r="O74" s="3459"/>
      <c r="P74" s="3459"/>
      <c r="Q74" s="3459"/>
      <c r="R74" s="3459"/>
      <c r="S74" s="3459"/>
      <c r="T74" s="3459"/>
      <c r="U74" s="3459"/>
    </row>
    <row r="75" spans="1:21" s="1011" customFormat="1" ht="14.25" customHeight="1">
      <c r="A75" s="3423" t="s">
        <v>853</v>
      </c>
      <c r="B75" s="3423" t="s">
        <v>1120</v>
      </c>
      <c r="C75" s="3423">
        <v>16570</v>
      </c>
      <c r="D75" s="3423">
        <v>17530</v>
      </c>
      <c r="E75" s="3423">
        <v>21030</v>
      </c>
      <c r="F75" s="3429"/>
      <c r="G75" s="3436">
        <v>11900</v>
      </c>
      <c r="I75" s="1024"/>
      <c r="J75" s="3459"/>
      <c r="K75" s="3459"/>
      <c r="L75" s="3459"/>
      <c r="M75" s="3459"/>
      <c r="N75" s="3459"/>
      <c r="O75" s="3459"/>
      <c r="P75" s="3459"/>
      <c r="Q75" s="3459"/>
      <c r="R75" s="3459"/>
      <c r="S75" s="3459"/>
      <c r="T75" s="3459"/>
      <c r="U75" s="3459"/>
    </row>
    <row r="76" spans="1:21" s="1011" customFormat="1" ht="14.25" customHeight="1">
      <c r="A76" s="3423" t="s">
        <v>853</v>
      </c>
      <c r="B76" s="1289" t="s">
        <v>1127</v>
      </c>
      <c r="C76" s="1289">
        <v>17610</v>
      </c>
      <c r="D76" s="1289">
        <v>20800</v>
      </c>
      <c r="E76" s="1289">
        <v>18920</v>
      </c>
      <c r="F76" s="3424"/>
      <c r="G76" s="3424">
        <v>14120</v>
      </c>
      <c r="I76" s="1024"/>
      <c r="J76" s="3459"/>
      <c r="K76" s="3459"/>
      <c r="L76" s="3459"/>
      <c r="M76" s="3459"/>
      <c r="N76" s="3459"/>
      <c r="O76" s="3459"/>
      <c r="P76" s="3459"/>
      <c r="Q76" s="3459"/>
      <c r="R76" s="3459"/>
      <c r="S76" s="3459"/>
      <c r="T76" s="3459"/>
      <c r="U76" s="3459"/>
    </row>
    <row r="77" spans="1:21" s="1011" customFormat="1" ht="14.25" customHeight="1">
      <c r="A77" s="3423" t="s">
        <v>853</v>
      </c>
      <c r="B77" s="3423" t="s">
        <v>1130</v>
      </c>
      <c r="C77" s="3423">
        <v>20890</v>
      </c>
      <c r="D77" s="3423">
        <v>19740</v>
      </c>
      <c r="E77" s="3423">
        <v>20110</v>
      </c>
      <c r="F77" s="3429"/>
      <c r="G77" s="3429">
        <v>13400</v>
      </c>
      <c r="I77" s="1024"/>
      <c r="J77" s="3459"/>
      <c r="K77" s="3459"/>
      <c r="L77" s="3459"/>
      <c r="M77" s="3459"/>
      <c r="N77" s="3459"/>
      <c r="O77" s="3459"/>
      <c r="P77" s="3459"/>
      <c r="Q77" s="3459"/>
      <c r="R77" s="3459"/>
      <c r="S77" s="3459"/>
      <c r="T77" s="3459"/>
      <c r="U77" s="3459"/>
    </row>
    <row r="78" spans="1:21" s="1011" customFormat="1" ht="14.25" customHeight="1">
      <c r="A78" s="3423" t="s">
        <v>853</v>
      </c>
      <c r="B78" s="3423" t="s">
        <v>2830</v>
      </c>
      <c r="C78" s="3423">
        <v>19820</v>
      </c>
      <c r="D78" s="3423">
        <v>19780</v>
      </c>
      <c r="E78" s="3423">
        <v>18560</v>
      </c>
      <c r="F78" s="3429"/>
      <c r="G78" s="3429">
        <v>13430</v>
      </c>
      <c r="I78" s="1024"/>
      <c r="J78" s="3459"/>
      <c r="K78" s="3459"/>
      <c r="L78" s="3459"/>
      <c r="M78" s="3459"/>
      <c r="N78" s="3459"/>
      <c r="O78" s="3459"/>
      <c r="P78" s="3459"/>
      <c r="Q78" s="3459"/>
      <c r="R78" s="3459"/>
      <c r="S78" s="3459"/>
      <c r="T78" s="3459"/>
      <c r="U78" s="3459"/>
    </row>
    <row r="79" spans="1:21" s="1011" customFormat="1" ht="14.25" customHeight="1">
      <c r="A79" s="3423" t="s">
        <v>853</v>
      </c>
      <c r="B79" s="3423" t="s">
        <v>2831</v>
      </c>
      <c r="C79" s="3423">
        <v>21660</v>
      </c>
      <c r="D79" s="3423">
        <v>18000</v>
      </c>
      <c r="E79" s="3423">
        <v>22570</v>
      </c>
      <c r="F79" s="3429"/>
      <c r="G79" s="3429">
        <v>12220</v>
      </c>
      <c r="I79" s="1024"/>
      <c r="J79" s="3459"/>
      <c r="K79" s="3459"/>
      <c r="L79" s="3459"/>
      <c r="M79" s="3459"/>
      <c r="N79" s="3459"/>
      <c r="O79" s="3459"/>
      <c r="P79" s="3459"/>
      <c r="Q79" s="3459"/>
      <c r="R79" s="3459"/>
      <c r="S79" s="3459"/>
      <c r="T79" s="3459"/>
      <c r="U79" s="3459"/>
    </row>
    <row r="80" spans="1:21" s="1011" customFormat="1" ht="14.25" customHeight="1">
      <c r="A80" s="3423" t="s">
        <v>853</v>
      </c>
      <c r="B80" s="3423" t="s">
        <v>2832</v>
      </c>
      <c r="C80" s="3423">
        <v>19850</v>
      </c>
      <c r="D80" s="3423"/>
      <c r="E80" s="3423">
        <v>21700</v>
      </c>
      <c r="F80" s="3429"/>
      <c r="G80" s="3429"/>
      <c r="I80" s="1024"/>
      <c r="J80" s="3459"/>
      <c r="K80" s="3459"/>
      <c r="L80" s="3459"/>
      <c r="M80" s="3459"/>
      <c r="N80" s="3459"/>
      <c r="O80" s="3459"/>
      <c r="P80" s="3459"/>
      <c r="Q80" s="3459"/>
      <c r="R80" s="3459"/>
      <c r="S80" s="3459"/>
      <c r="T80" s="3459"/>
      <c r="U80" s="3459"/>
    </row>
    <row r="81" spans="1:21" s="1011" customFormat="1" ht="14.25" customHeight="1">
      <c r="A81" s="3423" t="s">
        <v>853</v>
      </c>
      <c r="B81" s="3423" t="s">
        <v>2833</v>
      </c>
      <c r="C81" s="3423">
        <v>18080</v>
      </c>
      <c r="D81" s="3423"/>
      <c r="E81" s="3423">
        <v>20900</v>
      </c>
      <c r="F81" s="3429"/>
      <c r="G81" s="3429"/>
      <c r="I81" s="1024"/>
      <c r="J81" s="3459"/>
      <c r="K81" s="3459"/>
      <c r="L81" s="3459"/>
      <c r="M81" s="3459"/>
      <c r="N81" s="3459"/>
      <c r="O81" s="3459"/>
      <c r="P81" s="3459"/>
      <c r="Q81" s="3459"/>
      <c r="R81" s="3459"/>
      <c r="S81" s="3459"/>
      <c r="T81" s="3459"/>
      <c r="U81" s="3459"/>
    </row>
    <row r="82" spans="1:21" s="1011" customFormat="1" ht="14.25" customHeight="1">
      <c r="A82" s="3423" t="s">
        <v>853</v>
      </c>
      <c r="B82" s="3423" t="s">
        <v>2834</v>
      </c>
      <c r="C82" s="3423"/>
      <c r="D82" s="3423"/>
      <c r="E82" s="3423">
        <v>20840</v>
      </c>
      <c r="F82" s="3429"/>
      <c r="G82" s="3429"/>
      <c r="I82" s="1024"/>
      <c r="J82" s="3459"/>
      <c r="K82" s="3459"/>
      <c r="L82" s="3459"/>
      <c r="M82" s="3459"/>
      <c r="N82" s="3459"/>
      <c r="O82" s="3459"/>
      <c r="P82" s="3459"/>
      <c r="Q82" s="3459"/>
      <c r="R82" s="3459"/>
      <c r="S82" s="3459"/>
      <c r="T82" s="3459"/>
      <c r="U82" s="3459"/>
    </row>
    <row r="83" spans="1:21" s="1011" customFormat="1" ht="14.25" customHeight="1">
      <c r="A83" s="3423" t="s">
        <v>853</v>
      </c>
      <c r="B83" s="3423" t="s">
        <v>2835</v>
      </c>
      <c r="C83" s="3423"/>
      <c r="D83" s="3423"/>
      <c r="E83" s="3423"/>
      <c r="F83" s="3429">
        <v>4770</v>
      </c>
      <c r="G83" s="3429"/>
      <c r="I83" s="1024"/>
      <c r="J83" s="3459"/>
      <c r="K83" s="3459"/>
      <c r="L83" s="3459"/>
      <c r="M83" s="3459"/>
      <c r="N83" s="3459"/>
      <c r="O83" s="3459"/>
      <c r="P83" s="3459"/>
      <c r="Q83" s="3459"/>
      <c r="R83" s="3459"/>
      <c r="S83" s="3459"/>
      <c r="T83" s="3459"/>
      <c r="U83" s="3459"/>
    </row>
    <row r="84" spans="1:21" s="1011" customFormat="1" ht="14.25" customHeight="1">
      <c r="A84" s="3423" t="s">
        <v>853</v>
      </c>
      <c r="B84" s="3423" t="s">
        <v>2836</v>
      </c>
      <c r="C84" s="3423"/>
      <c r="D84" s="3423"/>
      <c r="E84" s="3423"/>
      <c r="F84" s="3429">
        <v>4600</v>
      </c>
      <c r="G84" s="3429"/>
      <c r="I84" s="1024"/>
      <c r="J84" s="3459"/>
      <c r="K84" s="3459"/>
      <c r="L84" s="3459"/>
      <c r="M84" s="3459"/>
      <c r="N84" s="3459"/>
      <c r="O84" s="3459"/>
      <c r="P84" s="3459"/>
      <c r="Q84" s="3459"/>
      <c r="R84" s="3459"/>
      <c r="S84" s="3459"/>
      <c r="T84" s="3459"/>
      <c r="U84" s="3459"/>
    </row>
    <row r="85" spans="1:21" s="1011" customFormat="1" ht="14.25" customHeight="1">
      <c r="A85" s="3423" t="s">
        <v>853</v>
      </c>
      <c r="B85" s="1287" t="s">
        <v>2837</v>
      </c>
      <c r="C85" s="1287"/>
      <c r="D85" s="1287"/>
      <c r="E85" s="1287"/>
      <c r="F85" s="3434">
        <v>4680</v>
      </c>
      <c r="G85" s="3434"/>
      <c r="I85" s="1024"/>
      <c r="J85" s="3459"/>
      <c r="K85" s="3459"/>
      <c r="L85" s="3459"/>
      <c r="M85" s="3459"/>
      <c r="N85" s="3459"/>
      <c r="O85" s="3459"/>
      <c r="P85" s="3459"/>
      <c r="Q85" s="3459"/>
      <c r="R85" s="3459"/>
      <c r="S85" s="3459"/>
      <c r="T85" s="3459"/>
      <c r="U85" s="3459"/>
    </row>
    <row r="86" spans="1:21" s="1011" customFormat="1" ht="14.25" customHeight="1" thickBot="1">
      <c r="A86" s="3438" t="s">
        <v>853</v>
      </c>
      <c r="B86" s="3426" t="s">
        <v>2838</v>
      </c>
      <c r="C86" s="3426">
        <v>16610</v>
      </c>
      <c r="D86" s="3426">
        <v>16540</v>
      </c>
      <c r="E86" s="3426">
        <v>18850</v>
      </c>
      <c r="F86" s="3427"/>
      <c r="G86" s="3439">
        <v>11220</v>
      </c>
      <c r="I86" s="1024"/>
      <c r="J86" s="3459"/>
      <c r="K86" s="3459"/>
      <c r="L86" s="3459"/>
      <c r="M86" s="3459"/>
      <c r="N86" s="3459"/>
      <c r="O86" s="3459"/>
      <c r="P86" s="3459"/>
      <c r="Q86" s="3459"/>
      <c r="R86" s="3459"/>
      <c r="S86" s="3459"/>
      <c r="T86" s="3459"/>
      <c r="U86" s="3459"/>
    </row>
    <row r="87" spans="1:21" s="1011" customFormat="1" ht="14.25" customHeight="1">
      <c r="A87" s="3437" t="s">
        <v>1152</v>
      </c>
      <c r="B87" s="1289" t="s">
        <v>2839</v>
      </c>
      <c r="C87" s="1289">
        <v>15240</v>
      </c>
      <c r="D87" s="1289">
        <v>15170</v>
      </c>
      <c r="E87" s="1289">
        <v>18260</v>
      </c>
      <c r="F87" s="3424">
        <v>3830</v>
      </c>
      <c r="G87" s="3440">
        <v>10020</v>
      </c>
      <c r="I87" s="1024"/>
      <c r="J87" s="3459"/>
      <c r="K87" s="3459"/>
      <c r="L87" s="3459"/>
      <c r="M87" s="3459"/>
      <c r="N87" s="3459"/>
      <c r="O87" s="3459"/>
      <c r="P87" s="3459"/>
      <c r="Q87" s="3459"/>
      <c r="R87" s="3459"/>
      <c r="S87" s="3459"/>
      <c r="T87" s="3459"/>
      <c r="U87" s="3459"/>
    </row>
    <row r="88" spans="1:21" s="1011" customFormat="1" ht="14.25" customHeight="1">
      <c r="A88" s="3423" t="s">
        <v>1152</v>
      </c>
      <c r="B88" s="3423" t="s">
        <v>976</v>
      </c>
      <c r="C88" s="3423">
        <v>17310</v>
      </c>
      <c r="D88" s="3423">
        <v>17220</v>
      </c>
      <c r="E88" s="3423">
        <v>18610</v>
      </c>
      <c r="F88" s="3429">
        <v>3990</v>
      </c>
      <c r="G88" s="3431">
        <v>11380</v>
      </c>
      <c r="I88" s="1024"/>
      <c r="J88" s="3459"/>
      <c r="K88" s="3459"/>
      <c r="L88" s="3459"/>
      <c r="M88" s="3459"/>
      <c r="N88" s="3459"/>
      <c r="O88" s="3459"/>
      <c r="P88" s="3459"/>
      <c r="Q88" s="3459"/>
      <c r="R88" s="3459"/>
      <c r="S88" s="3459"/>
      <c r="T88" s="3459"/>
      <c r="U88" s="3459"/>
    </row>
    <row r="89" spans="1:21" s="1011" customFormat="1" ht="14.25" customHeight="1">
      <c r="A89" s="3423" t="s">
        <v>1152</v>
      </c>
      <c r="B89" s="3423" t="s">
        <v>986</v>
      </c>
      <c r="C89" s="3423">
        <v>15600</v>
      </c>
      <c r="D89" s="3423">
        <v>15550</v>
      </c>
      <c r="E89" s="3423">
        <v>19200</v>
      </c>
      <c r="F89" s="3429">
        <v>4110</v>
      </c>
      <c r="G89" s="3431">
        <v>10270</v>
      </c>
      <c r="I89" s="1024"/>
      <c r="J89" s="3459"/>
      <c r="K89" s="3459"/>
      <c r="L89" s="3459"/>
      <c r="M89" s="3459"/>
      <c r="N89" s="3459"/>
      <c r="O89" s="3459"/>
      <c r="P89" s="3459"/>
      <c r="Q89" s="3459"/>
      <c r="R89" s="3459"/>
      <c r="S89" s="3459"/>
      <c r="T89" s="3459"/>
      <c r="U89" s="3459"/>
    </row>
    <row r="90" spans="1:21" s="1011" customFormat="1" ht="14.25" customHeight="1">
      <c r="A90" s="3423" t="s">
        <v>1152</v>
      </c>
      <c r="B90" s="3423" t="s">
        <v>995</v>
      </c>
      <c r="C90" s="3423">
        <v>17330</v>
      </c>
      <c r="D90" s="3423">
        <v>17240</v>
      </c>
      <c r="E90" s="3423">
        <v>18570</v>
      </c>
      <c r="F90" s="3429">
        <v>4070</v>
      </c>
      <c r="G90" s="3431">
        <v>11390</v>
      </c>
      <c r="I90" s="1024"/>
      <c r="J90" s="3459"/>
      <c r="K90" s="3459"/>
      <c r="L90" s="3459"/>
      <c r="M90" s="3459"/>
      <c r="N90" s="3459"/>
      <c r="O90" s="3459"/>
      <c r="P90" s="3459"/>
      <c r="Q90" s="3459"/>
      <c r="R90" s="3459"/>
      <c r="S90" s="3459"/>
      <c r="T90" s="3459"/>
      <c r="U90" s="3459"/>
    </row>
    <row r="91" spans="1:21" s="1011" customFormat="1" ht="14.25" customHeight="1">
      <c r="A91" s="3423" t="s">
        <v>1152</v>
      </c>
      <c r="B91" s="3423" t="s">
        <v>1005</v>
      </c>
      <c r="C91" s="3423">
        <v>16330</v>
      </c>
      <c r="D91" s="3423">
        <v>16260</v>
      </c>
      <c r="E91" s="3423">
        <v>16800</v>
      </c>
      <c r="F91" s="3429">
        <v>3410</v>
      </c>
      <c r="G91" s="3431">
        <v>10740</v>
      </c>
      <c r="I91" s="1024"/>
      <c r="J91" s="3459"/>
      <c r="K91" s="3459"/>
      <c r="L91" s="3459"/>
      <c r="M91" s="3459"/>
      <c r="N91" s="3459"/>
      <c r="O91" s="3459"/>
      <c r="P91" s="3459"/>
      <c r="Q91" s="3459"/>
      <c r="R91" s="3459"/>
      <c r="S91" s="3459"/>
      <c r="T91" s="3459"/>
      <c r="U91" s="3459"/>
    </row>
    <row r="92" spans="1:21" s="1011" customFormat="1" ht="14.25" customHeight="1">
      <c r="A92" s="3423" t="s">
        <v>1152</v>
      </c>
      <c r="B92" s="3423" t="s">
        <v>1012</v>
      </c>
      <c r="C92" s="3423">
        <v>15570</v>
      </c>
      <c r="D92" s="3423">
        <v>15500</v>
      </c>
      <c r="E92" s="3423">
        <v>17360</v>
      </c>
      <c r="F92" s="3429">
        <v>3510</v>
      </c>
      <c r="G92" s="3431">
        <v>10240</v>
      </c>
      <c r="I92" s="1024"/>
      <c r="J92" s="3459"/>
      <c r="K92" s="3459"/>
      <c r="L92" s="3459"/>
      <c r="M92" s="3459"/>
      <c r="N92" s="3459"/>
      <c r="O92" s="3459"/>
      <c r="P92" s="3459"/>
      <c r="Q92" s="3459"/>
      <c r="R92" s="3459"/>
      <c r="S92" s="3459"/>
      <c r="T92" s="3459"/>
      <c r="U92" s="3459"/>
    </row>
    <row r="93" spans="1:21" s="1011" customFormat="1" ht="14.25" customHeight="1">
      <c r="A93" s="3423" t="s">
        <v>1152</v>
      </c>
      <c r="B93" s="3423" t="s">
        <v>1018</v>
      </c>
      <c r="C93" s="3423">
        <v>14000</v>
      </c>
      <c r="D93" s="3423">
        <v>13930</v>
      </c>
      <c r="E93" s="3423">
        <v>18200</v>
      </c>
      <c r="F93" s="3429">
        <v>3640</v>
      </c>
      <c r="G93" s="3431">
        <v>9210</v>
      </c>
      <c r="I93" s="1024"/>
      <c r="J93" s="3459"/>
      <c r="K93" s="3459"/>
      <c r="L93" s="3459"/>
      <c r="M93" s="3459"/>
      <c r="N93" s="3459"/>
      <c r="O93" s="3459"/>
      <c r="P93" s="3459"/>
      <c r="Q93" s="3459"/>
      <c r="R93" s="3459"/>
      <c r="S93" s="3459"/>
      <c r="T93" s="3459"/>
      <c r="U93" s="3459"/>
    </row>
    <row r="94" spans="1:21" s="1011" customFormat="1" ht="14.25" customHeight="1">
      <c r="A94" s="3423" t="s">
        <v>1152</v>
      </c>
      <c r="B94" s="3423" t="s">
        <v>1025</v>
      </c>
      <c r="C94" s="3423">
        <v>14530</v>
      </c>
      <c r="D94" s="3423">
        <v>14470</v>
      </c>
      <c r="E94" s="3423">
        <v>18240</v>
      </c>
      <c r="F94" s="3429">
        <v>3180</v>
      </c>
      <c r="G94" s="3431">
        <v>9560</v>
      </c>
      <c r="I94" s="1024"/>
      <c r="J94" s="3459"/>
      <c r="K94" s="3459"/>
      <c r="L94" s="3459"/>
      <c r="M94" s="3459"/>
      <c r="N94" s="3459"/>
      <c r="O94" s="3459"/>
      <c r="P94" s="3459"/>
      <c r="Q94" s="3459"/>
      <c r="R94" s="3459"/>
      <c r="S94" s="3459"/>
      <c r="T94" s="3459"/>
      <c r="U94" s="3459"/>
    </row>
    <row r="95" spans="1:21" s="1011" customFormat="1" ht="14.25" customHeight="1">
      <c r="A95" s="3423" t="s">
        <v>1152</v>
      </c>
      <c r="B95" s="3423" t="s">
        <v>1035</v>
      </c>
      <c r="C95" s="3423">
        <v>17330</v>
      </c>
      <c r="D95" s="3423">
        <v>17260</v>
      </c>
      <c r="E95" s="3423">
        <v>18420</v>
      </c>
      <c r="F95" s="3429">
        <v>3060</v>
      </c>
      <c r="G95" s="3429">
        <v>11410</v>
      </c>
      <c r="I95" s="1024"/>
      <c r="J95" s="3459"/>
      <c r="K95" s="3459"/>
      <c r="L95" s="3459"/>
      <c r="M95" s="3459"/>
      <c r="N95" s="3459"/>
      <c r="O95" s="3459"/>
      <c r="P95" s="3459"/>
      <c r="Q95" s="3459"/>
      <c r="R95" s="3459"/>
      <c r="S95" s="3459"/>
      <c r="T95" s="3459"/>
      <c r="U95" s="3459"/>
    </row>
    <row r="96" spans="1:21" s="1011" customFormat="1" ht="14.25" customHeight="1">
      <c r="A96" s="3423" t="s">
        <v>1152</v>
      </c>
      <c r="B96" s="3423" t="s">
        <v>1044</v>
      </c>
      <c r="C96" s="3423">
        <v>15030</v>
      </c>
      <c r="D96" s="3423">
        <v>14970</v>
      </c>
      <c r="E96" s="3423">
        <v>17580</v>
      </c>
      <c r="F96" s="3429">
        <v>2970</v>
      </c>
      <c r="G96" s="3429">
        <v>9890</v>
      </c>
      <c r="I96" s="1024"/>
      <c r="J96" s="3459"/>
      <c r="K96" s="3459"/>
      <c r="L96" s="3459"/>
      <c r="M96" s="3459"/>
      <c r="N96" s="3459"/>
      <c r="O96" s="3459"/>
      <c r="P96" s="3459"/>
      <c r="Q96" s="3459"/>
      <c r="R96" s="3459"/>
      <c r="S96" s="3459"/>
      <c r="T96" s="3459"/>
      <c r="U96" s="3459"/>
    </row>
    <row r="97" spans="1:21" s="1011" customFormat="1" ht="14.25" customHeight="1">
      <c r="A97" s="3423" t="s">
        <v>1152</v>
      </c>
      <c r="B97" s="3423" t="s">
        <v>1051</v>
      </c>
      <c r="C97" s="3423">
        <v>17400</v>
      </c>
      <c r="D97" s="3423">
        <v>17330</v>
      </c>
      <c r="E97" s="3423">
        <v>16430</v>
      </c>
      <c r="F97" s="3429">
        <v>2950</v>
      </c>
      <c r="G97" s="3429">
        <v>11450</v>
      </c>
      <c r="I97" s="1024"/>
      <c r="J97" s="3459"/>
      <c r="K97" s="3459"/>
      <c r="L97" s="3459"/>
      <c r="M97" s="3459"/>
      <c r="N97" s="3459"/>
      <c r="O97" s="3459"/>
      <c r="P97" s="3459"/>
      <c r="Q97" s="3459"/>
      <c r="R97" s="3459"/>
      <c r="S97" s="3459"/>
      <c r="T97" s="3459"/>
      <c r="U97" s="3459"/>
    </row>
    <row r="98" spans="1:21" s="1011" customFormat="1" ht="14.25" customHeight="1">
      <c r="A98" s="3423" t="s">
        <v>1152</v>
      </c>
      <c r="B98" s="3423" t="s">
        <v>1058</v>
      </c>
      <c r="C98" s="3423">
        <v>15200</v>
      </c>
      <c r="D98" s="3423">
        <v>15120</v>
      </c>
      <c r="E98" s="3423">
        <v>17550</v>
      </c>
      <c r="F98" s="3429">
        <v>3080</v>
      </c>
      <c r="G98" s="3429">
        <v>9990</v>
      </c>
      <c r="I98" s="1024"/>
      <c r="J98" s="3459"/>
      <c r="K98" s="3459"/>
      <c r="L98" s="3459"/>
      <c r="M98" s="3459"/>
      <c r="N98" s="3459"/>
      <c r="O98" s="3459"/>
      <c r="P98" s="3459"/>
      <c r="Q98" s="3459"/>
      <c r="R98" s="3459"/>
      <c r="S98" s="3459"/>
      <c r="T98" s="3459"/>
      <c r="U98" s="3459"/>
    </row>
    <row r="99" spans="1:21" s="1011" customFormat="1" ht="14.25" customHeight="1">
      <c r="A99" s="3423" t="s">
        <v>1152</v>
      </c>
      <c r="B99" s="3423" t="s">
        <v>1065</v>
      </c>
      <c r="C99" s="3423">
        <v>17520</v>
      </c>
      <c r="D99" s="3423">
        <v>17430</v>
      </c>
      <c r="E99" s="3423">
        <v>16350</v>
      </c>
      <c r="F99" s="3429">
        <v>3260</v>
      </c>
      <c r="G99" s="3429">
        <v>11510</v>
      </c>
      <c r="I99" s="1024"/>
      <c r="J99" s="3459"/>
      <c r="K99" s="3459"/>
      <c r="L99" s="3459"/>
      <c r="M99" s="3459"/>
      <c r="N99" s="3459"/>
      <c r="O99" s="3459"/>
      <c r="P99" s="3459"/>
      <c r="Q99" s="3459"/>
      <c r="R99" s="3459"/>
      <c r="S99" s="3459"/>
      <c r="T99" s="3459"/>
      <c r="U99" s="3459"/>
    </row>
    <row r="100" spans="1:21" s="1011" customFormat="1" ht="14.25" customHeight="1">
      <c r="A100" s="3423" t="s">
        <v>1152</v>
      </c>
      <c r="B100" s="3423" t="s">
        <v>1073</v>
      </c>
      <c r="C100" s="3423">
        <v>15340</v>
      </c>
      <c r="D100" s="3423">
        <v>15260</v>
      </c>
      <c r="E100" s="3423">
        <v>15930</v>
      </c>
      <c r="F100" s="3429">
        <v>2740</v>
      </c>
      <c r="G100" s="3429">
        <v>10080</v>
      </c>
      <c r="I100" s="1024"/>
      <c r="J100" s="3459"/>
      <c r="K100" s="3459"/>
      <c r="L100" s="3459"/>
      <c r="M100" s="3459"/>
      <c r="N100" s="3459"/>
      <c r="O100" s="3459"/>
      <c r="P100" s="3459"/>
      <c r="Q100" s="3459"/>
      <c r="R100" s="3459"/>
      <c r="S100" s="3459"/>
      <c r="T100" s="3459"/>
      <c r="U100" s="3459"/>
    </row>
    <row r="101" spans="1:21" s="1011" customFormat="1" ht="14.25" customHeight="1">
      <c r="A101" s="3423" t="s">
        <v>1152</v>
      </c>
      <c r="B101" s="3423" t="s">
        <v>1081</v>
      </c>
      <c r="C101" s="3423">
        <v>14620</v>
      </c>
      <c r="D101" s="3423">
        <v>14560</v>
      </c>
      <c r="E101" s="3423">
        <v>15570</v>
      </c>
      <c r="F101" s="3429">
        <v>3500</v>
      </c>
      <c r="G101" s="3429">
        <v>9630</v>
      </c>
      <c r="I101" s="1024"/>
      <c r="J101" s="3459"/>
      <c r="K101" s="3459"/>
      <c r="L101" s="3459"/>
      <c r="M101" s="3459"/>
      <c r="N101" s="3459"/>
      <c r="O101" s="3459"/>
      <c r="P101" s="3459"/>
      <c r="Q101" s="3459"/>
      <c r="R101" s="3459"/>
      <c r="S101" s="3459"/>
      <c r="T101" s="3459"/>
      <c r="U101" s="3459"/>
    </row>
    <row r="102" spans="1:21" s="1011" customFormat="1" ht="14.25" customHeight="1">
      <c r="A102" s="3423" t="s">
        <v>1152</v>
      </c>
      <c r="B102" s="3423" t="s">
        <v>1086</v>
      </c>
      <c r="C102" s="3423">
        <v>13680</v>
      </c>
      <c r="D102" s="3423">
        <v>13610</v>
      </c>
      <c r="E102" s="3423">
        <v>15690</v>
      </c>
      <c r="F102" s="3429">
        <v>2870</v>
      </c>
      <c r="G102" s="3429">
        <v>8990</v>
      </c>
      <c r="I102" s="1024"/>
      <c r="J102" s="3459"/>
      <c r="K102" s="3459"/>
      <c r="L102" s="3459"/>
      <c r="M102" s="3459"/>
      <c r="N102" s="3459"/>
      <c r="O102" s="3459"/>
      <c r="P102" s="3459"/>
      <c r="Q102" s="3459"/>
      <c r="R102" s="3459"/>
      <c r="S102" s="3459"/>
      <c r="T102" s="3459"/>
      <c r="U102" s="3459"/>
    </row>
    <row r="103" spans="1:21" s="1011" customFormat="1" ht="14.25" customHeight="1">
      <c r="A103" s="3423" t="s">
        <v>1152</v>
      </c>
      <c r="B103" s="3423" t="s">
        <v>1095</v>
      </c>
      <c r="C103" s="3423">
        <v>14620</v>
      </c>
      <c r="D103" s="3423">
        <v>14540</v>
      </c>
      <c r="E103" s="3423">
        <v>15240</v>
      </c>
      <c r="F103" s="3429">
        <v>2840</v>
      </c>
      <c r="G103" s="3429">
        <v>9610</v>
      </c>
      <c r="I103" s="1024"/>
      <c r="J103" s="3459"/>
      <c r="K103" s="3459"/>
      <c r="L103" s="3459"/>
      <c r="M103" s="3459"/>
      <c r="N103" s="3459"/>
      <c r="O103" s="3459"/>
      <c r="P103" s="3459"/>
      <c r="Q103" s="3459"/>
      <c r="R103" s="3459"/>
      <c r="S103" s="3459"/>
      <c r="T103" s="3459"/>
      <c r="U103" s="3459"/>
    </row>
    <row r="104" spans="1:21" s="1011" customFormat="1" ht="14.25" customHeight="1">
      <c r="A104" s="3423" t="s">
        <v>1152</v>
      </c>
      <c r="B104" s="3423" t="s">
        <v>1102</v>
      </c>
      <c r="C104" s="3423">
        <v>13610</v>
      </c>
      <c r="D104" s="3423">
        <v>13540</v>
      </c>
      <c r="E104" s="3423">
        <v>15750</v>
      </c>
      <c r="F104" s="3429">
        <v>2770</v>
      </c>
      <c r="G104" s="3429">
        <v>8940</v>
      </c>
      <c r="I104" s="1024"/>
      <c r="J104" s="3459"/>
      <c r="K104" s="3459"/>
      <c r="L104" s="3459"/>
      <c r="M104" s="3459"/>
      <c r="N104" s="3459"/>
      <c r="O104" s="3459"/>
      <c r="P104" s="3459"/>
      <c r="Q104" s="3459"/>
      <c r="R104" s="3459"/>
      <c r="S104" s="3459"/>
      <c r="T104" s="3459"/>
      <c r="U104" s="3459"/>
    </row>
    <row r="105" spans="1:21" s="1011" customFormat="1" ht="14.25" customHeight="1">
      <c r="A105" s="3423" t="s">
        <v>1152</v>
      </c>
      <c r="B105" s="3423" t="s">
        <v>1110</v>
      </c>
      <c r="C105" s="3423">
        <v>13310</v>
      </c>
      <c r="D105" s="3423">
        <v>13240</v>
      </c>
      <c r="E105" s="3423">
        <v>16280</v>
      </c>
      <c r="F105" s="3429">
        <v>3210</v>
      </c>
      <c r="G105" s="3429">
        <v>8750</v>
      </c>
      <c r="I105" s="1024"/>
      <c r="J105" s="3459"/>
      <c r="K105" s="3459"/>
      <c r="L105" s="3459"/>
      <c r="M105" s="3459"/>
      <c r="N105" s="3459"/>
      <c r="O105" s="3459"/>
      <c r="P105" s="3459"/>
      <c r="Q105" s="3459"/>
      <c r="R105" s="3459"/>
      <c r="S105" s="3459"/>
      <c r="T105" s="3459"/>
      <c r="U105" s="3459"/>
    </row>
    <row r="106" spans="1:21" s="1011" customFormat="1" ht="14.25" customHeight="1">
      <c r="A106" s="3423" t="s">
        <v>1152</v>
      </c>
      <c r="B106" s="3423" t="s">
        <v>1117</v>
      </c>
      <c r="C106" s="3423">
        <v>13010</v>
      </c>
      <c r="D106" s="3423">
        <v>12930</v>
      </c>
      <c r="E106" s="3423">
        <v>14960</v>
      </c>
      <c r="F106" s="3429">
        <v>3530</v>
      </c>
      <c r="G106" s="3429">
        <v>8550</v>
      </c>
      <c r="I106" s="1024"/>
      <c r="J106" s="3459"/>
      <c r="K106" s="3459"/>
      <c r="L106" s="3459"/>
      <c r="M106" s="3459"/>
      <c r="N106" s="3459"/>
      <c r="O106" s="3459"/>
      <c r="P106" s="3459"/>
      <c r="Q106" s="3459"/>
      <c r="R106" s="3459"/>
      <c r="S106" s="3459"/>
      <c r="T106" s="3459"/>
      <c r="U106" s="3459"/>
    </row>
    <row r="107" spans="1:21" s="1011" customFormat="1" ht="14.25" customHeight="1">
      <c r="A107" s="3423" t="s">
        <v>1152</v>
      </c>
      <c r="B107" s="3423" t="s">
        <v>1121</v>
      </c>
      <c r="C107" s="3423">
        <v>13070</v>
      </c>
      <c r="D107" s="3423">
        <v>13000</v>
      </c>
      <c r="E107" s="3423">
        <v>15910</v>
      </c>
      <c r="F107" s="3429">
        <v>3990</v>
      </c>
      <c r="G107" s="3429">
        <v>8580</v>
      </c>
      <c r="I107" s="1024"/>
      <c r="J107" s="3459"/>
      <c r="K107" s="3459"/>
      <c r="L107" s="3459"/>
      <c r="M107" s="3459"/>
      <c r="N107" s="3459"/>
      <c r="O107" s="3459"/>
      <c r="P107" s="3459"/>
      <c r="Q107" s="3459"/>
      <c r="R107" s="3459"/>
      <c r="S107" s="3459"/>
      <c r="T107" s="3459"/>
      <c r="U107" s="3459"/>
    </row>
    <row r="108" spans="1:21" s="1011" customFormat="1" ht="14.25" customHeight="1">
      <c r="A108" s="3423" t="s">
        <v>1152</v>
      </c>
      <c r="B108" s="3423" t="s">
        <v>1128</v>
      </c>
      <c r="C108" s="3423">
        <v>12640</v>
      </c>
      <c r="D108" s="3423">
        <v>12580</v>
      </c>
      <c r="E108" s="3423">
        <v>15730</v>
      </c>
      <c r="F108" s="3429"/>
      <c r="G108" s="3429">
        <v>8310</v>
      </c>
      <c r="I108" s="1024"/>
      <c r="J108" s="3459"/>
      <c r="K108" s="3459"/>
      <c r="L108" s="3459"/>
      <c r="M108" s="3459"/>
      <c r="N108" s="3459"/>
      <c r="O108" s="3459"/>
      <c r="P108" s="3459"/>
      <c r="Q108" s="3459"/>
      <c r="R108" s="3459"/>
      <c r="S108" s="3459"/>
      <c r="T108" s="3459"/>
      <c r="U108" s="3459"/>
    </row>
    <row r="109" spans="1:21" s="1011" customFormat="1" ht="14.25" customHeight="1">
      <c r="A109" s="3423" t="s">
        <v>1152</v>
      </c>
      <c r="B109" s="3423" t="s">
        <v>1131</v>
      </c>
      <c r="C109" s="3423">
        <v>13130</v>
      </c>
      <c r="D109" s="3423">
        <v>13070</v>
      </c>
      <c r="E109" s="3423">
        <v>15000</v>
      </c>
      <c r="F109" s="3429"/>
      <c r="G109" s="3436">
        <v>8630</v>
      </c>
      <c r="I109" s="1024"/>
      <c r="J109" s="3459"/>
      <c r="K109" s="3459"/>
      <c r="L109" s="3459"/>
      <c r="M109" s="3459"/>
      <c r="N109" s="3459"/>
      <c r="O109" s="3459"/>
      <c r="P109" s="3459"/>
      <c r="Q109" s="3459"/>
      <c r="R109" s="3459"/>
      <c r="S109" s="3459"/>
      <c r="T109" s="3459"/>
      <c r="U109" s="3459"/>
    </row>
    <row r="110" spans="1:21" s="1011" customFormat="1" ht="14.25" customHeight="1">
      <c r="A110" s="3423" t="s">
        <v>1152</v>
      </c>
      <c r="B110" s="1289" t="s">
        <v>1133</v>
      </c>
      <c r="C110" s="1289">
        <v>13560</v>
      </c>
      <c r="D110" s="1289">
        <v>13490</v>
      </c>
      <c r="E110" s="1289">
        <v>16300</v>
      </c>
      <c r="F110" s="3424"/>
      <c r="G110" s="3424">
        <v>8920</v>
      </c>
      <c r="I110" s="1024"/>
      <c r="J110" s="3459"/>
      <c r="K110" s="3459"/>
      <c r="L110" s="3459"/>
      <c r="M110" s="3459"/>
      <c r="N110" s="3459"/>
      <c r="O110" s="3459"/>
      <c r="P110" s="3459"/>
      <c r="Q110" s="3459"/>
      <c r="R110" s="3459"/>
      <c r="S110" s="3459"/>
      <c r="T110" s="3459"/>
      <c r="U110" s="3459"/>
    </row>
    <row r="111" spans="1:21" s="1011" customFormat="1" ht="14.25" customHeight="1">
      <c r="A111" s="3423" t="s">
        <v>1152</v>
      </c>
      <c r="B111" s="3423" t="s">
        <v>1136</v>
      </c>
      <c r="C111" s="3423">
        <v>12440</v>
      </c>
      <c r="D111" s="3423">
        <v>12380</v>
      </c>
      <c r="E111" s="3423">
        <v>17850</v>
      </c>
      <c r="F111" s="3429"/>
      <c r="G111" s="3429">
        <v>8180</v>
      </c>
      <c r="I111" s="1024"/>
      <c r="J111" s="3459"/>
      <c r="K111" s="3459"/>
      <c r="L111" s="3459"/>
      <c r="M111" s="3459"/>
      <c r="N111" s="3459"/>
      <c r="O111" s="3459"/>
      <c r="P111" s="3459"/>
      <c r="Q111" s="3459"/>
      <c r="R111" s="3459"/>
      <c r="S111" s="3459"/>
      <c r="T111" s="3459"/>
      <c r="U111" s="3459"/>
    </row>
    <row r="112" spans="1:21" s="1011" customFormat="1" ht="14.25" customHeight="1">
      <c r="A112" s="3423" t="s">
        <v>1152</v>
      </c>
      <c r="B112" s="3423" t="s">
        <v>1140</v>
      </c>
      <c r="C112" s="3423">
        <v>13260</v>
      </c>
      <c r="D112" s="3423">
        <v>13180</v>
      </c>
      <c r="E112" s="3423">
        <v>19740</v>
      </c>
      <c r="F112" s="3429"/>
      <c r="G112" s="3429">
        <v>8710</v>
      </c>
      <c r="I112" s="1024"/>
      <c r="J112" s="3459"/>
      <c r="K112" s="3459"/>
      <c r="L112" s="3459"/>
      <c r="M112" s="3459"/>
      <c r="N112" s="3459"/>
      <c r="O112" s="3459"/>
      <c r="P112" s="3459"/>
      <c r="Q112" s="3459"/>
      <c r="R112" s="3459"/>
      <c r="S112" s="3459"/>
      <c r="T112" s="3459"/>
      <c r="U112" s="3459"/>
    </row>
    <row r="113" spans="1:21" s="1011" customFormat="1" ht="14.25" customHeight="1">
      <c r="A113" s="3423" t="s">
        <v>1152</v>
      </c>
      <c r="B113" s="3423" t="s">
        <v>2840</v>
      </c>
      <c r="C113" s="3423">
        <v>15520</v>
      </c>
      <c r="D113" s="3423">
        <v>15450</v>
      </c>
      <c r="E113" s="3423"/>
      <c r="F113" s="3429"/>
      <c r="G113" s="3429">
        <v>10210</v>
      </c>
      <c r="I113" s="1024"/>
      <c r="J113" s="3459"/>
      <c r="K113" s="3459"/>
      <c r="L113" s="3459"/>
      <c r="M113" s="3459"/>
      <c r="N113" s="3459"/>
      <c r="O113" s="3459"/>
      <c r="P113" s="3459"/>
      <c r="Q113" s="3459"/>
      <c r="R113" s="3459"/>
      <c r="S113" s="3459"/>
      <c r="T113" s="3459"/>
      <c r="U113" s="3459"/>
    </row>
    <row r="114" spans="1:21" s="1011" customFormat="1" ht="14.25" customHeight="1">
      <c r="A114" s="3423" t="s">
        <v>1152</v>
      </c>
      <c r="B114" s="3423" t="s">
        <v>2841</v>
      </c>
      <c r="C114" s="3423">
        <v>13110</v>
      </c>
      <c r="D114" s="3423">
        <v>13050</v>
      </c>
      <c r="E114" s="3423"/>
      <c r="F114" s="3429"/>
      <c r="G114" s="3429">
        <v>8620</v>
      </c>
      <c r="I114" s="1024"/>
      <c r="J114" s="3459"/>
      <c r="K114" s="3459"/>
      <c r="L114" s="3459"/>
      <c r="M114" s="3459"/>
      <c r="N114" s="3459"/>
      <c r="O114" s="3459"/>
      <c r="P114" s="3459"/>
      <c r="Q114" s="3459"/>
      <c r="R114" s="3459"/>
      <c r="S114" s="3459"/>
      <c r="T114" s="3459"/>
      <c r="U114" s="3459"/>
    </row>
    <row r="115" spans="1:21" s="1011" customFormat="1" ht="14.25" customHeight="1">
      <c r="A115" s="3423" t="s">
        <v>1152</v>
      </c>
      <c r="B115" s="3423" t="s">
        <v>2842</v>
      </c>
      <c r="C115" s="3423">
        <v>12460</v>
      </c>
      <c r="D115" s="3423">
        <v>12390</v>
      </c>
      <c r="E115" s="3423"/>
      <c r="F115" s="3429"/>
      <c r="G115" s="3429">
        <v>8190</v>
      </c>
      <c r="I115" s="1024"/>
      <c r="J115" s="3459"/>
      <c r="K115" s="3459"/>
      <c r="L115" s="3459"/>
      <c r="M115" s="3459"/>
      <c r="N115" s="3459"/>
      <c r="O115" s="3459"/>
      <c r="P115" s="3459"/>
      <c r="Q115" s="3459"/>
      <c r="R115" s="3459"/>
      <c r="S115" s="3459"/>
      <c r="T115" s="3459"/>
      <c r="U115" s="3459"/>
    </row>
    <row r="116" spans="1:21" s="1011" customFormat="1" ht="14.25" customHeight="1">
      <c r="A116" s="3423" t="s">
        <v>1152</v>
      </c>
      <c r="B116" s="3423" t="s">
        <v>2843</v>
      </c>
      <c r="C116" s="3423">
        <v>13580</v>
      </c>
      <c r="D116" s="3423">
        <v>13520</v>
      </c>
      <c r="E116" s="3423"/>
      <c r="F116" s="3429"/>
      <c r="G116" s="3429">
        <v>8930</v>
      </c>
      <c r="I116" s="1024"/>
      <c r="J116" s="3459"/>
      <c r="K116" s="3459"/>
      <c r="L116" s="3459"/>
      <c r="M116" s="3459"/>
      <c r="N116" s="3459"/>
      <c r="O116" s="3459"/>
      <c r="P116" s="3459"/>
      <c r="Q116" s="3459"/>
      <c r="R116" s="3459"/>
      <c r="S116" s="3459"/>
      <c r="T116" s="3459"/>
      <c r="U116" s="3459"/>
    </row>
    <row r="117" spans="1:21" s="1011" customFormat="1" ht="14.25" customHeight="1">
      <c r="A117" s="3423" t="s">
        <v>1152</v>
      </c>
      <c r="B117" s="3423" t="s">
        <v>2844</v>
      </c>
      <c r="C117" s="3423">
        <v>17120</v>
      </c>
      <c r="D117" s="3423">
        <v>17040</v>
      </c>
      <c r="E117" s="3423"/>
      <c r="F117" s="3429"/>
      <c r="G117" s="3429">
        <v>11260</v>
      </c>
      <c r="I117" s="1024"/>
      <c r="J117" s="3459"/>
      <c r="K117" s="3459"/>
      <c r="L117" s="3459"/>
      <c r="M117" s="3459"/>
      <c r="N117" s="3459"/>
      <c r="O117" s="3459"/>
      <c r="P117" s="3459"/>
      <c r="Q117" s="3459"/>
      <c r="R117" s="3459"/>
      <c r="S117" s="3459"/>
      <c r="T117" s="3459"/>
      <c r="U117" s="3459"/>
    </row>
    <row r="118" spans="1:21" s="1011" customFormat="1" ht="14.25" customHeight="1">
      <c r="A118" s="3423" t="s">
        <v>1152</v>
      </c>
      <c r="B118" s="3423" t="s">
        <v>2845</v>
      </c>
      <c r="C118" s="3423">
        <v>14860</v>
      </c>
      <c r="D118" s="3423">
        <v>14790</v>
      </c>
      <c r="E118" s="3423"/>
      <c r="F118" s="3429"/>
      <c r="G118" s="3429">
        <v>9780</v>
      </c>
      <c r="I118" s="1024"/>
      <c r="J118" s="3459"/>
      <c r="K118" s="3459"/>
      <c r="L118" s="3459"/>
      <c r="M118" s="3459"/>
      <c r="N118" s="3459"/>
      <c r="O118" s="3459"/>
      <c r="P118" s="3459"/>
      <c r="Q118" s="3459"/>
      <c r="R118" s="3459"/>
      <c r="S118" s="3459"/>
      <c r="T118" s="3459"/>
      <c r="U118" s="3459"/>
    </row>
    <row r="119" spans="1:21" s="1011" customFormat="1" ht="14.25" customHeight="1">
      <c r="A119" s="3423" t="s">
        <v>1152</v>
      </c>
      <c r="B119" s="3423" t="s">
        <v>2846</v>
      </c>
      <c r="C119" s="3423">
        <v>16470</v>
      </c>
      <c r="D119" s="3423">
        <v>16400</v>
      </c>
      <c r="E119" s="3423"/>
      <c r="F119" s="3429"/>
      <c r="G119" s="3429">
        <v>10840</v>
      </c>
      <c r="I119" s="1024"/>
      <c r="J119" s="3459"/>
      <c r="K119" s="3459"/>
      <c r="L119" s="3459"/>
      <c r="M119" s="3459"/>
      <c r="N119" s="3459"/>
      <c r="O119" s="3459"/>
      <c r="P119" s="3459"/>
      <c r="Q119" s="3459"/>
      <c r="R119" s="3459"/>
      <c r="S119" s="3459"/>
      <c r="T119" s="3459"/>
      <c r="U119" s="3459"/>
    </row>
    <row r="120" spans="1:21" s="1011" customFormat="1" ht="14.25" customHeight="1">
      <c r="A120" s="3423" t="s">
        <v>1152</v>
      </c>
      <c r="B120" s="3423" t="s">
        <v>2847</v>
      </c>
      <c r="C120" s="3423"/>
      <c r="D120" s="3423"/>
      <c r="E120" s="3423"/>
      <c r="F120" s="3429">
        <v>4160</v>
      </c>
      <c r="G120" s="3429"/>
      <c r="I120" s="1024"/>
      <c r="J120" s="3459"/>
      <c r="K120" s="3459"/>
      <c r="L120" s="3459"/>
      <c r="M120" s="3459"/>
      <c r="N120" s="3459"/>
      <c r="O120" s="3459"/>
      <c r="P120" s="3459"/>
      <c r="Q120" s="3459"/>
      <c r="R120" s="3459"/>
      <c r="S120" s="3459"/>
      <c r="T120" s="3459"/>
      <c r="U120" s="3459"/>
    </row>
    <row r="121" spans="1:21" s="1011" customFormat="1" ht="14.25" customHeight="1">
      <c r="A121" s="3423" t="s">
        <v>1152</v>
      </c>
      <c r="B121" s="3423" t="s">
        <v>2848</v>
      </c>
      <c r="C121" s="3423"/>
      <c r="D121" s="3423"/>
      <c r="E121" s="3423"/>
      <c r="F121" s="3429">
        <v>3880</v>
      </c>
      <c r="G121" s="3429"/>
      <c r="I121" s="1024"/>
      <c r="J121" s="3459"/>
      <c r="K121" s="3459"/>
      <c r="L121" s="3459"/>
      <c r="M121" s="3459"/>
      <c r="N121" s="3459"/>
      <c r="O121" s="3459"/>
      <c r="P121" s="3459"/>
      <c r="Q121" s="3459"/>
      <c r="R121" s="3459"/>
      <c r="S121" s="3459"/>
      <c r="T121" s="3459"/>
      <c r="U121" s="3459"/>
    </row>
    <row r="122" spans="1:21" s="1011" customFormat="1" ht="14.25" customHeight="1">
      <c r="A122" s="3423" t="s">
        <v>1152</v>
      </c>
      <c r="B122" s="3423" t="s">
        <v>2849</v>
      </c>
      <c r="C122" s="3423">
        <v>13750</v>
      </c>
      <c r="D122" s="3423">
        <v>13680</v>
      </c>
      <c r="E122" s="3423">
        <v>16460</v>
      </c>
      <c r="F122" s="3429">
        <v>2880</v>
      </c>
      <c r="G122" s="3429">
        <v>9040</v>
      </c>
      <c r="I122" s="1024"/>
      <c r="J122" s="3459"/>
      <c r="K122" s="3459"/>
      <c r="L122" s="3459"/>
      <c r="M122" s="3459"/>
      <c r="N122" s="3459"/>
      <c r="O122" s="3459"/>
      <c r="P122" s="3459"/>
      <c r="Q122" s="3459"/>
      <c r="R122" s="3459"/>
      <c r="S122" s="3459"/>
      <c r="T122" s="3459"/>
      <c r="U122" s="3459"/>
    </row>
    <row r="123" spans="1:21" s="1011" customFormat="1" ht="14.25" customHeight="1">
      <c r="A123" s="3423" t="s">
        <v>1152</v>
      </c>
      <c r="B123" s="3423" t="s">
        <v>2850</v>
      </c>
      <c r="C123" s="3423">
        <v>13590</v>
      </c>
      <c r="D123" s="3423">
        <v>13520</v>
      </c>
      <c r="E123" s="3423">
        <v>16290</v>
      </c>
      <c r="F123" s="3429">
        <v>2790</v>
      </c>
      <c r="G123" s="3429">
        <v>8930</v>
      </c>
      <c r="I123" s="1024"/>
      <c r="J123" s="3459"/>
      <c r="K123" s="3459"/>
      <c r="L123" s="3459"/>
      <c r="M123" s="3459"/>
      <c r="N123" s="3459"/>
      <c r="O123" s="3459"/>
      <c r="P123" s="3459"/>
      <c r="Q123" s="3459"/>
      <c r="R123" s="3459"/>
      <c r="S123" s="3459"/>
      <c r="T123" s="3459"/>
      <c r="U123" s="3459"/>
    </row>
    <row r="124" spans="1:21" s="1011" customFormat="1" ht="14.25" customHeight="1">
      <c r="A124" s="3423" t="s">
        <v>1152</v>
      </c>
      <c r="B124" s="3423" t="s">
        <v>2851</v>
      </c>
      <c r="C124" s="3423">
        <v>13400</v>
      </c>
      <c r="D124" s="3423">
        <v>13320</v>
      </c>
      <c r="E124" s="3423">
        <v>16100</v>
      </c>
      <c r="F124" s="3429">
        <v>2320</v>
      </c>
      <c r="G124" s="3431">
        <v>8800</v>
      </c>
      <c r="I124" s="1024"/>
      <c r="J124" s="3459"/>
      <c r="K124" s="3459"/>
      <c r="L124" s="3459"/>
      <c r="M124" s="3459"/>
      <c r="N124" s="3459"/>
      <c r="O124" s="3459"/>
      <c r="P124" s="3459"/>
      <c r="Q124" s="3459"/>
      <c r="R124" s="3459"/>
      <c r="S124" s="3459"/>
      <c r="T124" s="3459"/>
      <c r="U124" s="3459"/>
    </row>
    <row r="125" spans="1:21" s="1011" customFormat="1" ht="14.25" customHeight="1">
      <c r="A125" s="3423" t="s">
        <v>1152</v>
      </c>
      <c r="B125" s="1287" t="s">
        <v>2852</v>
      </c>
      <c r="C125" s="1287">
        <v>12860</v>
      </c>
      <c r="D125" s="1287">
        <v>12790</v>
      </c>
      <c r="E125" s="1287">
        <v>15370</v>
      </c>
      <c r="F125" s="3434">
        <v>2280</v>
      </c>
      <c r="G125" s="3441">
        <v>8450</v>
      </c>
      <c r="I125" s="1024"/>
      <c r="J125" s="3459"/>
      <c r="K125" s="3459"/>
      <c r="L125" s="3459"/>
      <c r="M125" s="3459"/>
      <c r="N125" s="3459"/>
      <c r="O125" s="3459"/>
      <c r="P125" s="3459"/>
      <c r="Q125" s="3459"/>
      <c r="R125" s="3459"/>
      <c r="S125" s="3459"/>
      <c r="T125" s="3459"/>
      <c r="U125" s="3459"/>
    </row>
    <row r="126" spans="1:21" s="1011" customFormat="1" ht="14.25" customHeight="1" thickBot="1">
      <c r="A126" s="3438" t="s">
        <v>1152</v>
      </c>
      <c r="B126" s="3426" t="s">
        <v>2853</v>
      </c>
      <c r="C126" s="3426">
        <v>12960</v>
      </c>
      <c r="D126" s="3426">
        <v>12890</v>
      </c>
      <c r="E126" s="3426">
        <v>15530</v>
      </c>
      <c r="F126" s="3427">
        <v>2910</v>
      </c>
      <c r="G126" s="3442">
        <v>8520</v>
      </c>
      <c r="I126" s="1024"/>
      <c r="J126" s="3459"/>
      <c r="K126" s="3459"/>
      <c r="L126" s="3459"/>
      <c r="M126" s="3459"/>
      <c r="N126" s="3459"/>
      <c r="O126" s="3459"/>
      <c r="P126" s="3459"/>
      <c r="Q126" s="3459"/>
      <c r="R126" s="3459"/>
      <c r="S126" s="3459"/>
      <c r="T126" s="3459"/>
      <c r="U126" s="3459"/>
    </row>
    <row r="127" spans="1:21" s="1011" customFormat="1" ht="14.25" customHeight="1">
      <c r="A127" s="3437" t="s">
        <v>1153</v>
      </c>
      <c r="B127" s="1289" t="s">
        <v>2854</v>
      </c>
      <c r="C127" s="1289">
        <v>12280</v>
      </c>
      <c r="D127" s="1289">
        <v>12250</v>
      </c>
      <c r="E127" s="1289">
        <v>15130</v>
      </c>
      <c r="F127" s="3424">
        <v>2710</v>
      </c>
      <c r="G127" s="3440">
        <v>7870</v>
      </c>
      <c r="I127" s="1024"/>
      <c r="J127" s="3459"/>
      <c r="K127" s="3459"/>
      <c r="L127" s="3459"/>
      <c r="M127" s="3459"/>
      <c r="N127" s="3459"/>
      <c r="O127" s="3459"/>
      <c r="P127" s="3459"/>
      <c r="Q127" s="3459"/>
      <c r="R127" s="3459"/>
      <c r="S127" s="3459"/>
      <c r="T127" s="3459"/>
      <c r="U127" s="3459"/>
    </row>
    <row r="128" spans="1:21" s="1011" customFormat="1" ht="14.25" customHeight="1">
      <c r="A128" s="3423" t="s">
        <v>1153</v>
      </c>
      <c r="B128" s="3423" t="s">
        <v>977</v>
      </c>
      <c r="C128" s="3423">
        <v>13180</v>
      </c>
      <c r="D128" s="3423">
        <v>13150</v>
      </c>
      <c r="E128" s="3423">
        <v>16190</v>
      </c>
      <c r="F128" s="3429">
        <v>2820</v>
      </c>
      <c r="G128" s="3431">
        <v>8460</v>
      </c>
      <c r="I128" s="1024"/>
      <c r="J128" s="3459"/>
      <c r="K128" s="3459"/>
      <c r="L128" s="3459"/>
      <c r="M128" s="3459"/>
      <c r="N128" s="3459"/>
      <c r="O128" s="3459"/>
      <c r="P128" s="3459"/>
      <c r="Q128" s="3459"/>
      <c r="R128" s="3459"/>
      <c r="S128" s="3459"/>
      <c r="T128" s="3459"/>
      <c r="U128" s="3459"/>
    </row>
    <row r="129" spans="1:21" s="1011" customFormat="1" ht="14.25" customHeight="1">
      <c r="A129" s="3423" t="s">
        <v>1153</v>
      </c>
      <c r="B129" s="3423" t="s">
        <v>987</v>
      </c>
      <c r="C129" s="3423">
        <v>10950</v>
      </c>
      <c r="D129" s="3423">
        <v>10920</v>
      </c>
      <c r="E129" s="3423">
        <v>13820</v>
      </c>
      <c r="F129" s="3429">
        <v>2500</v>
      </c>
      <c r="G129" s="3431">
        <v>7020</v>
      </c>
      <c r="I129" s="1024"/>
      <c r="J129" s="3459"/>
      <c r="K129" s="3459"/>
      <c r="L129" s="3459"/>
      <c r="M129" s="3459"/>
      <c r="N129" s="3459"/>
      <c r="O129" s="3459"/>
      <c r="P129" s="3459"/>
      <c r="Q129" s="3459"/>
      <c r="R129" s="3459"/>
      <c r="S129" s="3459"/>
      <c r="T129" s="3459"/>
      <c r="U129" s="3459"/>
    </row>
    <row r="130" spans="1:21" s="1011" customFormat="1" ht="14.25" customHeight="1">
      <c r="A130" s="3423" t="s">
        <v>1153</v>
      </c>
      <c r="B130" s="3423" t="s">
        <v>996</v>
      </c>
      <c r="C130" s="3423">
        <v>10910</v>
      </c>
      <c r="D130" s="3423">
        <v>10860</v>
      </c>
      <c r="E130" s="3423">
        <v>13730</v>
      </c>
      <c r="F130" s="3429">
        <v>2760</v>
      </c>
      <c r="G130" s="3431">
        <v>6990</v>
      </c>
      <c r="I130" s="1024"/>
      <c r="J130" s="3459"/>
      <c r="K130" s="3459"/>
      <c r="L130" s="3459"/>
      <c r="M130" s="3459"/>
      <c r="N130" s="3459"/>
      <c r="O130" s="3459"/>
      <c r="P130" s="3459"/>
      <c r="Q130" s="3459"/>
      <c r="R130" s="3459"/>
      <c r="S130" s="3459"/>
      <c r="T130" s="3459"/>
      <c r="U130" s="3459"/>
    </row>
    <row r="131" spans="1:21" s="1011" customFormat="1" ht="14.25" customHeight="1">
      <c r="A131" s="3423" t="s">
        <v>1153</v>
      </c>
      <c r="B131" s="3423" t="s">
        <v>1006</v>
      </c>
      <c r="C131" s="3423">
        <v>12910</v>
      </c>
      <c r="D131" s="3423">
        <v>12870</v>
      </c>
      <c r="E131" s="3423">
        <v>15720</v>
      </c>
      <c r="F131" s="3429">
        <v>2750</v>
      </c>
      <c r="G131" s="3431">
        <v>8280</v>
      </c>
      <c r="I131" s="1024"/>
      <c r="J131" s="3459"/>
      <c r="K131" s="3459"/>
      <c r="L131" s="3459"/>
      <c r="M131" s="3459"/>
      <c r="N131" s="3459"/>
      <c r="O131" s="3459"/>
      <c r="P131" s="3459"/>
      <c r="Q131" s="3459"/>
      <c r="R131" s="3459"/>
      <c r="S131" s="3459"/>
      <c r="T131" s="3459"/>
      <c r="U131" s="3459"/>
    </row>
    <row r="132" spans="1:21" s="1011" customFormat="1" ht="14.25" customHeight="1">
      <c r="A132" s="3423" t="s">
        <v>1153</v>
      </c>
      <c r="B132" s="3423" t="s">
        <v>1013</v>
      </c>
      <c r="C132" s="3423">
        <v>11910</v>
      </c>
      <c r="D132" s="3423">
        <v>11860</v>
      </c>
      <c r="E132" s="3423">
        <v>14730</v>
      </c>
      <c r="F132" s="3429">
        <v>2360</v>
      </c>
      <c r="G132" s="3431">
        <v>7630</v>
      </c>
      <c r="I132" s="1024"/>
      <c r="J132" s="3459"/>
      <c r="K132" s="3459"/>
      <c r="L132" s="3459"/>
      <c r="M132" s="3459"/>
      <c r="N132" s="3459"/>
      <c r="O132" s="3459"/>
      <c r="P132" s="3459"/>
      <c r="Q132" s="3459"/>
      <c r="R132" s="3459"/>
      <c r="S132" s="3459"/>
      <c r="T132" s="3459"/>
      <c r="U132" s="3459"/>
    </row>
    <row r="133" spans="1:21" s="1011" customFormat="1" ht="14.25" customHeight="1">
      <c r="A133" s="3423" t="s">
        <v>1153</v>
      </c>
      <c r="B133" s="3423" t="s">
        <v>1019</v>
      </c>
      <c r="C133" s="3423">
        <v>12270</v>
      </c>
      <c r="D133" s="3423">
        <v>12210</v>
      </c>
      <c r="E133" s="3423">
        <v>15010</v>
      </c>
      <c r="F133" s="3429">
        <v>2580</v>
      </c>
      <c r="G133" s="3431">
        <v>7860</v>
      </c>
      <c r="I133" s="1024"/>
      <c r="J133" s="3459"/>
      <c r="K133" s="3459"/>
      <c r="L133" s="3459"/>
      <c r="M133" s="3459"/>
      <c r="N133" s="3459"/>
      <c r="O133" s="3459"/>
      <c r="P133" s="3459"/>
      <c r="Q133" s="3459"/>
      <c r="R133" s="3459"/>
      <c r="S133" s="3459"/>
      <c r="T133" s="3459"/>
      <c r="U133" s="3459"/>
    </row>
    <row r="134" spans="1:21" s="1011" customFormat="1" ht="14.25" customHeight="1">
      <c r="A134" s="3423" t="s">
        <v>1153</v>
      </c>
      <c r="B134" s="3423" t="s">
        <v>1026</v>
      </c>
      <c r="C134" s="3423">
        <v>10800</v>
      </c>
      <c r="D134" s="3423">
        <v>10780</v>
      </c>
      <c r="E134" s="3423">
        <v>13640</v>
      </c>
      <c r="F134" s="3429">
        <v>2110</v>
      </c>
      <c r="G134" s="3429">
        <v>6930</v>
      </c>
      <c r="I134" s="1024"/>
      <c r="J134" s="3459"/>
      <c r="K134" s="3459"/>
      <c r="L134" s="3459"/>
      <c r="M134" s="3459"/>
      <c r="N134" s="3459"/>
      <c r="O134" s="3459"/>
      <c r="P134" s="3459"/>
      <c r="Q134" s="3459"/>
      <c r="R134" s="3459"/>
      <c r="S134" s="3459"/>
      <c r="T134" s="3459"/>
      <c r="U134" s="3459"/>
    </row>
    <row r="135" spans="1:21" s="1011" customFormat="1" ht="14.25" customHeight="1">
      <c r="A135" s="3423" t="s">
        <v>1153</v>
      </c>
      <c r="B135" s="3423" t="s">
        <v>1036</v>
      </c>
      <c r="C135" s="3423">
        <v>10430</v>
      </c>
      <c r="D135" s="3423">
        <v>10390</v>
      </c>
      <c r="E135" s="3423">
        <v>13140</v>
      </c>
      <c r="F135" s="3429">
        <v>2240</v>
      </c>
      <c r="G135" s="3431">
        <v>6680</v>
      </c>
      <c r="I135" s="1024"/>
      <c r="J135" s="3459"/>
      <c r="K135" s="3459"/>
      <c r="L135" s="3459"/>
      <c r="M135" s="3459"/>
      <c r="N135" s="3459"/>
      <c r="O135" s="3459"/>
      <c r="P135" s="3459"/>
      <c r="Q135" s="3459"/>
      <c r="R135" s="3459"/>
      <c r="S135" s="3459"/>
      <c r="T135" s="3459"/>
      <c r="U135" s="3459"/>
    </row>
    <row r="136" spans="1:21" s="1011" customFormat="1" ht="14.25" customHeight="1">
      <c r="A136" s="3423" t="s">
        <v>1153</v>
      </c>
      <c r="B136" s="3423" t="s">
        <v>1045</v>
      </c>
      <c r="C136" s="3423">
        <v>11930</v>
      </c>
      <c r="D136" s="3423">
        <v>11880</v>
      </c>
      <c r="E136" s="3423">
        <v>14770</v>
      </c>
      <c r="F136" s="3429">
        <v>1970</v>
      </c>
      <c r="G136" s="3431">
        <v>7640</v>
      </c>
      <c r="I136" s="1024"/>
      <c r="J136" s="3459"/>
      <c r="K136" s="3459"/>
      <c r="L136" s="3459"/>
      <c r="M136" s="3459"/>
      <c r="N136" s="3459"/>
      <c r="O136" s="3459"/>
      <c r="P136" s="3459"/>
      <c r="Q136" s="3459"/>
      <c r="R136" s="3459"/>
      <c r="S136" s="3459"/>
      <c r="T136" s="3459"/>
      <c r="U136" s="3459"/>
    </row>
    <row r="137" spans="1:21" s="1011" customFormat="1" ht="14.25" customHeight="1">
      <c r="A137" s="3423" t="s">
        <v>1153</v>
      </c>
      <c r="B137" s="3423" t="s">
        <v>1052</v>
      </c>
      <c r="C137" s="3423">
        <v>10470</v>
      </c>
      <c r="D137" s="3423">
        <v>10430</v>
      </c>
      <c r="E137" s="3423">
        <v>13190</v>
      </c>
      <c r="F137" s="3429">
        <v>1990</v>
      </c>
      <c r="G137" s="3431">
        <v>6710</v>
      </c>
      <c r="I137" s="1024"/>
      <c r="J137" s="3459"/>
      <c r="K137" s="3459"/>
      <c r="L137" s="3459"/>
      <c r="M137" s="3459"/>
      <c r="N137" s="3459"/>
      <c r="O137" s="3459"/>
      <c r="P137" s="3459"/>
      <c r="Q137" s="3459"/>
      <c r="R137" s="3459"/>
      <c r="S137" s="3459"/>
      <c r="T137" s="3459"/>
      <c r="U137" s="3459"/>
    </row>
    <row r="138" spans="1:21" s="1011" customFormat="1" ht="14.25" customHeight="1">
      <c r="A138" s="3423" t="s">
        <v>1153</v>
      </c>
      <c r="B138" s="3423" t="s">
        <v>1059</v>
      </c>
      <c r="C138" s="3423">
        <v>10410</v>
      </c>
      <c r="D138" s="3423">
        <v>10380</v>
      </c>
      <c r="E138" s="3423">
        <v>13130</v>
      </c>
      <c r="F138" s="3429">
        <v>2030</v>
      </c>
      <c r="G138" s="3431">
        <v>6680</v>
      </c>
      <c r="I138" s="1024"/>
      <c r="J138" s="3459"/>
      <c r="K138" s="3459"/>
      <c r="L138" s="3459"/>
      <c r="M138" s="3459"/>
      <c r="N138" s="3459"/>
      <c r="O138" s="3459"/>
      <c r="P138" s="3459"/>
      <c r="Q138" s="3459"/>
      <c r="R138" s="3459"/>
      <c r="S138" s="3459"/>
      <c r="T138" s="3459"/>
      <c r="U138" s="3459"/>
    </row>
    <row r="139" spans="1:21" s="1011" customFormat="1" ht="14.25" customHeight="1">
      <c r="A139" s="3423" t="s">
        <v>1153</v>
      </c>
      <c r="B139" s="3423" t="s">
        <v>1066</v>
      </c>
      <c r="C139" s="3423">
        <v>9460</v>
      </c>
      <c r="D139" s="3423">
        <v>9410</v>
      </c>
      <c r="E139" s="3423">
        <v>12050</v>
      </c>
      <c r="F139" s="3429">
        <v>2140</v>
      </c>
      <c r="G139" s="3429">
        <v>6050</v>
      </c>
      <c r="I139" s="1024"/>
      <c r="J139" s="3459"/>
      <c r="K139" s="3459"/>
      <c r="L139" s="3459"/>
      <c r="M139" s="3459"/>
      <c r="N139" s="3459"/>
      <c r="O139" s="3459"/>
      <c r="P139" s="3459"/>
      <c r="Q139" s="3459"/>
      <c r="R139" s="3459"/>
      <c r="S139" s="3459"/>
      <c r="T139" s="3459"/>
      <c r="U139" s="3459"/>
    </row>
    <row r="140" spans="1:21" s="1011" customFormat="1" ht="14.25" customHeight="1">
      <c r="A140" s="3423" t="s">
        <v>1153</v>
      </c>
      <c r="B140" s="3423" t="s">
        <v>1074</v>
      </c>
      <c r="C140" s="3423">
        <v>11030</v>
      </c>
      <c r="D140" s="3423">
        <v>10980</v>
      </c>
      <c r="E140" s="3423">
        <v>13880</v>
      </c>
      <c r="F140" s="3429">
        <v>2210</v>
      </c>
      <c r="G140" s="3429">
        <v>7060</v>
      </c>
      <c r="I140" s="1024"/>
      <c r="J140" s="3459"/>
      <c r="K140" s="3459"/>
      <c r="L140" s="3459"/>
      <c r="M140" s="3459"/>
      <c r="N140" s="3459"/>
      <c r="O140" s="3459"/>
      <c r="P140" s="3459"/>
      <c r="Q140" s="3459"/>
      <c r="R140" s="3459"/>
      <c r="S140" s="3459"/>
      <c r="T140" s="3459"/>
      <c r="U140" s="3459"/>
    </row>
    <row r="141" spans="1:21" s="1011" customFormat="1" ht="14.25" customHeight="1">
      <c r="A141" s="3423" t="s">
        <v>1153</v>
      </c>
      <c r="B141" s="3423" t="s">
        <v>1082</v>
      </c>
      <c r="C141" s="3423">
        <v>11200</v>
      </c>
      <c r="D141" s="3423">
        <v>11150</v>
      </c>
      <c r="E141" s="3423">
        <v>14100</v>
      </c>
      <c r="F141" s="3429">
        <v>2470</v>
      </c>
      <c r="G141" s="3431">
        <v>7170</v>
      </c>
      <c r="I141" s="1024"/>
      <c r="J141" s="3459"/>
      <c r="K141" s="3459"/>
      <c r="L141" s="3459"/>
      <c r="M141" s="3459"/>
      <c r="N141" s="3459"/>
      <c r="O141" s="3459"/>
      <c r="P141" s="3459"/>
      <c r="Q141" s="3459"/>
      <c r="R141" s="3459"/>
      <c r="S141" s="3459"/>
      <c r="T141" s="3459"/>
      <c r="U141" s="3459"/>
    </row>
    <row r="142" spans="1:21" s="1011" customFormat="1" ht="14.25" customHeight="1">
      <c r="A142" s="3423" t="s">
        <v>1153</v>
      </c>
      <c r="B142" s="3423" t="s">
        <v>1087</v>
      </c>
      <c r="C142" s="3423">
        <v>10780</v>
      </c>
      <c r="D142" s="3423">
        <v>10730</v>
      </c>
      <c r="E142" s="3423">
        <v>13540</v>
      </c>
      <c r="F142" s="3429">
        <v>2280</v>
      </c>
      <c r="G142" s="3431">
        <v>6900</v>
      </c>
      <c r="I142" s="1024"/>
      <c r="J142" s="3459"/>
      <c r="K142" s="3459"/>
      <c r="L142" s="3459"/>
      <c r="M142" s="3459"/>
      <c r="N142" s="3459"/>
      <c r="O142" s="3459"/>
      <c r="P142" s="3459"/>
      <c r="Q142" s="3459"/>
      <c r="R142" s="3459"/>
      <c r="S142" s="3459"/>
      <c r="T142" s="3459"/>
      <c r="U142" s="3459"/>
    </row>
    <row r="143" spans="1:21" s="1011" customFormat="1" ht="14.25" customHeight="1">
      <c r="A143" s="3423" t="s">
        <v>1153</v>
      </c>
      <c r="B143" s="3423" t="s">
        <v>1096</v>
      </c>
      <c r="C143" s="3423">
        <v>11550</v>
      </c>
      <c r="D143" s="3423">
        <v>11490</v>
      </c>
      <c r="E143" s="3423">
        <v>14480</v>
      </c>
      <c r="F143" s="3429">
        <v>2070</v>
      </c>
      <c r="G143" s="3431">
        <v>7390</v>
      </c>
      <c r="I143" s="1024"/>
      <c r="J143" s="3459"/>
      <c r="K143" s="3459"/>
      <c r="L143" s="3459"/>
      <c r="M143" s="3459"/>
      <c r="N143" s="3459"/>
      <c r="O143" s="3459"/>
      <c r="P143" s="3459"/>
      <c r="Q143" s="3459"/>
      <c r="R143" s="3459"/>
      <c r="S143" s="3459"/>
      <c r="T143" s="3459"/>
      <c r="U143" s="3459"/>
    </row>
    <row r="144" spans="1:21" s="1011" customFormat="1" ht="14.25" customHeight="1">
      <c r="A144" s="3423" t="s">
        <v>1153</v>
      </c>
      <c r="B144" s="3423" t="s">
        <v>1103</v>
      </c>
      <c r="C144" s="3423">
        <v>10720</v>
      </c>
      <c r="D144" s="3423">
        <v>10680</v>
      </c>
      <c r="E144" s="3423">
        <v>13480</v>
      </c>
      <c r="F144" s="3429">
        <v>2440</v>
      </c>
      <c r="G144" s="3431">
        <v>6870</v>
      </c>
      <c r="I144" s="1024"/>
      <c r="J144" s="3459"/>
      <c r="K144" s="3459"/>
      <c r="L144" s="3459"/>
      <c r="M144" s="3459"/>
      <c r="N144" s="3459"/>
      <c r="O144" s="3459"/>
      <c r="P144" s="3459"/>
      <c r="Q144" s="3459"/>
      <c r="R144" s="3459"/>
      <c r="S144" s="3459"/>
      <c r="T144" s="3459"/>
      <c r="U144" s="3459"/>
    </row>
    <row r="145" spans="1:21" s="1011" customFormat="1" ht="14.25" customHeight="1">
      <c r="A145" s="3423" t="s">
        <v>1153</v>
      </c>
      <c r="B145" s="3423" t="s">
        <v>1111</v>
      </c>
      <c r="C145" s="3423">
        <v>10340</v>
      </c>
      <c r="D145" s="3423">
        <v>10290</v>
      </c>
      <c r="E145" s="3423">
        <v>12880</v>
      </c>
      <c r="F145" s="3429">
        <v>2650</v>
      </c>
      <c r="G145" s="3429">
        <v>6620</v>
      </c>
      <c r="I145" s="1024"/>
      <c r="J145" s="3459"/>
      <c r="K145" s="3459"/>
      <c r="L145" s="3459"/>
      <c r="M145" s="3459"/>
      <c r="N145" s="3459"/>
      <c r="O145" s="3459"/>
      <c r="P145" s="3459"/>
      <c r="Q145" s="3459"/>
      <c r="R145" s="3459"/>
      <c r="S145" s="3459"/>
      <c r="T145" s="3459"/>
      <c r="U145" s="3459"/>
    </row>
    <row r="146" spans="1:21" s="1011" customFormat="1" ht="14.25" customHeight="1">
      <c r="A146" s="3423" t="s">
        <v>1153</v>
      </c>
      <c r="B146" s="3423" t="s">
        <v>1118</v>
      </c>
      <c r="C146" s="3423">
        <v>11890</v>
      </c>
      <c r="D146" s="3423">
        <v>11830</v>
      </c>
      <c r="E146" s="3423">
        <v>14670</v>
      </c>
      <c r="F146" s="3429"/>
      <c r="G146" s="3429">
        <v>7610</v>
      </c>
      <c r="I146" s="1024"/>
      <c r="J146" s="3459"/>
      <c r="K146" s="3459"/>
      <c r="L146" s="3459"/>
      <c r="M146" s="3459"/>
      <c r="N146" s="3459"/>
      <c r="O146" s="3459"/>
      <c r="P146" s="3459"/>
      <c r="Q146" s="3459"/>
      <c r="R146" s="3459"/>
      <c r="S146" s="3459"/>
      <c r="T146" s="3459"/>
      <c r="U146" s="3459"/>
    </row>
    <row r="147" spans="1:21" s="1011" customFormat="1" ht="14.25" customHeight="1">
      <c r="A147" s="3423" t="s">
        <v>1153</v>
      </c>
      <c r="B147" s="3423" t="s">
        <v>1122</v>
      </c>
      <c r="C147" s="3423">
        <v>12650</v>
      </c>
      <c r="D147" s="3423">
        <v>12600</v>
      </c>
      <c r="E147" s="3423">
        <v>15440</v>
      </c>
      <c r="F147" s="3429"/>
      <c r="G147" s="3429">
        <v>8110</v>
      </c>
      <c r="I147" s="1024"/>
      <c r="J147" s="3459"/>
      <c r="K147" s="3459"/>
      <c r="L147" s="3459"/>
      <c r="M147" s="3459"/>
      <c r="N147" s="3459"/>
      <c r="O147" s="3459"/>
      <c r="P147" s="3459"/>
      <c r="Q147" s="3459"/>
      <c r="R147" s="3459"/>
      <c r="S147" s="3459"/>
      <c r="T147" s="3459"/>
      <c r="U147" s="3459"/>
    </row>
    <row r="148" spans="1:21" s="1011" customFormat="1" ht="14.25" customHeight="1">
      <c r="A148" s="3423" t="s">
        <v>1153</v>
      </c>
      <c r="B148" s="3423" t="s">
        <v>2855</v>
      </c>
      <c r="C148" s="3423">
        <v>10370</v>
      </c>
      <c r="D148" s="3423">
        <v>10310</v>
      </c>
      <c r="E148" s="3423">
        <v>12970</v>
      </c>
      <c r="F148" s="3429"/>
      <c r="G148" s="3429">
        <v>6630</v>
      </c>
      <c r="I148" s="1024"/>
      <c r="J148" s="3459"/>
      <c r="K148" s="3459"/>
      <c r="L148" s="3459"/>
      <c r="M148" s="3459"/>
      <c r="N148" s="3459"/>
      <c r="O148" s="3459"/>
      <c r="P148" s="3459"/>
      <c r="Q148" s="3459"/>
      <c r="R148" s="3459"/>
      <c r="S148" s="3459"/>
      <c r="T148" s="3459"/>
      <c r="U148" s="3459"/>
    </row>
    <row r="149" spans="1:21" s="1011" customFormat="1" ht="14.25" customHeight="1">
      <c r="A149" s="3423" t="s">
        <v>1153</v>
      </c>
      <c r="B149" s="3423" t="s">
        <v>2856</v>
      </c>
      <c r="C149" s="3423">
        <v>11600</v>
      </c>
      <c r="D149" s="3423">
        <v>11560</v>
      </c>
      <c r="E149" s="3423">
        <v>14540</v>
      </c>
      <c r="F149" s="3429">
        <v>2390</v>
      </c>
      <c r="G149" s="3429">
        <v>7430</v>
      </c>
      <c r="I149" s="1024"/>
      <c r="J149" s="3459"/>
      <c r="K149" s="3459"/>
      <c r="L149" s="3459"/>
      <c r="M149" s="3459"/>
      <c r="N149" s="3459"/>
      <c r="O149" s="3459"/>
      <c r="P149" s="3459"/>
      <c r="Q149" s="3459"/>
      <c r="R149" s="3459"/>
      <c r="S149" s="3459"/>
      <c r="T149" s="3459"/>
      <c r="U149" s="3459"/>
    </row>
    <row r="150" spans="1:21" s="1011" customFormat="1" ht="14.25" customHeight="1">
      <c r="A150" s="3423" t="s">
        <v>1153</v>
      </c>
      <c r="B150" s="3423" t="s">
        <v>1141</v>
      </c>
      <c r="C150" s="3423">
        <v>9950</v>
      </c>
      <c r="D150" s="3423">
        <v>9890</v>
      </c>
      <c r="E150" s="3423">
        <v>12590</v>
      </c>
      <c r="F150" s="3429">
        <v>1970</v>
      </c>
      <c r="G150" s="3429">
        <v>6360</v>
      </c>
      <c r="I150" s="1024"/>
      <c r="J150" s="3459"/>
      <c r="K150" s="3459"/>
      <c r="L150" s="3459"/>
      <c r="M150" s="3459"/>
      <c r="N150" s="3459"/>
      <c r="O150" s="3459"/>
      <c r="P150" s="3459"/>
      <c r="Q150" s="3459"/>
      <c r="R150" s="3459"/>
      <c r="S150" s="3459"/>
      <c r="T150" s="3459"/>
      <c r="U150" s="3459"/>
    </row>
    <row r="151" spans="1:21" s="1011" customFormat="1" ht="14.25" customHeight="1">
      <c r="A151" s="3423" t="s">
        <v>1153</v>
      </c>
      <c r="B151" s="3423" t="s">
        <v>1143</v>
      </c>
      <c r="C151" s="3423">
        <v>10700</v>
      </c>
      <c r="D151" s="3423">
        <v>10650</v>
      </c>
      <c r="E151" s="3423">
        <v>13420</v>
      </c>
      <c r="F151" s="3429">
        <v>2020</v>
      </c>
      <c r="G151" s="3429">
        <v>6850</v>
      </c>
      <c r="I151" s="1024"/>
      <c r="J151" s="3459"/>
      <c r="K151" s="3459"/>
      <c r="L151" s="3459"/>
      <c r="M151" s="3459"/>
      <c r="N151" s="3459"/>
      <c r="O151" s="3459"/>
      <c r="P151" s="3459"/>
      <c r="Q151" s="3459"/>
      <c r="R151" s="3459"/>
      <c r="S151" s="3459"/>
      <c r="T151" s="3459"/>
      <c r="U151" s="3459"/>
    </row>
    <row r="152" spans="1:21" s="1011" customFormat="1" ht="14.25" customHeight="1">
      <c r="A152" s="3423" t="s">
        <v>1153</v>
      </c>
      <c r="B152" s="3423" t="s">
        <v>1146</v>
      </c>
      <c r="C152" s="3423">
        <v>10310</v>
      </c>
      <c r="D152" s="3423">
        <v>10260</v>
      </c>
      <c r="E152" s="3423">
        <v>12820</v>
      </c>
      <c r="F152" s="3429">
        <v>1980</v>
      </c>
      <c r="G152" s="3429">
        <v>6600</v>
      </c>
      <c r="I152" s="1024"/>
      <c r="J152" s="3459"/>
      <c r="K152" s="3459"/>
      <c r="L152" s="3459"/>
      <c r="M152" s="3459"/>
      <c r="N152" s="3459"/>
      <c r="O152" s="3459"/>
      <c r="P152" s="3459"/>
      <c r="Q152" s="3459"/>
      <c r="R152" s="3459"/>
      <c r="S152" s="3459"/>
      <c r="T152" s="3459"/>
      <c r="U152" s="3459"/>
    </row>
    <row r="153" spans="1:21" s="1011" customFormat="1" ht="14.25" customHeight="1">
      <c r="A153" s="3423" t="s">
        <v>1153</v>
      </c>
      <c r="B153" s="3423" t="s">
        <v>2857</v>
      </c>
      <c r="C153" s="3423">
        <v>10880</v>
      </c>
      <c r="D153" s="3423">
        <v>10820</v>
      </c>
      <c r="E153" s="3423">
        <v>13660</v>
      </c>
      <c r="F153" s="3429">
        <v>2260</v>
      </c>
      <c r="G153" s="3429">
        <v>6970</v>
      </c>
      <c r="I153" s="1024"/>
      <c r="J153" s="3459"/>
      <c r="K153" s="3459"/>
      <c r="L153" s="3459"/>
      <c r="M153" s="3459"/>
      <c r="N153" s="3459"/>
      <c r="O153" s="3459"/>
      <c r="P153" s="3459"/>
      <c r="Q153" s="3459"/>
      <c r="R153" s="3459"/>
      <c r="S153" s="3459"/>
      <c r="T153" s="3459"/>
      <c r="U153" s="3459"/>
    </row>
    <row r="154" spans="1:21" s="1011" customFormat="1" ht="14.25" customHeight="1">
      <c r="A154" s="3423" t="s">
        <v>1153</v>
      </c>
      <c r="B154" s="3423" t="s">
        <v>2858</v>
      </c>
      <c r="C154" s="3423">
        <v>11220</v>
      </c>
      <c r="D154" s="3423">
        <v>11160</v>
      </c>
      <c r="E154" s="3423">
        <v>14130</v>
      </c>
      <c r="F154" s="3429">
        <v>2230</v>
      </c>
      <c r="G154" s="3429">
        <v>7180</v>
      </c>
      <c r="I154" s="1024"/>
      <c r="J154" s="3459"/>
      <c r="K154" s="3459"/>
      <c r="L154" s="3459"/>
      <c r="M154" s="3459"/>
      <c r="N154" s="3459"/>
      <c r="O154" s="3459"/>
      <c r="P154" s="3459"/>
      <c r="Q154" s="3459"/>
      <c r="R154" s="3459"/>
      <c r="S154" s="3459"/>
      <c r="T154" s="3459"/>
      <c r="U154" s="3459"/>
    </row>
    <row r="155" spans="1:21" s="1011" customFormat="1" ht="14.25" customHeight="1">
      <c r="A155" s="3423" t="s">
        <v>1153</v>
      </c>
      <c r="B155" s="3423" t="s">
        <v>2859</v>
      </c>
      <c r="C155" s="3423">
        <v>10430</v>
      </c>
      <c r="D155" s="3423">
        <v>10380</v>
      </c>
      <c r="E155" s="3423">
        <v>13140</v>
      </c>
      <c r="F155" s="3429">
        <v>2080</v>
      </c>
      <c r="G155" s="3429">
        <v>6650</v>
      </c>
      <c r="I155" s="1024"/>
      <c r="J155" s="3459"/>
      <c r="K155" s="3459"/>
      <c r="L155" s="3459"/>
      <c r="M155" s="3459"/>
      <c r="N155" s="3459"/>
      <c r="O155" s="3459"/>
      <c r="P155" s="3459"/>
      <c r="Q155" s="3459"/>
      <c r="R155" s="3459"/>
      <c r="S155" s="3459"/>
      <c r="T155" s="3459"/>
      <c r="U155" s="3459"/>
    </row>
    <row r="156" spans="1:21" s="1011" customFormat="1" ht="14.25" customHeight="1">
      <c r="A156" s="3423" t="s">
        <v>1153</v>
      </c>
      <c r="B156" s="3423" t="s">
        <v>2860</v>
      </c>
      <c r="C156" s="3423">
        <v>10440</v>
      </c>
      <c r="D156" s="3423">
        <v>10400</v>
      </c>
      <c r="E156" s="3423">
        <v>13150</v>
      </c>
      <c r="F156" s="3429">
        <v>2490</v>
      </c>
      <c r="G156" s="3429">
        <v>6690</v>
      </c>
      <c r="I156" s="1024"/>
      <c r="J156" s="3459"/>
      <c r="K156" s="3459"/>
      <c r="L156" s="3459"/>
      <c r="M156" s="3459"/>
      <c r="N156" s="3459"/>
      <c r="O156" s="3459"/>
      <c r="P156" s="3459"/>
      <c r="Q156" s="3459"/>
      <c r="R156" s="3459"/>
      <c r="S156" s="3459"/>
      <c r="T156" s="3459"/>
      <c r="U156" s="3459"/>
    </row>
    <row r="157" spans="1:21" s="1011" customFormat="1" ht="14.25" customHeight="1">
      <c r="A157" s="3423" t="s">
        <v>1153</v>
      </c>
      <c r="B157" s="3423" t="s">
        <v>1149</v>
      </c>
      <c r="C157" s="3423">
        <v>10970</v>
      </c>
      <c r="D157" s="3423">
        <v>10920</v>
      </c>
      <c r="E157" s="3423">
        <v>13840</v>
      </c>
      <c r="F157" s="3429">
        <v>2420</v>
      </c>
      <c r="G157" s="3436">
        <v>7020</v>
      </c>
      <c r="I157" s="1024"/>
      <c r="J157" s="3459"/>
      <c r="K157" s="3459"/>
      <c r="L157" s="3459"/>
      <c r="M157" s="3459"/>
      <c r="N157" s="3459"/>
      <c r="O157" s="3459"/>
      <c r="P157" s="3459"/>
      <c r="Q157" s="3459"/>
      <c r="R157" s="3459"/>
      <c r="S157" s="3459"/>
      <c r="T157" s="3459"/>
      <c r="U157" s="3459"/>
    </row>
    <row r="158" spans="1:21" s="1011" customFormat="1" ht="14.25" customHeight="1">
      <c r="A158" s="1289" t="s">
        <v>1153</v>
      </c>
      <c r="B158" s="1289" t="s">
        <v>1150</v>
      </c>
      <c r="C158" s="1289">
        <v>9590</v>
      </c>
      <c r="D158" s="1289">
        <v>9540</v>
      </c>
      <c r="E158" s="1289">
        <v>12210</v>
      </c>
      <c r="F158" s="3424">
        <v>2100</v>
      </c>
      <c r="G158" s="3424">
        <v>6130</v>
      </c>
      <c r="I158" s="1024"/>
      <c r="J158" s="3459"/>
      <c r="K158" s="3459"/>
      <c r="L158" s="3459"/>
      <c r="M158" s="3459"/>
      <c r="N158" s="3459"/>
      <c r="O158" s="3459"/>
      <c r="P158" s="3459"/>
      <c r="Q158" s="3459"/>
      <c r="R158" s="3459"/>
      <c r="S158" s="3459"/>
      <c r="T158" s="3459"/>
      <c r="U158" s="3459"/>
    </row>
    <row r="159" spans="1:21" s="1011" customFormat="1" ht="14.25" customHeight="1">
      <c r="A159" s="3423" t="s">
        <v>1153</v>
      </c>
      <c r="B159" s="3423" t="s">
        <v>1151</v>
      </c>
      <c r="C159" s="3423">
        <v>11190</v>
      </c>
      <c r="D159" s="3423">
        <v>11140</v>
      </c>
      <c r="E159" s="3423">
        <v>14090</v>
      </c>
      <c r="F159" s="3429">
        <v>2470</v>
      </c>
      <c r="G159" s="3429">
        <v>7170</v>
      </c>
      <c r="I159" s="1024"/>
      <c r="J159" s="3459"/>
      <c r="K159" s="3459"/>
      <c r="L159" s="3459"/>
      <c r="M159" s="3459"/>
      <c r="N159" s="3459"/>
      <c r="O159" s="3459"/>
      <c r="P159" s="3459"/>
      <c r="Q159" s="3459"/>
      <c r="R159" s="3459"/>
      <c r="S159" s="3459"/>
      <c r="T159" s="3459"/>
      <c r="U159" s="3459"/>
    </row>
    <row r="160" spans="1:21" s="1011" customFormat="1" ht="14.25" customHeight="1">
      <c r="A160" s="3423" t="s">
        <v>1153</v>
      </c>
      <c r="B160" s="3423" t="s">
        <v>2861</v>
      </c>
      <c r="C160" s="3423">
        <v>11180</v>
      </c>
      <c r="D160" s="3423">
        <v>11140</v>
      </c>
      <c r="E160" s="3423">
        <v>14050</v>
      </c>
      <c r="F160" s="3429">
        <v>2270</v>
      </c>
      <c r="G160" s="3429">
        <v>7170</v>
      </c>
      <c r="I160" s="1024"/>
      <c r="J160" s="3459"/>
      <c r="K160" s="3459"/>
      <c r="L160" s="3459"/>
      <c r="M160" s="3459"/>
      <c r="N160" s="3459"/>
      <c r="O160" s="3459"/>
      <c r="P160" s="3459"/>
      <c r="Q160" s="3459"/>
      <c r="R160" s="3459"/>
      <c r="S160" s="3459"/>
      <c r="T160" s="3459"/>
      <c r="U160" s="3459"/>
    </row>
    <row r="161" spans="1:21" s="1011" customFormat="1" ht="14.25" customHeight="1">
      <c r="A161" s="3423" t="s">
        <v>1153</v>
      </c>
      <c r="B161" s="3423" t="s">
        <v>2862</v>
      </c>
      <c r="C161" s="3423">
        <v>11160</v>
      </c>
      <c r="D161" s="3423">
        <v>11120</v>
      </c>
      <c r="E161" s="3423">
        <v>14020</v>
      </c>
      <c r="F161" s="3429">
        <v>2150</v>
      </c>
      <c r="G161" s="3429">
        <v>7160</v>
      </c>
      <c r="I161" s="1024"/>
      <c r="J161" s="3459"/>
      <c r="K161" s="3459"/>
      <c r="L161" s="3459"/>
      <c r="M161" s="3459"/>
      <c r="N161" s="3459"/>
      <c r="O161" s="3459"/>
      <c r="P161" s="3459"/>
      <c r="Q161" s="3459"/>
      <c r="R161" s="3459"/>
      <c r="S161" s="3459"/>
      <c r="T161" s="3459"/>
      <c r="U161" s="3459"/>
    </row>
    <row r="162" spans="1:21" s="1011" customFormat="1" ht="14.25" customHeight="1">
      <c r="A162" s="3423" t="s">
        <v>1153</v>
      </c>
      <c r="B162" s="3423" t="s">
        <v>2863</v>
      </c>
      <c r="C162" s="3423">
        <v>9620</v>
      </c>
      <c r="D162" s="3423">
        <v>9570</v>
      </c>
      <c r="E162" s="3423">
        <v>12320</v>
      </c>
      <c r="F162" s="3429">
        <v>2010</v>
      </c>
      <c r="G162" s="3429">
        <v>6160</v>
      </c>
      <c r="I162" s="1024"/>
      <c r="J162" s="3459"/>
      <c r="K162" s="3459"/>
      <c r="L162" s="3459"/>
      <c r="M162" s="3459"/>
      <c r="N162" s="3459"/>
      <c r="O162" s="3459"/>
      <c r="P162" s="3459"/>
      <c r="Q162" s="3459"/>
      <c r="R162" s="3459"/>
      <c r="S162" s="3459"/>
      <c r="T162" s="3459"/>
      <c r="U162" s="3459"/>
    </row>
    <row r="163" spans="1:21" s="1011" customFormat="1" ht="14.25" customHeight="1">
      <c r="A163" s="3423" t="s">
        <v>1153</v>
      </c>
      <c r="B163" s="3423" t="s">
        <v>2864</v>
      </c>
      <c r="C163" s="3423">
        <v>9320</v>
      </c>
      <c r="D163" s="3423">
        <v>9270</v>
      </c>
      <c r="E163" s="3423">
        <v>11790</v>
      </c>
      <c r="F163" s="3429">
        <v>1920</v>
      </c>
      <c r="G163" s="3429">
        <v>5960</v>
      </c>
      <c r="I163" s="1024"/>
      <c r="J163" s="3459"/>
      <c r="K163" s="3459"/>
      <c r="L163" s="3459"/>
      <c r="M163" s="3459"/>
      <c r="N163" s="3459"/>
      <c r="O163" s="3459"/>
      <c r="P163" s="3459"/>
      <c r="Q163" s="3459"/>
      <c r="R163" s="3459"/>
      <c r="S163" s="3459"/>
      <c r="T163" s="3459"/>
      <c r="U163" s="3459"/>
    </row>
    <row r="164" spans="1:21" s="1011" customFormat="1" ht="14.25" customHeight="1">
      <c r="A164" s="3423" t="s">
        <v>1153</v>
      </c>
      <c r="B164" s="3423" t="s">
        <v>2865</v>
      </c>
      <c r="C164" s="3423"/>
      <c r="D164" s="3423"/>
      <c r="E164" s="3423"/>
      <c r="F164" s="3429">
        <v>1980</v>
      </c>
      <c r="G164" s="3429"/>
      <c r="I164" s="1024"/>
      <c r="J164" s="3459"/>
      <c r="K164" s="3459"/>
      <c r="L164" s="3459"/>
      <c r="M164" s="3459"/>
      <c r="N164" s="3459"/>
      <c r="O164" s="3459"/>
      <c r="P164" s="3459"/>
      <c r="Q164" s="3459"/>
      <c r="R164" s="3459"/>
      <c r="S164" s="3459"/>
      <c r="T164" s="3459"/>
      <c r="U164" s="3459"/>
    </row>
    <row r="165" spans="1:21" s="1011" customFormat="1" ht="14.25" customHeight="1">
      <c r="A165" s="3423" t="s">
        <v>1153</v>
      </c>
      <c r="B165" s="3423" t="s">
        <v>2866</v>
      </c>
      <c r="C165" s="3423">
        <v>11060</v>
      </c>
      <c r="D165" s="3423">
        <v>11030</v>
      </c>
      <c r="E165" s="3423">
        <v>13850</v>
      </c>
      <c r="F165" s="3429">
        <v>2170</v>
      </c>
      <c r="G165" s="3429">
        <v>7090</v>
      </c>
      <c r="I165" s="1024"/>
      <c r="J165" s="3459"/>
      <c r="K165" s="3459"/>
      <c r="L165" s="3459"/>
      <c r="M165" s="3459"/>
      <c r="N165" s="3459"/>
      <c r="O165" s="3459"/>
      <c r="P165" s="3459"/>
      <c r="Q165" s="3459"/>
      <c r="R165" s="3459"/>
      <c r="S165" s="3459"/>
      <c r="T165" s="3459"/>
      <c r="U165" s="3459"/>
    </row>
    <row r="166" spans="1:21" s="1011" customFormat="1" ht="14.25" customHeight="1">
      <c r="A166" s="3423" t="s">
        <v>1153</v>
      </c>
      <c r="B166" s="3423" t="s">
        <v>2867</v>
      </c>
      <c r="C166" s="3423">
        <v>11050</v>
      </c>
      <c r="D166" s="3423">
        <v>11010</v>
      </c>
      <c r="E166" s="3423">
        <v>13920</v>
      </c>
      <c r="F166" s="3429">
        <v>2140</v>
      </c>
      <c r="G166" s="3429">
        <v>7080</v>
      </c>
      <c r="I166" s="1024"/>
      <c r="J166" s="3459"/>
      <c r="K166" s="3459"/>
      <c r="L166" s="3459"/>
      <c r="M166" s="3459"/>
      <c r="N166" s="3459"/>
      <c r="O166" s="3459"/>
      <c r="P166" s="3459"/>
      <c r="Q166" s="3459"/>
      <c r="R166" s="3459"/>
      <c r="S166" s="3459"/>
      <c r="T166" s="3459"/>
      <c r="U166" s="3459"/>
    </row>
    <row r="167" spans="1:21" s="1011" customFormat="1" ht="14.25" customHeight="1">
      <c r="A167" s="3423" t="s">
        <v>1153</v>
      </c>
      <c r="B167" s="3423" t="s">
        <v>2868</v>
      </c>
      <c r="C167" s="3423">
        <v>10930</v>
      </c>
      <c r="D167" s="3423">
        <v>10890</v>
      </c>
      <c r="E167" s="3423">
        <v>13790</v>
      </c>
      <c r="F167" s="3429">
        <v>2010</v>
      </c>
      <c r="G167" s="3431">
        <v>7000</v>
      </c>
      <c r="I167" s="1024"/>
      <c r="J167" s="3459"/>
      <c r="K167" s="3459"/>
      <c r="L167" s="3459"/>
      <c r="M167" s="3459"/>
      <c r="N167" s="3459"/>
      <c r="O167" s="3459"/>
      <c r="P167" s="3459"/>
      <c r="Q167" s="3459"/>
      <c r="R167" s="3459"/>
      <c r="S167" s="3459"/>
      <c r="T167" s="3459"/>
      <c r="U167" s="3459"/>
    </row>
    <row r="168" spans="1:21" s="1011" customFormat="1" ht="14.25" customHeight="1">
      <c r="A168" s="3423" t="s">
        <v>1153</v>
      </c>
      <c r="B168" s="3423" t="s">
        <v>2869</v>
      </c>
      <c r="C168" s="3423">
        <v>9420</v>
      </c>
      <c r="D168" s="3423">
        <v>9380</v>
      </c>
      <c r="E168" s="3423">
        <v>11970</v>
      </c>
      <c r="F168" s="3429"/>
      <c r="G168" s="3431">
        <v>6040</v>
      </c>
      <c r="I168" s="1024"/>
      <c r="J168" s="3459"/>
      <c r="K168" s="3459"/>
      <c r="L168" s="3459"/>
      <c r="M168" s="3459"/>
      <c r="N168" s="3459"/>
      <c r="O168" s="3459"/>
      <c r="P168" s="3459"/>
      <c r="Q168" s="3459"/>
      <c r="R168" s="3459"/>
      <c r="S168" s="3459"/>
      <c r="T168" s="3459"/>
      <c r="U168" s="3459"/>
    </row>
    <row r="169" spans="1:21" s="1011" customFormat="1" ht="14.25" customHeight="1">
      <c r="A169" s="3423" t="s">
        <v>1153</v>
      </c>
      <c r="B169" s="3423" t="s">
        <v>2870</v>
      </c>
      <c r="C169" s="3423"/>
      <c r="D169" s="3423"/>
      <c r="E169" s="3423"/>
      <c r="F169" s="3429">
        <v>2880</v>
      </c>
      <c r="G169" s="3431"/>
      <c r="I169" s="1024"/>
      <c r="J169" s="3459"/>
      <c r="K169" s="3459"/>
      <c r="L169" s="3459"/>
      <c r="M169" s="3459"/>
      <c r="N169" s="3459"/>
      <c r="O169" s="3459"/>
      <c r="P169" s="3459"/>
      <c r="Q169" s="3459"/>
      <c r="R169" s="3459"/>
      <c r="S169" s="3459"/>
      <c r="T169" s="3459"/>
      <c r="U169" s="3459"/>
    </row>
    <row r="170" spans="1:21" s="1011" customFormat="1" ht="14.25" customHeight="1">
      <c r="A170" s="3423" t="s">
        <v>1153</v>
      </c>
      <c r="B170" s="3423" t="s">
        <v>2871</v>
      </c>
      <c r="C170" s="3423"/>
      <c r="D170" s="3423"/>
      <c r="E170" s="3423"/>
      <c r="F170" s="3429">
        <v>2880</v>
      </c>
      <c r="G170" s="3431"/>
      <c r="I170" s="1024"/>
      <c r="J170" s="3459"/>
      <c r="K170" s="3459"/>
      <c r="L170" s="3459"/>
      <c r="M170" s="3459"/>
      <c r="N170" s="3459"/>
      <c r="O170" s="3459"/>
      <c r="P170" s="3459"/>
      <c r="Q170" s="3459"/>
      <c r="R170" s="3459"/>
      <c r="S170" s="3459"/>
      <c r="T170" s="3459"/>
      <c r="U170" s="3459"/>
    </row>
    <row r="171" spans="1:21" s="1011" customFormat="1" ht="14.25" customHeight="1">
      <c r="A171" s="3423" t="s">
        <v>1153</v>
      </c>
      <c r="B171" s="3423" t="s">
        <v>2872</v>
      </c>
      <c r="C171" s="3423"/>
      <c r="D171" s="3423"/>
      <c r="E171" s="3423"/>
      <c r="F171" s="3429">
        <v>2880</v>
      </c>
      <c r="G171" s="3429"/>
      <c r="I171" s="1024"/>
      <c r="J171" s="3459"/>
      <c r="K171" s="3459"/>
      <c r="L171" s="3459"/>
      <c r="M171" s="3459"/>
      <c r="N171" s="3459"/>
      <c r="O171" s="3459"/>
      <c r="P171" s="3459"/>
      <c r="Q171" s="3459"/>
      <c r="R171" s="3459"/>
      <c r="S171" s="3459"/>
      <c r="T171" s="3459"/>
      <c r="U171" s="3459"/>
    </row>
    <row r="172" spans="1:21" s="1011" customFormat="1" ht="14.25" customHeight="1">
      <c r="A172" s="3423" t="s">
        <v>1153</v>
      </c>
      <c r="B172" s="3423" t="s">
        <v>2873</v>
      </c>
      <c r="C172" s="3423"/>
      <c r="D172" s="3423"/>
      <c r="E172" s="3423"/>
      <c r="F172" s="3429">
        <v>2880</v>
      </c>
      <c r="G172" s="3431"/>
      <c r="I172" s="1024"/>
      <c r="J172" s="3459"/>
      <c r="K172" s="3459"/>
      <c r="L172" s="3459"/>
      <c r="M172" s="3459"/>
      <c r="N172" s="3459"/>
      <c r="O172" s="3459"/>
      <c r="P172" s="3459"/>
      <c r="Q172" s="3459"/>
      <c r="R172" s="3459"/>
      <c r="S172" s="3459"/>
      <c r="T172" s="3459"/>
      <c r="U172" s="3459"/>
    </row>
    <row r="173" spans="1:21" s="1011" customFormat="1" ht="14.25" customHeight="1">
      <c r="A173" s="3423" t="s">
        <v>1153</v>
      </c>
      <c r="B173" s="3423" t="s">
        <v>2874</v>
      </c>
      <c r="C173" s="3423"/>
      <c r="D173" s="3423"/>
      <c r="E173" s="3423"/>
      <c r="F173" s="3429">
        <v>2150</v>
      </c>
      <c r="G173" s="3431"/>
      <c r="I173" s="1024"/>
      <c r="J173" s="3459"/>
      <c r="K173" s="3459"/>
      <c r="L173" s="3459"/>
      <c r="M173" s="3459"/>
      <c r="N173" s="3459"/>
      <c r="O173" s="3459"/>
      <c r="P173" s="3459"/>
      <c r="Q173" s="3459"/>
      <c r="R173" s="3459"/>
      <c r="S173" s="3459"/>
      <c r="T173" s="3459"/>
      <c r="U173" s="3459"/>
    </row>
    <row r="174" spans="1:21" s="1011" customFormat="1" ht="14.25" customHeight="1">
      <c r="A174" s="3423" t="s">
        <v>1153</v>
      </c>
      <c r="B174" s="3423" t="s">
        <v>2875</v>
      </c>
      <c r="C174" s="3423"/>
      <c r="D174" s="3423"/>
      <c r="E174" s="3423"/>
      <c r="F174" s="3429">
        <v>2030</v>
      </c>
      <c r="G174" s="3429"/>
      <c r="I174" s="1024"/>
      <c r="J174" s="3459"/>
      <c r="K174" s="3459"/>
      <c r="L174" s="3459"/>
      <c r="M174" s="3459"/>
      <c r="N174" s="3459"/>
      <c r="O174" s="3459"/>
      <c r="P174" s="3459"/>
      <c r="Q174" s="3459"/>
      <c r="R174" s="3459"/>
      <c r="S174" s="3459"/>
      <c r="T174" s="3459"/>
      <c r="U174" s="3459"/>
    </row>
    <row r="175" spans="1:21" s="1011" customFormat="1" ht="14.25" customHeight="1">
      <c r="A175" s="3423" t="s">
        <v>1153</v>
      </c>
      <c r="B175" s="3423" t="s">
        <v>2876</v>
      </c>
      <c r="C175" s="3423"/>
      <c r="D175" s="3423"/>
      <c r="E175" s="3423"/>
      <c r="F175" s="3429">
        <v>2780</v>
      </c>
      <c r="G175" s="3429"/>
      <c r="I175" s="1024"/>
      <c r="J175" s="3459"/>
      <c r="K175" s="3459"/>
      <c r="L175" s="3459"/>
      <c r="M175" s="3459"/>
      <c r="N175" s="3459"/>
      <c r="O175" s="3459"/>
      <c r="P175" s="3459"/>
      <c r="Q175" s="3459"/>
      <c r="R175" s="3459"/>
      <c r="S175" s="3459"/>
      <c r="T175" s="3459"/>
      <c r="U175" s="3459"/>
    </row>
    <row r="176" spans="1:21" s="1011" customFormat="1" ht="14.25" customHeight="1">
      <c r="A176" s="3423" t="s">
        <v>1153</v>
      </c>
      <c r="B176" s="3423" t="s">
        <v>2877</v>
      </c>
      <c r="C176" s="3423"/>
      <c r="D176" s="3423"/>
      <c r="E176" s="3423"/>
      <c r="F176" s="3429">
        <v>2780</v>
      </c>
      <c r="G176" s="3429"/>
      <c r="I176" s="1024"/>
      <c r="J176" s="3459"/>
      <c r="K176" s="3459"/>
      <c r="L176" s="3459"/>
      <c r="M176" s="3459"/>
      <c r="N176" s="3459"/>
      <c r="O176" s="3459"/>
      <c r="P176" s="3459"/>
      <c r="Q176" s="3459"/>
      <c r="R176" s="3459"/>
      <c r="S176" s="3459"/>
      <c r="T176" s="3459"/>
      <c r="U176" s="3459"/>
    </row>
    <row r="177" spans="1:21" s="1011" customFormat="1" ht="14.25" customHeight="1">
      <c r="A177" s="3423" t="s">
        <v>1153</v>
      </c>
      <c r="B177" s="3423" t="s">
        <v>2878</v>
      </c>
      <c r="C177" s="3423"/>
      <c r="D177" s="3423"/>
      <c r="E177" s="3423"/>
      <c r="F177" s="3429">
        <v>2780</v>
      </c>
      <c r="G177" s="3429"/>
      <c r="I177" s="1024"/>
      <c r="J177" s="3459"/>
      <c r="K177" s="3459"/>
      <c r="L177" s="3459"/>
      <c r="M177" s="3459"/>
      <c r="N177" s="3459"/>
      <c r="O177" s="3459"/>
      <c r="P177" s="3459"/>
      <c r="Q177" s="3459"/>
      <c r="R177" s="3459"/>
      <c r="S177" s="3459"/>
      <c r="T177" s="3459"/>
      <c r="U177" s="3459"/>
    </row>
    <row r="178" spans="1:21" s="1011" customFormat="1" ht="14.25" customHeight="1">
      <c r="A178" s="3423" t="s">
        <v>1153</v>
      </c>
      <c r="B178" s="3423" t="s">
        <v>2879</v>
      </c>
      <c r="C178" s="3423"/>
      <c r="D178" s="3423"/>
      <c r="E178" s="3423"/>
      <c r="F178" s="3429">
        <v>2060</v>
      </c>
      <c r="G178" s="3429"/>
      <c r="I178" s="1024"/>
      <c r="J178" s="3459"/>
      <c r="K178" s="3459"/>
      <c r="L178" s="3459"/>
      <c r="M178" s="3459"/>
      <c r="N178" s="3459"/>
      <c r="O178" s="3459"/>
      <c r="P178" s="3459"/>
      <c r="Q178" s="3459"/>
      <c r="R178" s="3459"/>
      <c r="S178" s="3459"/>
      <c r="T178" s="3459"/>
      <c r="U178" s="3459"/>
    </row>
    <row r="179" spans="1:21" s="1011" customFormat="1" ht="14.25" customHeight="1">
      <c r="A179" s="3423" t="s">
        <v>1153</v>
      </c>
      <c r="B179" s="3423" t="s">
        <v>2880</v>
      </c>
      <c r="C179" s="3423"/>
      <c r="D179" s="3423"/>
      <c r="E179" s="3423"/>
      <c r="F179" s="3429">
        <v>2120</v>
      </c>
      <c r="G179" s="3431"/>
      <c r="I179" s="1024"/>
      <c r="J179" s="3459"/>
      <c r="K179" s="3459"/>
      <c r="L179" s="3459"/>
      <c r="M179" s="3459"/>
      <c r="N179" s="3459"/>
      <c r="O179" s="3459"/>
      <c r="P179" s="3459"/>
      <c r="Q179" s="3459"/>
      <c r="R179" s="3459"/>
      <c r="S179" s="3459"/>
      <c r="T179" s="3459"/>
      <c r="U179" s="3459"/>
    </row>
    <row r="180" spans="1:21" s="1011" customFormat="1" ht="14.25" customHeight="1">
      <c r="A180" s="3423" t="s">
        <v>1153</v>
      </c>
      <c r="B180" s="3423" t="s">
        <v>2881</v>
      </c>
      <c r="C180" s="3423"/>
      <c r="D180" s="3423"/>
      <c r="E180" s="3423"/>
      <c r="F180" s="3429">
        <v>2340</v>
      </c>
      <c r="G180" s="3429"/>
      <c r="I180" s="1024"/>
      <c r="J180" s="3459"/>
      <c r="K180" s="3459"/>
      <c r="L180" s="3459"/>
      <c r="M180" s="3459"/>
      <c r="N180" s="3459"/>
      <c r="O180" s="3459"/>
      <c r="P180" s="3459"/>
      <c r="Q180" s="3459"/>
      <c r="R180" s="3459"/>
      <c r="S180" s="3459"/>
      <c r="T180" s="3459"/>
      <c r="U180" s="3459"/>
    </row>
    <row r="181" spans="1:21" s="1011" customFormat="1" ht="14.25" customHeight="1">
      <c r="A181" s="3423" t="s">
        <v>1153</v>
      </c>
      <c r="B181" s="3423" t="s">
        <v>2882</v>
      </c>
      <c r="C181" s="3423"/>
      <c r="D181" s="3423"/>
      <c r="E181" s="3423"/>
      <c r="F181" s="3429">
        <v>2340</v>
      </c>
      <c r="G181" s="3429"/>
      <c r="I181" s="1024"/>
      <c r="J181" s="3459"/>
      <c r="K181" s="3459"/>
      <c r="L181" s="3459"/>
      <c r="M181" s="3459"/>
      <c r="N181" s="3459"/>
      <c r="O181" s="3459"/>
      <c r="P181" s="3459"/>
      <c r="Q181" s="3459"/>
      <c r="R181" s="3459"/>
      <c r="S181" s="3459"/>
      <c r="T181" s="3459"/>
      <c r="U181" s="3459"/>
    </row>
    <row r="182" spans="1:21" s="1011" customFormat="1" ht="14.25" customHeight="1">
      <c r="A182" s="3423" t="s">
        <v>1153</v>
      </c>
      <c r="B182" s="3423" t="s">
        <v>2883</v>
      </c>
      <c r="C182" s="3423"/>
      <c r="D182" s="3423"/>
      <c r="E182" s="3423"/>
      <c r="F182" s="3429">
        <v>2340</v>
      </c>
      <c r="G182" s="3429"/>
      <c r="I182" s="1024"/>
      <c r="J182" s="3459"/>
      <c r="K182" s="3459"/>
      <c r="L182" s="3459"/>
      <c r="M182" s="3459"/>
      <c r="N182" s="3459"/>
      <c r="O182" s="3459"/>
      <c r="P182" s="3459"/>
      <c r="Q182" s="3459"/>
      <c r="R182" s="3459"/>
      <c r="S182" s="3459"/>
      <c r="T182" s="3459"/>
      <c r="U182" s="3459"/>
    </row>
    <row r="183" spans="1:21" s="1011" customFormat="1" ht="14.25" customHeight="1">
      <c r="A183" s="3423" t="s">
        <v>1153</v>
      </c>
      <c r="B183" s="3423" t="s">
        <v>2884</v>
      </c>
      <c r="C183" s="3423"/>
      <c r="D183" s="3423"/>
      <c r="E183" s="3423"/>
      <c r="F183" s="3429">
        <v>2340</v>
      </c>
      <c r="G183" s="3431"/>
      <c r="I183" s="1024"/>
      <c r="J183" s="3459"/>
      <c r="K183" s="3459"/>
      <c r="L183" s="3459"/>
      <c r="M183" s="3459"/>
      <c r="N183" s="3459"/>
      <c r="O183" s="3459"/>
      <c r="P183" s="3459"/>
      <c r="Q183" s="3459"/>
      <c r="R183" s="3459"/>
      <c r="S183" s="3459"/>
      <c r="T183" s="3459"/>
      <c r="U183" s="3459"/>
    </row>
    <row r="184" spans="1:21" s="1011" customFormat="1" ht="14.25" customHeight="1">
      <c r="A184" s="3423" t="s">
        <v>1153</v>
      </c>
      <c r="B184" s="3423" t="s">
        <v>2885</v>
      </c>
      <c r="C184" s="3423"/>
      <c r="D184" s="3423"/>
      <c r="E184" s="3423"/>
      <c r="F184" s="3429">
        <v>2340</v>
      </c>
      <c r="G184" s="3431"/>
      <c r="I184" s="1024"/>
      <c r="J184" s="3459"/>
      <c r="K184" s="3459"/>
      <c r="L184" s="3459"/>
      <c r="M184" s="3459"/>
      <c r="N184" s="3459"/>
      <c r="O184" s="3459"/>
      <c r="P184" s="3459"/>
      <c r="Q184" s="3459"/>
      <c r="R184" s="3459"/>
      <c r="S184" s="3459"/>
      <c r="T184" s="3459"/>
      <c r="U184" s="3459"/>
    </row>
    <row r="185" spans="1:21" s="1011" customFormat="1" ht="14.25" customHeight="1">
      <c r="A185" s="3423" t="s">
        <v>1153</v>
      </c>
      <c r="B185" s="3423" t="s">
        <v>2886</v>
      </c>
      <c r="C185" s="3423"/>
      <c r="D185" s="3423"/>
      <c r="E185" s="3423"/>
      <c r="F185" s="3429">
        <v>2530</v>
      </c>
      <c r="G185" s="3429"/>
      <c r="I185" s="1024"/>
      <c r="J185" s="3459"/>
      <c r="K185" s="3459"/>
      <c r="L185" s="3459"/>
      <c r="M185" s="3459"/>
      <c r="N185" s="3459"/>
      <c r="O185" s="3459"/>
      <c r="P185" s="3459"/>
      <c r="Q185" s="3459"/>
      <c r="R185" s="3459"/>
      <c r="S185" s="3459"/>
      <c r="T185" s="3459"/>
      <c r="U185" s="3459"/>
    </row>
    <row r="186" spans="1:21" s="1011" customFormat="1" ht="14.25" customHeight="1">
      <c r="A186" s="3423" t="s">
        <v>1153</v>
      </c>
      <c r="B186" s="3423" t="s">
        <v>2887</v>
      </c>
      <c r="C186" s="3423"/>
      <c r="D186" s="3423"/>
      <c r="E186" s="3423"/>
      <c r="F186" s="3429">
        <v>2550</v>
      </c>
      <c r="G186" s="3429"/>
      <c r="I186" s="1024"/>
      <c r="J186" s="3459"/>
      <c r="K186" s="3459"/>
      <c r="L186" s="3459"/>
      <c r="M186" s="3459"/>
      <c r="N186" s="3459"/>
      <c r="O186" s="3459"/>
      <c r="P186" s="3459"/>
      <c r="Q186" s="3459"/>
      <c r="R186" s="3459"/>
      <c r="S186" s="3459"/>
      <c r="T186" s="3459"/>
      <c r="U186" s="3459"/>
    </row>
    <row r="187" spans="1:21" s="1011" customFormat="1" ht="14.25" customHeight="1">
      <c r="A187" s="3423" t="s">
        <v>1153</v>
      </c>
      <c r="B187" s="3423" t="s">
        <v>2888</v>
      </c>
      <c r="C187" s="3423"/>
      <c r="D187" s="3423"/>
      <c r="E187" s="3423"/>
      <c r="F187" s="3429">
        <v>2070</v>
      </c>
      <c r="G187" s="3429"/>
      <c r="I187" s="1024"/>
      <c r="J187" s="3459"/>
      <c r="K187" s="3459"/>
      <c r="L187" s="3459"/>
      <c r="M187" s="3459"/>
      <c r="N187" s="3459"/>
      <c r="O187" s="3459"/>
      <c r="P187" s="3459"/>
      <c r="Q187" s="3459"/>
      <c r="R187" s="3459"/>
      <c r="S187" s="3459"/>
      <c r="T187" s="3459"/>
      <c r="U187" s="3459"/>
    </row>
    <row r="188" spans="1:21" s="1011" customFormat="1" ht="14.25" customHeight="1">
      <c r="A188" s="3423" t="s">
        <v>1153</v>
      </c>
      <c r="B188" s="3423" t="s">
        <v>2889</v>
      </c>
      <c r="C188" s="3423"/>
      <c r="D188" s="3423"/>
      <c r="E188" s="3423"/>
      <c r="F188" s="3429">
        <v>2340</v>
      </c>
      <c r="G188" s="3429"/>
      <c r="I188" s="1024"/>
      <c r="J188" s="3459"/>
      <c r="K188" s="3459"/>
      <c r="L188" s="3459"/>
      <c r="M188" s="3459"/>
      <c r="N188" s="3459"/>
      <c r="O188" s="3459"/>
      <c r="P188" s="3459"/>
      <c r="Q188" s="3459"/>
      <c r="R188" s="3459"/>
      <c r="S188" s="3459"/>
      <c r="T188" s="3459"/>
      <c r="U188" s="3459"/>
    </row>
    <row r="189" spans="1:21" s="1011" customFormat="1" ht="14.25" customHeight="1" thickBot="1">
      <c r="A189" s="3438" t="s">
        <v>1153</v>
      </c>
      <c r="B189" s="3426" t="s">
        <v>2890</v>
      </c>
      <c r="C189" s="3426"/>
      <c r="D189" s="3426"/>
      <c r="E189" s="3426"/>
      <c r="F189" s="3427">
        <v>2050</v>
      </c>
      <c r="G189" s="3439"/>
      <c r="I189" s="1024"/>
      <c r="J189" s="3459"/>
      <c r="K189" s="3459"/>
      <c r="L189" s="3459"/>
      <c r="M189" s="3459"/>
      <c r="N189" s="3459"/>
      <c r="O189" s="3459"/>
      <c r="P189" s="3459"/>
      <c r="Q189" s="3459"/>
      <c r="R189" s="3459"/>
      <c r="S189" s="3459"/>
      <c r="T189" s="3459"/>
      <c r="U189" s="3459"/>
    </row>
    <row r="190" spans="1:21" s="1011" customFormat="1" ht="14.25" customHeight="1">
      <c r="A190" s="3437" t="s">
        <v>1154</v>
      </c>
      <c r="B190" s="1289" t="s">
        <v>2891</v>
      </c>
      <c r="C190" s="1289">
        <v>8830</v>
      </c>
      <c r="D190" s="1289">
        <v>8790</v>
      </c>
      <c r="E190" s="1289">
        <v>11630</v>
      </c>
      <c r="F190" s="3424">
        <v>1790</v>
      </c>
      <c r="G190" s="3424">
        <v>5550</v>
      </c>
      <c r="I190" s="1024"/>
      <c r="J190" s="3459"/>
      <c r="K190" s="3459"/>
      <c r="L190" s="3459"/>
      <c r="M190" s="3459"/>
      <c r="N190" s="3459"/>
      <c r="O190" s="3459"/>
      <c r="P190" s="3459"/>
      <c r="Q190" s="3459"/>
      <c r="R190" s="3459"/>
      <c r="S190" s="3459"/>
      <c r="T190" s="3459"/>
      <c r="U190" s="3459"/>
    </row>
    <row r="191" spans="1:21" s="1011" customFormat="1" ht="14.25" customHeight="1">
      <c r="A191" s="3423" t="s">
        <v>1154</v>
      </c>
      <c r="B191" s="3423" t="s">
        <v>978</v>
      </c>
      <c r="C191" s="3423">
        <v>9780</v>
      </c>
      <c r="D191" s="3423">
        <v>9710</v>
      </c>
      <c r="E191" s="3423">
        <v>12550</v>
      </c>
      <c r="F191" s="3429">
        <v>1980</v>
      </c>
      <c r="G191" s="3429">
        <v>6130</v>
      </c>
      <c r="I191" s="1024"/>
      <c r="J191" s="3459"/>
      <c r="K191" s="3459"/>
      <c r="L191" s="3459"/>
      <c r="M191" s="3459"/>
      <c r="N191" s="3459"/>
      <c r="O191" s="3459"/>
      <c r="P191" s="3459"/>
      <c r="Q191" s="3459"/>
      <c r="R191" s="3459"/>
      <c r="S191" s="3459"/>
      <c r="T191" s="3459"/>
      <c r="U191" s="3459"/>
    </row>
    <row r="192" spans="1:21" s="1011" customFormat="1" ht="14.25" customHeight="1">
      <c r="A192" s="3423" t="s">
        <v>1154</v>
      </c>
      <c r="B192" s="3423" t="s">
        <v>988</v>
      </c>
      <c r="C192" s="3423">
        <v>8180</v>
      </c>
      <c r="D192" s="3423">
        <v>8140</v>
      </c>
      <c r="E192" s="3423">
        <v>10870</v>
      </c>
      <c r="F192" s="3429">
        <v>1690</v>
      </c>
      <c r="G192" s="3429">
        <v>5140</v>
      </c>
      <c r="I192" s="1024"/>
      <c r="J192" s="3459"/>
      <c r="K192" s="3459"/>
      <c r="L192" s="3459"/>
      <c r="M192" s="3459"/>
      <c r="N192" s="3459"/>
      <c r="O192" s="3459"/>
      <c r="P192" s="3459"/>
      <c r="Q192" s="3459"/>
      <c r="R192" s="3459"/>
      <c r="S192" s="3459"/>
      <c r="T192" s="3459"/>
      <c r="U192" s="3459"/>
    </row>
    <row r="193" spans="1:21" s="1011" customFormat="1" ht="14.25" customHeight="1">
      <c r="A193" s="3423" t="s">
        <v>1154</v>
      </c>
      <c r="B193" s="3423" t="s">
        <v>997</v>
      </c>
      <c r="C193" s="3423">
        <v>8440</v>
      </c>
      <c r="D193" s="3423">
        <v>8390</v>
      </c>
      <c r="E193" s="3423">
        <v>11210</v>
      </c>
      <c r="F193" s="3429">
        <v>1600</v>
      </c>
      <c r="G193" s="3429">
        <v>5300</v>
      </c>
      <c r="I193" s="1024"/>
      <c r="J193" s="3459"/>
      <c r="K193" s="3459"/>
      <c r="L193" s="3459"/>
      <c r="M193" s="3459"/>
      <c r="N193" s="3459"/>
      <c r="O193" s="3459"/>
      <c r="P193" s="3459"/>
      <c r="Q193" s="3459"/>
      <c r="R193" s="3459"/>
      <c r="S193" s="3459"/>
      <c r="T193" s="3459"/>
      <c r="U193" s="3459"/>
    </row>
    <row r="194" spans="1:21" s="1011" customFormat="1" ht="14.25" customHeight="1">
      <c r="A194" s="3423" t="s">
        <v>1154</v>
      </c>
      <c r="B194" s="3423" t="s">
        <v>1007</v>
      </c>
      <c r="C194" s="3423">
        <v>8780</v>
      </c>
      <c r="D194" s="3423">
        <v>8730</v>
      </c>
      <c r="E194" s="3423">
        <v>11550</v>
      </c>
      <c r="F194" s="3429">
        <v>1660</v>
      </c>
      <c r="G194" s="3429">
        <v>5520</v>
      </c>
      <c r="I194" s="1024"/>
      <c r="J194" s="3459"/>
      <c r="K194" s="3459"/>
      <c r="L194" s="3459"/>
      <c r="M194" s="3459"/>
      <c r="N194" s="3459"/>
      <c r="O194" s="3459"/>
      <c r="P194" s="3459"/>
      <c r="Q194" s="3459"/>
      <c r="R194" s="3459"/>
      <c r="S194" s="3459"/>
      <c r="T194" s="3459"/>
      <c r="U194" s="3459"/>
    </row>
    <row r="195" spans="1:21" s="1011" customFormat="1" ht="14.25" customHeight="1">
      <c r="A195" s="3423" t="s">
        <v>1154</v>
      </c>
      <c r="B195" s="3423" t="s">
        <v>1014</v>
      </c>
      <c r="C195" s="3423">
        <v>8720</v>
      </c>
      <c r="D195" s="3423">
        <v>8670</v>
      </c>
      <c r="E195" s="3423">
        <v>11450</v>
      </c>
      <c r="F195" s="3429">
        <v>1720</v>
      </c>
      <c r="G195" s="3429">
        <v>5480</v>
      </c>
      <c r="I195" s="1024"/>
      <c r="J195" s="3459"/>
      <c r="K195" s="3459"/>
      <c r="L195" s="3459"/>
      <c r="M195" s="3459"/>
      <c r="N195" s="3459"/>
      <c r="O195" s="3459"/>
      <c r="P195" s="3459"/>
      <c r="Q195" s="3459"/>
      <c r="R195" s="3459"/>
      <c r="S195" s="3459"/>
      <c r="T195" s="3459"/>
      <c r="U195" s="3459"/>
    </row>
    <row r="196" spans="1:21" s="1011" customFormat="1" ht="14.25" customHeight="1">
      <c r="A196" s="3423" t="s">
        <v>1154</v>
      </c>
      <c r="B196" s="3423" t="s">
        <v>1020</v>
      </c>
      <c r="C196" s="3423">
        <v>8460</v>
      </c>
      <c r="D196" s="3423">
        <v>8410</v>
      </c>
      <c r="E196" s="3423">
        <v>11230</v>
      </c>
      <c r="F196" s="3429">
        <v>1730</v>
      </c>
      <c r="G196" s="3429">
        <v>5310</v>
      </c>
      <c r="I196" s="1024"/>
      <c r="J196" s="3459"/>
      <c r="K196" s="3459"/>
      <c r="L196" s="3459"/>
      <c r="M196" s="3459"/>
      <c r="N196" s="3459"/>
      <c r="O196" s="3459"/>
      <c r="P196" s="3459"/>
      <c r="Q196" s="3459"/>
      <c r="R196" s="3459"/>
      <c r="S196" s="3459"/>
      <c r="T196" s="3459"/>
      <c r="U196" s="3459"/>
    </row>
    <row r="197" spans="1:21" s="1011" customFormat="1" ht="14.25" customHeight="1">
      <c r="A197" s="3423" t="s">
        <v>1154</v>
      </c>
      <c r="B197" s="3423" t="s">
        <v>1027</v>
      </c>
      <c r="C197" s="3423">
        <v>8790</v>
      </c>
      <c r="D197" s="3423">
        <v>8730</v>
      </c>
      <c r="E197" s="3423">
        <v>11560</v>
      </c>
      <c r="F197" s="3429">
        <v>1750</v>
      </c>
      <c r="G197" s="3429">
        <v>5520</v>
      </c>
      <c r="I197" s="1024"/>
      <c r="J197" s="3459"/>
      <c r="K197" s="3459"/>
      <c r="L197" s="3459"/>
      <c r="M197" s="3459"/>
      <c r="N197" s="3459"/>
      <c r="O197" s="3459"/>
      <c r="P197" s="3459"/>
      <c r="Q197" s="3459"/>
      <c r="R197" s="3459"/>
      <c r="S197" s="3459"/>
      <c r="T197" s="3459"/>
      <c r="U197" s="3459"/>
    </row>
    <row r="198" spans="1:21" s="1011" customFormat="1" ht="14.25" customHeight="1">
      <c r="A198" s="3423" t="s">
        <v>1154</v>
      </c>
      <c r="B198" s="3423" t="s">
        <v>1037</v>
      </c>
      <c r="C198" s="3423">
        <v>8720</v>
      </c>
      <c r="D198" s="3423">
        <v>8680</v>
      </c>
      <c r="E198" s="3423">
        <v>11470</v>
      </c>
      <c r="F198" s="3429"/>
      <c r="G198" s="3429">
        <v>5480</v>
      </c>
      <c r="I198" s="1024"/>
      <c r="J198" s="3459"/>
      <c r="K198" s="3459"/>
      <c r="L198" s="3459"/>
      <c r="M198" s="3459"/>
      <c r="N198" s="3459"/>
      <c r="O198" s="3459"/>
      <c r="P198" s="3459"/>
      <c r="Q198" s="3459"/>
      <c r="R198" s="3459"/>
      <c r="S198" s="3459"/>
      <c r="T198" s="3459"/>
      <c r="U198" s="3459"/>
    </row>
    <row r="199" spans="1:21" s="1011" customFormat="1" ht="14.25" customHeight="1">
      <c r="A199" s="3423" t="s">
        <v>1154</v>
      </c>
      <c r="B199" s="3423" t="s">
        <v>2892</v>
      </c>
      <c r="C199" s="3423">
        <v>8690</v>
      </c>
      <c r="D199" s="3423">
        <v>8630</v>
      </c>
      <c r="E199" s="3423">
        <v>11350</v>
      </c>
      <c r="F199" s="3429">
        <v>1600</v>
      </c>
      <c r="G199" s="3429">
        <v>5450</v>
      </c>
      <c r="I199" s="1024"/>
      <c r="J199" s="3459"/>
      <c r="K199" s="3459"/>
      <c r="L199" s="3459"/>
      <c r="M199" s="3459"/>
      <c r="N199" s="3459"/>
      <c r="O199" s="3459"/>
      <c r="P199" s="3459"/>
      <c r="Q199" s="3459"/>
      <c r="R199" s="3459"/>
      <c r="S199" s="3459"/>
      <c r="T199" s="3459"/>
      <c r="U199" s="3459"/>
    </row>
    <row r="200" spans="1:21" s="1011" customFormat="1" ht="14.25" customHeight="1">
      <c r="A200" s="3423" t="s">
        <v>1154</v>
      </c>
      <c r="B200" s="3423" t="s">
        <v>2893</v>
      </c>
      <c r="C200" s="3423"/>
      <c r="D200" s="3423"/>
      <c r="E200" s="3423"/>
      <c r="F200" s="3429">
        <v>1510</v>
      </c>
      <c r="G200" s="3429"/>
      <c r="I200" s="1024"/>
      <c r="J200" s="3459"/>
      <c r="K200" s="3459"/>
      <c r="L200" s="3459"/>
      <c r="M200" s="3459"/>
      <c r="N200" s="3459"/>
      <c r="O200" s="3459"/>
      <c r="P200" s="3459"/>
      <c r="Q200" s="3459"/>
      <c r="R200" s="3459"/>
      <c r="S200" s="3459"/>
      <c r="T200" s="3459"/>
      <c r="U200" s="3459"/>
    </row>
    <row r="201" spans="1:21" s="1011" customFormat="1" ht="14.25" customHeight="1">
      <c r="A201" s="3423" t="s">
        <v>1154</v>
      </c>
      <c r="B201" s="3423" t="s">
        <v>2894</v>
      </c>
      <c r="C201" s="3423">
        <v>8440</v>
      </c>
      <c r="D201" s="3423">
        <v>8390</v>
      </c>
      <c r="E201" s="3423">
        <v>10930</v>
      </c>
      <c r="F201" s="3429">
        <v>1500</v>
      </c>
      <c r="G201" s="3429">
        <v>5300</v>
      </c>
      <c r="I201" s="1024"/>
      <c r="J201" s="3459"/>
      <c r="K201" s="3459"/>
      <c r="L201" s="3459"/>
      <c r="M201" s="3459"/>
      <c r="N201" s="3459"/>
      <c r="O201" s="3459"/>
      <c r="P201" s="3459"/>
      <c r="Q201" s="3459"/>
      <c r="R201" s="3459"/>
      <c r="S201" s="3459"/>
      <c r="T201" s="3459"/>
      <c r="U201" s="3459"/>
    </row>
    <row r="202" spans="1:21" s="1011" customFormat="1" ht="14.25" customHeight="1">
      <c r="A202" s="3423" t="s">
        <v>1154</v>
      </c>
      <c r="B202" s="3423" t="s">
        <v>1088</v>
      </c>
      <c r="C202" s="3423">
        <v>8530</v>
      </c>
      <c r="D202" s="3423">
        <v>8490</v>
      </c>
      <c r="E202" s="3423">
        <v>11160</v>
      </c>
      <c r="F202" s="3429">
        <v>1580</v>
      </c>
      <c r="G202" s="3429">
        <v>5360</v>
      </c>
      <c r="I202" s="1024"/>
      <c r="J202" s="3459"/>
      <c r="K202" s="3459"/>
      <c r="L202" s="3459"/>
      <c r="M202" s="3459"/>
      <c r="N202" s="3459"/>
      <c r="O202" s="3459"/>
      <c r="P202" s="3459"/>
      <c r="Q202" s="3459"/>
      <c r="R202" s="3459"/>
      <c r="S202" s="3459"/>
      <c r="T202" s="3459"/>
      <c r="U202" s="3459"/>
    </row>
    <row r="203" spans="1:21" s="1011" customFormat="1" ht="14.25" customHeight="1">
      <c r="A203" s="3423" t="s">
        <v>1154</v>
      </c>
      <c r="B203" s="3423" t="s">
        <v>2895</v>
      </c>
      <c r="C203" s="3423">
        <v>8130</v>
      </c>
      <c r="D203" s="3423">
        <v>8070</v>
      </c>
      <c r="E203" s="3423">
        <v>10820</v>
      </c>
      <c r="F203" s="3429">
        <v>1690</v>
      </c>
      <c r="G203" s="3429">
        <v>5100</v>
      </c>
      <c r="I203" s="1024"/>
      <c r="J203" s="3459"/>
      <c r="K203" s="3459"/>
      <c r="L203" s="3459"/>
      <c r="M203" s="3459"/>
      <c r="N203" s="3459"/>
      <c r="O203" s="3459"/>
      <c r="P203" s="3459"/>
      <c r="Q203" s="3459"/>
      <c r="R203" s="3459"/>
      <c r="S203" s="3459"/>
      <c r="T203" s="3459"/>
      <c r="U203" s="3459"/>
    </row>
    <row r="204" spans="1:21" s="1011" customFormat="1" ht="14.25" customHeight="1">
      <c r="A204" s="3423" t="s">
        <v>1154</v>
      </c>
      <c r="B204" s="3423" t="s">
        <v>2896</v>
      </c>
      <c r="C204" s="3423">
        <v>8350</v>
      </c>
      <c r="D204" s="3423">
        <v>8290</v>
      </c>
      <c r="E204" s="3423">
        <v>11080</v>
      </c>
      <c r="F204" s="3429">
        <v>1450</v>
      </c>
      <c r="G204" s="3429">
        <v>5240</v>
      </c>
      <c r="I204" s="1024"/>
      <c r="J204" s="3459"/>
      <c r="K204" s="3459"/>
      <c r="L204" s="3459"/>
      <c r="M204" s="3459"/>
      <c r="N204" s="3459"/>
      <c r="O204" s="3459"/>
      <c r="P204" s="3459"/>
      <c r="Q204" s="3459"/>
      <c r="R204" s="3459"/>
      <c r="S204" s="3459"/>
      <c r="T204" s="3459"/>
      <c r="U204" s="3459"/>
    </row>
    <row r="205" spans="1:21" s="1011" customFormat="1" ht="14.25" customHeight="1">
      <c r="A205" s="3423" t="s">
        <v>1154</v>
      </c>
      <c r="B205" s="3423" t="s">
        <v>2897</v>
      </c>
      <c r="C205" s="3423">
        <v>7190</v>
      </c>
      <c r="D205" s="3423">
        <v>7130</v>
      </c>
      <c r="E205" s="3423">
        <v>9490</v>
      </c>
      <c r="F205" s="3429">
        <v>1470</v>
      </c>
      <c r="G205" s="3436">
        <v>4510</v>
      </c>
      <c r="I205" s="1024"/>
      <c r="J205" s="3459"/>
      <c r="K205" s="3459"/>
      <c r="L205" s="3459"/>
      <c r="M205" s="3459"/>
      <c r="N205" s="3459"/>
      <c r="O205" s="3459"/>
      <c r="P205" s="3459"/>
      <c r="Q205" s="3459"/>
      <c r="R205" s="3459"/>
      <c r="S205" s="3459"/>
      <c r="T205" s="3459"/>
      <c r="U205" s="3459"/>
    </row>
    <row r="206" spans="1:21" s="1011" customFormat="1" ht="14.25" customHeight="1">
      <c r="A206" s="1289" t="s">
        <v>1154</v>
      </c>
      <c r="B206" s="1289" t="s">
        <v>2898</v>
      </c>
      <c r="C206" s="1289">
        <v>7000</v>
      </c>
      <c r="D206" s="1289">
        <v>6950</v>
      </c>
      <c r="E206" s="1289">
        <v>9170</v>
      </c>
      <c r="F206" s="3424">
        <v>1400</v>
      </c>
      <c r="G206" s="3424">
        <v>4380</v>
      </c>
      <c r="I206" s="1024"/>
      <c r="J206" s="3459"/>
      <c r="K206" s="3459"/>
      <c r="L206" s="3459"/>
      <c r="M206" s="3459"/>
      <c r="N206" s="3459"/>
      <c r="O206" s="3459"/>
      <c r="P206" s="3459"/>
      <c r="Q206" s="3459"/>
      <c r="R206" s="3459"/>
      <c r="S206" s="3459"/>
      <c r="T206" s="3459"/>
      <c r="U206" s="3459"/>
    </row>
    <row r="207" spans="1:21" s="1011" customFormat="1" ht="14.25" customHeight="1">
      <c r="A207" s="3423" t="s">
        <v>1154</v>
      </c>
      <c r="B207" s="3423" t="s">
        <v>2899</v>
      </c>
      <c r="C207" s="3423">
        <v>6950</v>
      </c>
      <c r="D207" s="3423">
        <v>6900</v>
      </c>
      <c r="E207" s="3423">
        <v>9110</v>
      </c>
      <c r="F207" s="3429">
        <v>1790</v>
      </c>
      <c r="G207" s="3429">
        <v>4360</v>
      </c>
      <c r="I207" s="1024"/>
      <c r="J207" s="3459"/>
      <c r="K207" s="3459"/>
      <c r="L207" s="3459"/>
      <c r="M207" s="3459"/>
      <c r="N207" s="3459"/>
      <c r="O207" s="3459"/>
      <c r="P207" s="3459"/>
      <c r="Q207" s="3459"/>
      <c r="R207" s="3459"/>
      <c r="S207" s="3459"/>
      <c r="T207" s="3459"/>
      <c r="U207" s="3459"/>
    </row>
    <row r="208" spans="1:21" s="1011" customFormat="1" ht="14.25" customHeight="1">
      <c r="A208" s="3423" t="s">
        <v>1154</v>
      </c>
      <c r="B208" s="3423" t="s">
        <v>2900</v>
      </c>
      <c r="C208" s="3423">
        <v>9470</v>
      </c>
      <c r="D208" s="3423">
        <v>9410</v>
      </c>
      <c r="E208" s="3423">
        <v>12330</v>
      </c>
      <c r="F208" s="3429">
        <v>1770</v>
      </c>
      <c r="G208" s="3429">
        <v>5940</v>
      </c>
      <c r="I208" s="1024"/>
      <c r="J208" s="3459"/>
      <c r="K208" s="3459"/>
      <c r="L208" s="3459"/>
      <c r="M208" s="3459"/>
      <c r="N208" s="3459"/>
      <c r="O208" s="3459"/>
      <c r="P208" s="3459"/>
      <c r="Q208" s="3459"/>
      <c r="R208" s="3459"/>
      <c r="S208" s="3459"/>
      <c r="T208" s="3459"/>
      <c r="U208" s="3459"/>
    </row>
    <row r="209" spans="1:21" s="1011" customFormat="1" ht="14.25" customHeight="1">
      <c r="A209" s="3423" t="s">
        <v>1154</v>
      </c>
      <c r="B209" s="3423" t="s">
        <v>1112</v>
      </c>
      <c r="C209" s="3423">
        <v>8740</v>
      </c>
      <c r="D209" s="3423">
        <v>8700</v>
      </c>
      <c r="E209" s="3423">
        <v>11500</v>
      </c>
      <c r="F209" s="3429">
        <v>1730</v>
      </c>
      <c r="G209" s="3429">
        <v>5490</v>
      </c>
      <c r="I209" s="1024"/>
      <c r="J209" s="3459"/>
      <c r="K209" s="3459"/>
      <c r="L209" s="3459"/>
      <c r="M209" s="3459"/>
      <c r="N209" s="3459"/>
      <c r="O209" s="3459"/>
      <c r="P209" s="3459"/>
      <c r="Q209" s="3459"/>
      <c r="R209" s="3459"/>
      <c r="S209" s="3459"/>
      <c r="T209" s="3459"/>
      <c r="U209" s="3459"/>
    </row>
    <row r="210" spans="1:21" s="1011" customFormat="1" ht="14.25" customHeight="1">
      <c r="A210" s="3423" t="s">
        <v>1154</v>
      </c>
      <c r="B210" s="3423" t="s">
        <v>2901</v>
      </c>
      <c r="C210" s="3423">
        <v>8710</v>
      </c>
      <c r="D210" s="3423">
        <v>8660</v>
      </c>
      <c r="E210" s="3423">
        <v>11440</v>
      </c>
      <c r="F210" s="3429">
        <v>1740</v>
      </c>
      <c r="G210" s="3429">
        <v>5470</v>
      </c>
      <c r="I210" s="1024"/>
      <c r="J210" s="3459"/>
      <c r="K210" s="3459"/>
      <c r="L210" s="3459"/>
      <c r="M210" s="3459"/>
      <c r="N210" s="3459"/>
      <c r="O210" s="3459"/>
      <c r="P210" s="3459"/>
      <c r="Q210" s="3459"/>
      <c r="R210" s="3459"/>
      <c r="S210" s="3459"/>
      <c r="T210" s="3459"/>
      <c r="U210" s="3459"/>
    </row>
    <row r="211" spans="1:21" s="1011" customFormat="1" ht="14.25" customHeight="1">
      <c r="A211" s="3423" t="s">
        <v>1154</v>
      </c>
      <c r="B211" s="3423" t="s">
        <v>2902</v>
      </c>
      <c r="C211" s="3423">
        <v>9480</v>
      </c>
      <c r="D211" s="3423">
        <v>9430</v>
      </c>
      <c r="E211" s="3423">
        <v>12360</v>
      </c>
      <c r="F211" s="3429">
        <v>1820</v>
      </c>
      <c r="G211" s="3429">
        <v>5950</v>
      </c>
      <c r="I211" s="1024"/>
      <c r="J211" s="3459"/>
      <c r="K211" s="3459"/>
      <c r="L211" s="3459"/>
      <c r="M211" s="3459"/>
      <c r="N211" s="3459"/>
      <c r="O211" s="3459"/>
      <c r="P211" s="3459"/>
      <c r="Q211" s="3459"/>
      <c r="R211" s="3459"/>
      <c r="S211" s="3459"/>
      <c r="T211" s="3459"/>
      <c r="U211" s="3459"/>
    </row>
    <row r="212" spans="1:21" s="1011" customFormat="1" ht="14.25" customHeight="1">
      <c r="A212" s="3423" t="s">
        <v>1154</v>
      </c>
      <c r="B212" s="3423" t="s">
        <v>1134</v>
      </c>
      <c r="C212" s="3423">
        <v>9070</v>
      </c>
      <c r="D212" s="3423">
        <v>9020</v>
      </c>
      <c r="E212" s="3423">
        <v>11720</v>
      </c>
      <c r="F212" s="3429">
        <v>1850</v>
      </c>
      <c r="G212" s="3429">
        <v>5700</v>
      </c>
      <c r="I212" s="1024"/>
      <c r="J212" s="3459"/>
      <c r="K212" s="3459"/>
      <c r="L212" s="3459"/>
      <c r="M212" s="3459"/>
      <c r="N212" s="3459"/>
      <c r="O212" s="3459"/>
      <c r="P212" s="3459"/>
      <c r="Q212" s="3459"/>
      <c r="R212" s="3459"/>
      <c r="S212" s="3459"/>
      <c r="T212" s="3459"/>
      <c r="U212" s="3459"/>
    </row>
    <row r="213" spans="1:21" s="1011" customFormat="1" ht="14.25" customHeight="1">
      <c r="A213" s="3423" t="s">
        <v>1154</v>
      </c>
      <c r="B213" s="3423" t="s">
        <v>1137</v>
      </c>
      <c r="C213" s="3423">
        <v>9030</v>
      </c>
      <c r="D213" s="3423">
        <v>8980</v>
      </c>
      <c r="E213" s="3423">
        <v>11670</v>
      </c>
      <c r="F213" s="3429">
        <v>1690</v>
      </c>
      <c r="G213" s="3429">
        <v>5670</v>
      </c>
      <c r="I213" s="1024"/>
      <c r="J213" s="3459"/>
      <c r="K213" s="3459"/>
      <c r="L213" s="3459"/>
      <c r="M213" s="3459"/>
      <c r="N213" s="3459"/>
      <c r="O213" s="3459"/>
      <c r="P213" s="3459"/>
      <c r="Q213" s="3459"/>
      <c r="R213" s="3459"/>
      <c r="S213" s="3459"/>
      <c r="T213" s="3459"/>
      <c r="U213" s="3459"/>
    </row>
    <row r="214" spans="1:21" s="1011" customFormat="1" ht="14.25" customHeight="1">
      <c r="A214" s="3423" t="s">
        <v>1154</v>
      </c>
      <c r="B214" s="3423" t="s">
        <v>2903</v>
      </c>
      <c r="C214" s="3423">
        <v>8090</v>
      </c>
      <c r="D214" s="3423">
        <v>8030</v>
      </c>
      <c r="E214" s="3423">
        <v>10780</v>
      </c>
      <c r="F214" s="3429">
        <v>1570</v>
      </c>
      <c r="G214" s="3431">
        <v>5070</v>
      </c>
      <c r="I214" s="1024"/>
      <c r="J214" s="3459"/>
      <c r="K214" s="3459"/>
      <c r="L214" s="3459"/>
      <c r="M214" s="3459"/>
      <c r="N214" s="3459"/>
      <c r="O214" s="3459"/>
      <c r="P214" s="3459"/>
      <c r="Q214" s="3459"/>
      <c r="R214" s="3459"/>
      <c r="S214" s="3459"/>
      <c r="T214" s="3459"/>
      <c r="U214" s="3459"/>
    </row>
    <row r="215" spans="1:21" s="1011" customFormat="1" ht="14.25" customHeight="1">
      <c r="A215" s="3423" t="s">
        <v>1154</v>
      </c>
      <c r="B215" s="3423" t="s">
        <v>1123</v>
      </c>
      <c r="C215" s="3423">
        <v>7950</v>
      </c>
      <c r="D215" s="3423">
        <v>7900</v>
      </c>
      <c r="E215" s="3423">
        <v>10560</v>
      </c>
      <c r="F215" s="3429">
        <v>1630</v>
      </c>
      <c r="G215" s="3429">
        <v>4990</v>
      </c>
      <c r="I215" s="1024"/>
      <c r="J215" s="3459"/>
      <c r="K215" s="3459"/>
      <c r="L215" s="3459"/>
      <c r="M215" s="3459"/>
      <c r="N215" s="3459"/>
      <c r="O215" s="3459"/>
      <c r="P215" s="3459"/>
      <c r="Q215" s="3459"/>
      <c r="R215" s="3459"/>
      <c r="S215" s="3459"/>
      <c r="T215" s="3459"/>
      <c r="U215" s="3459"/>
    </row>
    <row r="216" spans="1:21" s="1011" customFormat="1" ht="14.25" customHeight="1">
      <c r="A216" s="3423" t="s">
        <v>1154</v>
      </c>
      <c r="B216" s="3423" t="s">
        <v>2904</v>
      </c>
      <c r="C216" s="3423">
        <v>8490</v>
      </c>
      <c r="D216" s="3423">
        <v>8440</v>
      </c>
      <c r="E216" s="3423">
        <v>11260</v>
      </c>
      <c r="F216" s="3429">
        <v>1690</v>
      </c>
      <c r="G216" s="3429">
        <v>5330</v>
      </c>
      <c r="I216" s="1024"/>
      <c r="J216" s="3459"/>
      <c r="K216" s="3459"/>
      <c r="L216" s="3459"/>
      <c r="M216" s="3459"/>
      <c r="N216" s="3459"/>
      <c r="O216" s="3459"/>
      <c r="P216" s="3459"/>
      <c r="Q216" s="3459"/>
      <c r="R216" s="3459"/>
      <c r="S216" s="3459"/>
      <c r="T216" s="3459"/>
      <c r="U216" s="3459"/>
    </row>
    <row r="217" spans="1:21" s="1011" customFormat="1" ht="14.25" customHeight="1">
      <c r="A217" s="3423" t="s">
        <v>1154</v>
      </c>
      <c r="B217" s="3423" t="s">
        <v>2905</v>
      </c>
      <c r="C217" s="3423">
        <v>8200</v>
      </c>
      <c r="D217" s="3423">
        <v>8150</v>
      </c>
      <c r="E217" s="3423">
        <v>10910</v>
      </c>
      <c r="F217" s="3429">
        <v>1670</v>
      </c>
      <c r="G217" s="3429">
        <v>5150</v>
      </c>
      <c r="I217" s="1024"/>
      <c r="J217" s="3459"/>
      <c r="K217" s="3459"/>
      <c r="L217" s="3459"/>
      <c r="M217" s="3459"/>
      <c r="N217" s="3459"/>
      <c r="O217" s="3459"/>
      <c r="P217" s="3459"/>
      <c r="Q217" s="3459"/>
      <c r="R217" s="3459"/>
      <c r="S217" s="3459"/>
      <c r="T217" s="3459"/>
      <c r="U217" s="3459"/>
    </row>
    <row r="218" spans="1:21" s="1011" customFormat="1" ht="14.25" customHeight="1">
      <c r="A218" s="3423" t="s">
        <v>1154</v>
      </c>
      <c r="B218" s="3423" t="s">
        <v>2906</v>
      </c>
      <c r="C218" s="3423"/>
      <c r="D218" s="3423"/>
      <c r="E218" s="3423"/>
      <c r="F218" s="3429">
        <v>2040</v>
      </c>
      <c r="G218" s="3429"/>
      <c r="I218" s="1024"/>
      <c r="J218" s="3459"/>
      <c r="K218" s="3459"/>
      <c r="L218" s="3459"/>
      <c r="M218" s="3459"/>
      <c r="N218" s="3459"/>
      <c r="O218" s="3459"/>
      <c r="P218" s="3459"/>
      <c r="Q218" s="3459"/>
      <c r="R218" s="3459"/>
      <c r="S218" s="3459"/>
      <c r="T218" s="3459"/>
      <c r="U218" s="3459"/>
    </row>
    <row r="219" spans="1:21" s="1011" customFormat="1" ht="14.25" customHeight="1">
      <c r="A219" s="3423" t="s">
        <v>1154</v>
      </c>
      <c r="B219" s="3423" t="s">
        <v>2907</v>
      </c>
      <c r="C219" s="3423"/>
      <c r="D219" s="3423"/>
      <c r="E219" s="3423"/>
      <c r="F219" s="3429">
        <v>2040</v>
      </c>
      <c r="G219" s="3429"/>
      <c r="I219" s="1024"/>
      <c r="J219" s="3459"/>
      <c r="K219" s="3459"/>
      <c r="L219" s="3459"/>
      <c r="M219" s="3459"/>
      <c r="N219" s="3459"/>
      <c r="O219" s="3459"/>
      <c r="P219" s="3459"/>
      <c r="Q219" s="3459"/>
      <c r="R219" s="3459"/>
      <c r="S219" s="3459"/>
      <c r="T219" s="3459"/>
      <c r="U219" s="3459"/>
    </row>
    <row r="220" spans="1:21" s="1011" customFormat="1" ht="14.25" customHeight="1">
      <c r="A220" s="3423" t="s">
        <v>1154</v>
      </c>
      <c r="B220" s="3423" t="s">
        <v>2908</v>
      </c>
      <c r="C220" s="3423"/>
      <c r="D220" s="3423"/>
      <c r="E220" s="3423"/>
      <c r="F220" s="3429">
        <v>2040</v>
      </c>
      <c r="G220" s="3429"/>
      <c r="I220" s="1024"/>
      <c r="J220" s="3459"/>
      <c r="K220" s="3459"/>
      <c r="L220" s="3459"/>
      <c r="M220" s="3459"/>
      <c r="N220" s="3459"/>
      <c r="O220" s="3459"/>
      <c r="P220" s="3459"/>
      <c r="Q220" s="3459"/>
      <c r="R220" s="3459"/>
      <c r="S220" s="3459"/>
      <c r="T220" s="3459"/>
      <c r="U220" s="3459"/>
    </row>
    <row r="221" spans="1:21" s="1011" customFormat="1" ht="14.25" customHeight="1">
      <c r="A221" s="3423" t="s">
        <v>1154</v>
      </c>
      <c r="B221" s="3423" t="s">
        <v>2909</v>
      </c>
      <c r="C221" s="3432"/>
      <c r="D221" s="3432"/>
      <c r="E221" s="3432"/>
      <c r="F221" s="3431">
        <v>2040</v>
      </c>
      <c r="G221" s="3429"/>
      <c r="I221" s="1024"/>
      <c r="J221" s="3459"/>
      <c r="K221" s="3459"/>
      <c r="L221" s="3459"/>
      <c r="M221" s="3459"/>
      <c r="N221" s="3459"/>
      <c r="O221" s="3459"/>
      <c r="P221" s="3459"/>
      <c r="Q221" s="3459"/>
      <c r="R221" s="3459"/>
      <c r="S221" s="3459"/>
      <c r="T221" s="3459"/>
      <c r="U221" s="3459"/>
    </row>
    <row r="222" spans="1:21" s="1011" customFormat="1" ht="14.25" customHeight="1">
      <c r="A222" s="3423" t="s">
        <v>1154</v>
      </c>
      <c r="B222" s="3423" t="s">
        <v>2910</v>
      </c>
      <c r="C222" s="3432"/>
      <c r="D222" s="3432"/>
      <c r="E222" s="3432"/>
      <c r="F222" s="3431">
        <v>2040</v>
      </c>
      <c r="G222" s="3429"/>
      <c r="I222" s="1024"/>
      <c r="J222" s="3459"/>
      <c r="K222" s="3459"/>
      <c r="L222" s="3459"/>
      <c r="M222" s="3459"/>
      <c r="N222" s="3459"/>
      <c r="O222" s="3459"/>
      <c r="P222" s="3459"/>
      <c r="Q222" s="3459"/>
      <c r="R222" s="3459"/>
      <c r="S222" s="3459"/>
      <c r="T222" s="3459"/>
      <c r="U222" s="3459"/>
    </row>
    <row r="223" spans="1:21" s="1011" customFormat="1" ht="14.25" customHeight="1">
      <c r="A223" s="3423" t="s">
        <v>1154</v>
      </c>
      <c r="B223" s="3423" t="s">
        <v>2911</v>
      </c>
      <c r="C223" s="3432"/>
      <c r="D223" s="3432"/>
      <c r="E223" s="3432"/>
      <c r="F223" s="3431">
        <v>1930</v>
      </c>
      <c r="G223" s="3429"/>
      <c r="I223" s="1024"/>
      <c r="J223" s="3459"/>
      <c r="K223" s="3459"/>
      <c r="L223" s="3459"/>
      <c r="M223" s="3459"/>
      <c r="N223" s="3459"/>
      <c r="O223" s="3459"/>
      <c r="P223" s="3459"/>
      <c r="Q223" s="3459"/>
      <c r="R223" s="3459"/>
      <c r="S223" s="3459"/>
      <c r="T223" s="3459"/>
      <c r="U223" s="3459"/>
    </row>
    <row r="224" spans="1:21" s="1011" customFormat="1" ht="14.25" customHeight="1">
      <c r="A224" s="3423" t="s">
        <v>1154</v>
      </c>
      <c r="B224" s="3423" t="s">
        <v>2912</v>
      </c>
      <c r="C224" s="3432"/>
      <c r="D224" s="3432"/>
      <c r="E224" s="3432"/>
      <c r="F224" s="3431">
        <v>1930</v>
      </c>
      <c r="G224" s="3429"/>
      <c r="I224" s="1024"/>
      <c r="J224" s="3459"/>
      <c r="K224" s="3459"/>
      <c r="L224" s="3459"/>
      <c r="M224" s="3459"/>
      <c r="N224" s="3459"/>
      <c r="O224" s="3459"/>
      <c r="P224" s="3459"/>
      <c r="Q224" s="3459"/>
      <c r="R224" s="3459"/>
      <c r="S224" s="3459"/>
      <c r="T224" s="3459"/>
      <c r="U224" s="3459"/>
    </row>
    <row r="225" spans="1:21" s="1011" customFormat="1" ht="14.25" customHeight="1">
      <c r="A225" s="3423" t="s">
        <v>1154</v>
      </c>
      <c r="B225" s="3423" t="s">
        <v>2913</v>
      </c>
      <c r="C225" s="3423"/>
      <c r="D225" s="3423"/>
      <c r="E225" s="3423"/>
      <c r="F225" s="3429">
        <v>1930</v>
      </c>
      <c r="G225" s="3429"/>
      <c r="I225" s="1024"/>
      <c r="J225" s="3459"/>
      <c r="K225" s="3459"/>
      <c r="L225" s="3459"/>
      <c r="M225" s="3459"/>
      <c r="N225" s="3459"/>
      <c r="O225" s="3459"/>
      <c r="P225" s="3459"/>
      <c r="Q225" s="3459"/>
      <c r="R225" s="3459"/>
      <c r="S225" s="3459"/>
      <c r="T225" s="3459"/>
      <c r="U225" s="3459"/>
    </row>
    <row r="226" spans="1:21" s="1011" customFormat="1" ht="14.25" customHeight="1">
      <c r="A226" s="3423" t="s">
        <v>1154</v>
      </c>
      <c r="B226" s="3423" t="s">
        <v>2914</v>
      </c>
      <c r="C226" s="3423"/>
      <c r="D226" s="3423"/>
      <c r="E226" s="3423"/>
      <c r="F226" s="3429">
        <v>1700</v>
      </c>
      <c r="G226" s="3429"/>
      <c r="I226" s="1024"/>
      <c r="J226" s="3459"/>
      <c r="K226" s="3459"/>
      <c r="L226" s="3459"/>
      <c r="M226" s="3459"/>
      <c r="N226" s="3459"/>
      <c r="O226" s="3459"/>
      <c r="P226" s="3459"/>
      <c r="Q226" s="3459"/>
      <c r="R226" s="3459"/>
      <c r="S226" s="3459"/>
      <c r="T226" s="3459"/>
      <c r="U226" s="3459"/>
    </row>
    <row r="227" spans="1:21" s="1011" customFormat="1" ht="14.25" customHeight="1">
      <c r="A227" s="3423" t="s">
        <v>1154</v>
      </c>
      <c r="B227" s="3423" t="s">
        <v>2915</v>
      </c>
      <c r="C227" s="3423"/>
      <c r="D227" s="3423"/>
      <c r="E227" s="3423"/>
      <c r="F227" s="3429">
        <v>1520</v>
      </c>
      <c r="G227" s="3429"/>
      <c r="I227" s="1024"/>
      <c r="J227" s="3459"/>
      <c r="K227" s="3459"/>
      <c r="L227" s="3459"/>
      <c r="M227" s="3459"/>
      <c r="N227" s="3459"/>
      <c r="O227" s="3459"/>
      <c r="P227" s="3459"/>
      <c r="Q227" s="3459"/>
      <c r="R227" s="3459"/>
      <c r="S227" s="3459"/>
      <c r="T227" s="3459"/>
      <c r="U227" s="3459"/>
    </row>
    <row r="228" spans="1:21" s="1011" customFormat="1" ht="14.25" customHeight="1">
      <c r="A228" s="3423" t="s">
        <v>1154</v>
      </c>
      <c r="B228" s="3423" t="s">
        <v>2916</v>
      </c>
      <c r="C228" s="3423"/>
      <c r="D228" s="3423"/>
      <c r="E228" s="3423"/>
      <c r="F228" s="3429">
        <v>1520</v>
      </c>
      <c r="G228" s="3429"/>
      <c r="I228" s="1024"/>
      <c r="J228" s="3459"/>
      <c r="K228" s="3459"/>
      <c r="L228" s="3459"/>
      <c r="M228" s="3459"/>
      <c r="N228" s="3459"/>
      <c r="O228" s="3459"/>
      <c r="P228" s="3459"/>
      <c r="Q228" s="3459"/>
      <c r="R228" s="3459"/>
      <c r="S228" s="3459"/>
      <c r="T228" s="3459"/>
      <c r="U228" s="3459"/>
    </row>
    <row r="229" spans="1:21" s="1011" customFormat="1" ht="14.25" customHeight="1">
      <c r="A229" s="3423" t="s">
        <v>1154</v>
      </c>
      <c r="B229" s="3423" t="s">
        <v>2917</v>
      </c>
      <c r="C229" s="3423"/>
      <c r="D229" s="3423"/>
      <c r="E229" s="3423"/>
      <c r="F229" s="3429">
        <v>1520</v>
      </c>
      <c r="G229" s="3431"/>
      <c r="I229" s="1024"/>
      <c r="J229" s="3459"/>
      <c r="K229" s="3459"/>
      <c r="L229" s="3459"/>
      <c r="M229" s="3459"/>
      <c r="N229" s="3459"/>
      <c r="O229" s="3459"/>
      <c r="P229" s="3459"/>
      <c r="Q229" s="3459"/>
      <c r="R229" s="3459"/>
      <c r="S229" s="3459"/>
      <c r="T229" s="3459"/>
      <c r="U229" s="3459"/>
    </row>
    <row r="230" spans="1:21" s="1011" customFormat="1" ht="14.25" customHeight="1">
      <c r="A230" s="3423" t="s">
        <v>1154</v>
      </c>
      <c r="B230" s="3423" t="s">
        <v>2918</v>
      </c>
      <c r="C230" s="3423"/>
      <c r="D230" s="3423"/>
      <c r="E230" s="3423"/>
      <c r="F230" s="3429">
        <v>1820</v>
      </c>
      <c r="G230" s="3431"/>
      <c r="I230" s="1024"/>
      <c r="J230" s="3459"/>
      <c r="K230" s="3459"/>
      <c r="L230" s="3459"/>
      <c r="M230" s="3459"/>
      <c r="N230" s="3459"/>
      <c r="O230" s="3459"/>
      <c r="P230" s="3459"/>
      <c r="Q230" s="3459"/>
      <c r="R230" s="3459"/>
      <c r="S230" s="3459"/>
      <c r="T230" s="3459"/>
      <c r="U230" s="3459"/>
    </row>
    <row r="231" spans="1:21" s="1011" customFormat="1" ht="14.25" customHeight="1">
      <c r="A231" s="3423" t="s">
        <v>1154</v>
      </c>
      <c r="B231" s="3423" t="s">
        <v>2919</v>
      </c>
      <c r="C231" s="3423"/>
      <c r="D231" s="3423"/>
      <c r="E231" s="3423"/>
      <c r="F231" s="3429">
        <v>1760</v>
      </c>
      <c r="G231" s="3431"/>
      <c r="I231" s="1024"/>
      <c r="J231" s="3459"/>
      <c r="K231" s="3459"/>
      <c r="L231" s="3459"/>
      <c r="M231" s="3459"/>
      <c r="N231" s="3459"/>
      <c r="O231" s="3459"/>
      <c r="P231" s="3459"/>
      <c r="Q231" s="3459"/>
      <c r="R231" s="3459"/>
      <c r="S231" s="3459"/>
      <c r="T231" s="3459"/>
      <c r="U231" s="3459"/>
    </row>
    <row r="232" spans="1:21" s="1011" customFormat="1" ht="14.25" customHeight="1">
      <c r="A232" s="3423" t="s">
        <v>1154</v>
      </c>
      <c r="B232" s="3423" t="s">
        <v>2920</v>
      </c>
      <c r="C232" s="3423"/>
      <c r="D232" s="3423"/>
      <c r="E232" s="3423"/>
      <c r="F232" s="3429">
        <v>1840</v>
      </c>
      <c r="G232" s="3429"/>
      <c r="I232" s="1024"/>
      <c r="J232" s="3459"/>
      <c r="K232" s="3459"/>
      <c r="L232" s="3459"/>
      <c r="M232" s="3459"/>
      <c r="N232" s="3459"/>
      <c r="O232" s="3459"/>
      <c r="P232" s="3459"/>
      <c r="Q232" s="3459"/>
      <c r="R232" s="3459"/>
      <c r="S232" s="3459"/>
      <c r="T232" s="3459"/>
      <c r="U232" s="3459"/>
    </row>
    <row r="233" spans="1:21" s="1011" customFormat="1" ht="14.25" customHeight="1" thickBot="1">
      <c r="A233" s="3438" t="s">
        <v>1154</v>
      </c>
      <c r="B233" s="3426" t="s">
        <v>2921</v>
      </c>
      <c r="C233" s="3426"/>
      <c r="D233" s="3426"/>
      <c r="E233" s="3426"/>
      <c r="F233" s="3427">
        <v>1770</v>
      </c>
      <c r="G233" s="3442"/>
      <c r="I233" s="1024"/>
      <c r="J233" s="3459"/>
      <c r="K233" s="3459"/>
      <c r="L233" s="3459"/>
      <c r="M233" s="3459"/>
      <c r="N233" s="3459"/>
      <c r="O233" s="3459"/>
      <c r="P233" s="3459"/>
      <c r="Q233" s="3459"/>
      <c r="R233" s="3459"/>
      <c r="S233" s="3459"/>
      <c r="T233" s="3459"/>
      <c r="U233" s="3459"/>
    </row>
    <row r="234" spans="1:21" s="1011" customFormat="1" ht="14.25" customHeight="1">
      <c r="A234" s="3437" t="s">
        <v>1155</v>
      </c>
      <c r="B234" s="1289" t="s">
        <v>2922</v>
      </c>
      <c r="C234" s="1289">
        <v>6980</v>
      </c>
      <c r="D234" s="1289">
        <v>6970</v>
      </c>
      <c r="E234" s="1289">
        <v>8720</v>
      </c>
      <c r="F234" s="3424">
        <v>1350</v>
      </c>
      <c r="G234" s="3440">
        <v>4280</v>
      </c>
      <c r="I234" s="1024"/>
      <c r="J234" s="3459"/>
      <c r="K234" s="3459"/>
      <c r="L234" s="3459"/>
      <c r="M234" s="3459"/>
      <c r="N234" s="3459"/>
      <c r="O234" s="3459"/>
      <c r="P234" s="3459"/>
      <c r="Q234" s="3459"/>
      <c r="R234" s="3459"/>
      <c r="S234" s="3459"/>
      <c r="T234" s="3459"/>
      <c r="U234" s="3459"/>
    </row>
    <row r="235" spans="1:21" s="1011" customFormat="1" ht="14.25" customHeight="1">
      <c r="A235" s="3423" t="s">
        <v>1155</v>
      </c>
      <c r="B235" s="3423" t="s">
        <v>979</v>
      </c>
      <c r="C235" s="3423">
        <v>7620</v>
      </c>
      <c r="D235" s="3423">
        <v>7580</v>
      </c>
      <c r="E235" s="3423">
        <v>9360</v>
      </c>
      <c r="F235" s="3429">
        <v>1490</v>
      </c>
      <c r="G235" s="3429">
        <v>4650</v>
      </c>
      <c r="I235" s="1024"/>
      <c r="J235" s="3459"/>
      <c r="K235" s="3459"/>
      <c r="L235" s="3459"/>
      <c r="M235" s="3459"/>
      <c r="N235" s="3459"/>
      <c r="O235" s="3459"/>
      <c r="P235" s="3459"/>
      <c r="Q235" s="3459"/>
      <c r="R235" s="3459"/>
      <c r="S235" s="3459"/>
      <c r="T235" s="3459"/>
      <c r="U235" s="3459"/>
    </row>
    <row r="236" spans="1:21" s="1011" customFormat="1" ht="14.25" customHeight="1">
      <c r="A236" s="3423" t="s">
        <v>1155</v>
      </c>
      <c r="B236" s="3423" t="s">
        <v>989</v>
      </c>
      <c r="C236" s="3423">
        <v>6650</v>
      </c>
      <c r="D236" s="3423">
        <v>6630</v>
      </c>
      <c r="E236" s="3423">
        <v>8330</v>
      </c>
      <c r="F236" s="3429">
        <v>1250</v>
      </c>
      <c r="G236" s="3429">
        <v>4070</v>
      </c>
      <c r="I236" s="1024"/>
      <c r="J236" s="3459"/>
      <c r="K236" s="3459"/>
      <c r="L236" s="3459"/>
      <c r="M236" s="3459"/>
      <c r="N236" s="3459"/>
      <c r="O236" s="3459"/>
      <c r="P236" s="3459"/>
      <c r="Q236" s="3459"/>
      <c r="R236" s="3459"/>
      <c r="S236" s="3459"/>
      <c r="T236" s="3459"/>
      <c r="U236" s="3459"/>
    </row>
    <row r="237" spans="1:21" s="1011" customFormat="1" ht="14.25" customHeight="1">
      <c r="A237" s="3423" t="s">
        <v>1155</v>
      </c>
      <c r="B237" s="3423" t="s">
        <v>998</v>
      </c>
      <c r="C237" s="3423">
        <v>5850</v>
      </c>
      <c r="D237" s="3423">
        <v>5820</v>
      </c>
      <c r="E237" s="3423">
        <v>7260</v>
      </c>
      <c r="F237" s="3429">
        <v>1140</v>
      </c>
      <c r="G237" s="3429">
        <v>3570</v>
      </c>
      <c r="I237" s="1024"/>
      <c r="J237" s="3459"/>
      <c r="K237" s="3459"/>
      <c r="L237" s="3459"/>
      <c r="M237" s="3459"/>
      <c r="N237" s="3459"/>
      <c r="O237" s="3459"/>
      <c r="P237" s="3459"/>
      <c r="Q237" s="3459"/>
      <c r="R237" s="3459"/>
      <c r="S237" s="3459"/>
      <c r="T237" s="3459"/>
      <c r="U237" s="3459"/>
    </row>
    <row r="238" spans="1:21" s="1011" customFormat="1" ht="14.25" customHeight="1">
      <c r="A238" s="3423" t="s">
        <v>1155</v>
      </c>
      <c r="B238" s="3423" t="s">
        <v>2923</v>
      </c>
      <c r="C238" s="3423">
        <v>6920</v>
      </c>
      <c r="D238" s="3423">
        <v>6890</v>
      </c>
      <c r="E238" s="3423">
        <v>8640</v>
      </c>
      <c r="F238" s="3429">
        <v>1310</v>
      </c>
      <c r="G238" s="3429">
        <v>4230</v>
      </c>
      <c r="I238" s="1024"/>
      <c r="J238" s="3459"/>
      <c r="K238" s="3459"/>
      <c r="L238" s="3459"/>
      <c r="M238" s="3459"/>
      <c r="N238" s="3459"/>
      <c r="O238" s="3459"/>
      <c r="P238" s="3459"/>
      <c r="Q238" s="3459"/>
      <c r="R238" s="3459"/>
      <c r="S238" s="3459"/>
      <c r="T238" s="3459"/>
      <c r="U238" s="3459"/>
    </row>
    <row r="239" spans="1:21" s="1011" customFormat="1" ht="14.25" customHeight="1">
      <c r="A239" s="3423" t="s">
        <v>1155</v>
      </c>
      <c r="B239" s="3423" t="s">
        <v>2924</v>
      </c>
      <c r="C239" s="3423">
        <v>6780</v>
      </c>
      <c r="D239" s="3423">
        <v>6750</v>
      </c>
      <c r="E239" s="3423">
        <v>8440</v>
      </c>
      <c r="F239" s="3429">
        <v>1160</v>
      </c>
      <c r="G239" s="3429">
        <v>4140</v>
      </c>
      <c r="I239" s="1024"/>
      <c r="J239" s="3459"/>
      <c r="K239" s="3459"/>
      <c r="L239" s="3459"/>
      <c r="M239" s="3459"/>
      <c r="N239" s="3459"/>
      <c r="O239" s="3459"/>
      <c r="P239" s="3459"/>
      <c r="Q239" s="3459"/>
      <c r="R239" s="3459"/>
      <c r="S239" s="3459"/>
      <c r="T239" s="3459"/>
      <c r="U239" s="3459"/>
    </row>
    <row r="240" spans="1:21" s="1011" customFormat="1" ht="14.25" customHeight="1">
      <c r="A240" s="3423" t="s">
        <v>1155</v>
      </c>
      <c r="B240" s="3423" t="s">
        <v>2925</v>
      </c>
      <c r="C240" s="3423">
        <v>5420</v>
      </c>
      <c r="D240" s="3423">
        <v>5380</v>
      </c>
      <c r="E240" s="3423">
        <v>6640</v>
      </c>
      <c r="F240" s="3429">
        <v>1020</v>
      </c>
      <c r="G240" s="3429">
        <v>3300</v>
      </c>
      <c r="I240" s="1024"/>
      <c r="J240" s="3459"/>
      <c r="K240" s="3459"/>
      <c r="L240" s="3459"/>
      <c r="M240" s="3459"/>
      <c r="N240" s="3459"/>
      <c r="O240" s="3459"/>
      <c r="P240" s="3459"/>
      <c r="Q240" s="3459"/>
      <c r="R240" s="3459"/>
      <c r="S240" s="3459"/>
      <c r="T240" s="3459"/>
      <c r="U240" s="3459"/>
    </row>
    <row r="241" spans="1:21" s="1011" customFormat="1" ht="14.25" customHeight="1">
      <c r="A241" s="3423" t="s">
        <v>1155</v>
      </c>
      <c r="B241" s="3423" t="s">
        <v>2926</v>
      </c>
      <c r="C241" s="3423">
        <v>6660</v>
      </c>
      <c r="D241" s="3423">
        <v>6640</v>
      </c>
      <c r="E241" s="3423">
        <v>8340</v>
      </c>
      <c r="F241" s="3429">
        <v>1130</v>
      </c>
      <c r="G241" s="3429">
        <v>4080</v>
      </c>
      <c r="I241" s="1024"/>
      <c r="J241" s="3459"/>
      <c r="K241" s="3459"/>
      <c r="L241" s="3459"/>
      <c r="M241" s="3459"/>
      <c r="N241" s="3459"/>
      <c r="O241" s="3459"/>
      <c r="P241" s="3459"/>
      <c r="Q241" s="3459"/>
      <c r="R241" s="3459"/>
      <c r="S241" s="3459"/>
      <c r="T241" s="3459"/>
      <c r="U241" s="3459"/>
    </row>
    <row r="242" spans="1:21" s="1011" customFormat="1" ht="14.25" customHeight="1">
      <c r="A242" s="3423" t="s">
        <v>1155</v>
      </c>
      <c r="B242" s="3423" t="s">
        <v>1028</v>
      </c>
      <c r="C242" s="3423">
        <v>6580</v>
      </c>
      <c r="D242" s="3423">
        <v>6550</v>
      </c>
      <c r="E242" s="3423">
        <v>8090</v>
      </c>
      <c r="F242" s="3429">
        <v>1240</v>
      </c>
      <c r="G242" s="3429">
        <v>4020</v>
      </c>
      <c r="I242" s="1024"/>
      <c r="J242" s="3459"/>
      <c r="K242" s="3459"/>
      <c r="L242" s="3459"/>
      <c r="M242" s="3459"/>
      <c r="N242" s="3459"/>
      <c r="O242" s="3459"/>
      <c r="P242" s="3459"/>
      <c r="Q242" s="3459"/>
      <c r="R242" s="3459"/>
      <c r="S242" s="3459"/>
      <c r="T242" s="3459"/>
      <c r="U242" s="3459"/>
    </row>
    <row r="243" spans="1:21" s="1011" customFormat="1" ht="14.25" customHeight="1">
      <c r="A243" s="3423" t="s">
        <v>1155</v>
      </c>
      <c r="B243" s="3423" t="s">
        <v>1038</v>
      </c>
      <c r="C243" s="3423">
        <v>6000</v>
      </c>
      <c r="D243" s="3423">
        <v>5970</v>
      </c>
      <c r="E243" s="3423">
        <v>7370</v>
      </c>
      <c r="F243" s="3429">
        <v>1070</v>
      </c>
      <c r="G243" s="3429">
        <v>3670</v>
      </c>
      <c r="I243" s="1024"/>
      <c r="J243" s="3459"/>
      <c r="K243" s="3459"/>
      <c r="L243" s="3459"/>
      <c r="M243" s="3459"/>
      <c r="N243" s="3459"/>
      <c r="O243" s="3459"/>
      <c r="P243" s="3459"/>
      <c r="Q243" s="3459"/>
      <c r="R243" s="3459"/>
      <c r="S243" s="3459"/>
      <c r="T243" s="3459"/>
      <c r="U243" s="3459"/>
    </row>
    <row r="244" spans="1:21" s="1011" customFormat="1" ht="14.25" customHeight="1">
      <c r="A244" s="3423" t="s">
        <v>1155</v>
      </c>
      <c r="B244" s="3423" t="s">
        <v>2927</v>
      </c>
      <c r="C244" s="3423">
        <v>5840</v>
      </c>
      <c r="D244" s="3423">
        <v>5810</v>
      </c>
      <c r="E244" s="3423">
        <v>7240</v>
      </c>
      <c r="F244" s="3429">
        <v>1100</v>
      </c>
      <c r="G244" s="3436">
        <v>3560</v>
      </c>
      <c r="I244" s="1024"/>
      <c r="J244" s="3459"/>
      <c r="K244" s="3459"/>
      <c r="L244" s="3459"/>
      <c r="M244" s="3459"/>
      <c r="N244" s="3459"/>
      <c r="O244" s="3459"/>
      <c r="P244" s="3459"/>
      <c r="Q244" s="3459"/>
      <c r="R244" s="3459"/>
      <c r="S244" s="3459"/>
      <c r="T244" s="3459"/>
      <c r="U244" s="3459"/>
    </row>
    <row r="245" spans="1:21" s="1011" customFormat="1" ht="14.25" customHeight="1">
      <c r="A245" s="1289" t="s">
        <v>1155</v>
      </c>
      <c r="B245" s="1289" t="s">
        <v>1053</v>
      </c>
      <c r="C245" s="1289">
        <v>6040</v>
      </c>
      <c r="D245" s="1289">
        <v>6000</v>
      </c>
      <c r="E245" s="1289">
        <v>7420</v>
      </c>
      <c r="F245" s="3424">
        <v>1140</v>
      </c>
      <c r="G245" s="3424">
        <v>3690</v>
      </c>
      <c r="I245" s="1024"/>
      <c r="J245" s="3459"/>
      <c r="K245" s="3459"/>
      <c r="L245" s="3459"/>
      <c r="M245" s="3459"/>
      <c r="N245" s="3459"/>
      <c r="O245" s="3459"/>
      <c r="P245" s="3459"/>
      <c r="Q245" s="3459"/>
      <c r="R245" s="3459"/>
      <c r="S245" s="3459"/>
      <c r="T245" s="3459"/>
      <c r="U245" s="3459"/>
    </row>
    <row r="246" spans="1:21" s="1011" customFormat="1" ht="14.25" customHeight="1">
      <c r="A246" s="3423" t="s">
        <v>1155</v>
      </c>
      <c r="B246" s="3423" t="s">
        <v>1060</v>
      </c>
      <c r="C246" s="3423">
        <v>5890</v>
      </c>
      <c r="D246" s="3423">
        <v>5860</v>
      </c>
      <c r="E246" s="3423">
        <v>7300</v>
      </c>
      <c r="F246" s="3429">
        <v>1110</v>
      </c>
      <c r="G246" s="3429">
        <v>3590</v>
      </c>
      <c r="I246" s="1024"/>
      <c r="J246" s="3459"/>
      <c r="K246" s="3459"/>
      <c r="L246" s="3459"/>
      <c r="M246" s="3459"/>
      <c r="N246" s="3459"/>
      <c r="O246" s="3459"/>
      <c r="P246" s="3459"/>
      <c r="Q246" s="3459"/>
      <c r="R246" s="3459"/>
      <c r="S246" s="3459"/>
      <c r="T246" s="3459"/>
      <c r="U246" s="3459"/>
    </row>
    <row r="247" spans="1:21" s="1011" customFormat="1" ht="14.25" customHeight="1">
      <c r="A247" s="3423" t="s">
        <v>1155</v>
      </c>
      <c r="B247" s="3423" t="s">
        <v>2928</v>
      </c>
      <c r="C247" s="3423">
        <v>6480</v>
      </c>
      <c r="D247" s="3423">
        <v>6450</v>
      </c>
      <c r="E247" s="3423">
        <v>8010</v>
      </c>
      <c r="F247" s="3429">
        <v>1170</v>
      </c>
      <c r="G247" s="3429">
        <v>3960</v>
      </c>
      <c r="I247" s="1024"/>
      <c r="J247" s="3459"/>
      <c r="K247" s="3459"/>
      <c r="L247" s="3459"/>
      <c r="M247" s="3459"/>
      <c r="N247" s="3459"/>
      <c r="O247" s="3459"/>
      <c r="P247" s="3459"/>
      <c r="Q247" s="3459"/>
      <c r="R247" s="3459"/>
      <c r="S247" s="3459"/>
      <c r="T247" s="3459"/>
      <c r="U247" s="3459"/>
    </row>
    <row r="248" spans="1:21" s="1011" customFormat="1" ht="14.25" customHeight="1">
      <c r="A248" s="3423" t="s">
        <v>1155</v>
      </c>
      <c r="B248" s="3423" t="s">
        <v>1075</v>
      </c>
      <c r="C248" s="3423">
        <v>6860</v>
      </c>
      <c r="D248" s="3423">
        <v>6840</v>
      </c>
      <c r="E248" s="3423">
        <v>8520</v>
      </c>
      <c r="F248" s="3429">
        <v>1240</v>
      </c>
      <c r="G248" s="3429">
        <v>4200</v>
      </c>
      <c r="I248" s="1024"/>
      <c r="J248" s="3459"/>
      <c r="K248" s="3459"/>
      <c r="L248" s="3459"/>
      <c r="M248" s="3459"/>
      <c r="N248" s="3459"/>
      <c r="O248" s="3459"/>
      <c r="P248" s="3459"/>
      <c r="Q248" s="3459"/>
      <c r="R248" s="3459"/>
      <c r="S248" s="3459"/>
      <c r="T248" s="3459"/>
      <c r="U248" s="3459"/>
    </row>
    <row r="249" spans="1:21" s="1011" customFormat="1" ht="14.25" customHeight="1">
      <c r="A249" s="3423" t="s">
        <v>1155</v>
      </c>
      <c r="B249" s="3423" t="s">
        <v>2929</v>
      </c>
      <c r="C249" s="3423">
        <v>7180</v>
      </c>
      <c r="D249" s="3423">
        <v>7140</v>
      </c>
      <c r="E249" s="3423">
        <v>8900</v>
      </c>
      <c r="F249" s="3429">
        <v>1350</v>
      </c>
      <c r="G249" s="3429">
        <v>4380</v>
      </c>
      <c r="I249" s="1024"/>
      <c r="J249" s="3459"/>
      <c r="K249" s="3459"/>
      <c r="L249" s="3459"/>
      <c r="M249" s="3459"/>
      <c r="N249" s="3459"/>
      <c r="O249" s="3459"/>
      <c r="P249" s="3459"/>
      <c r="Q249" s="3459"/>
      <c r="R249" s="3459"/>
      <c r="S249" s="3459"/>
      <c r="T249" s="3459"/>
      <c r="U249" s="3459"/>
    </row>
    <row r="250" spans="1:21" s="1011" customFormat="1" ht="14.25" customHeight="1">
      <c r="A250" s="3423" t="s">
        <v>1155</v>
      </c>
      <c r="B250" s="3423" t="s">
        <v>1089</v>
      </c>
      <c r="C250" s="3423">
        <v>6880</v>
      </c>
      <c r="D250" s="3423">
        <v>6860</v>
      </c>
      <c r="E250" s="3423">
        <v>8550</v>
      </c>
      <c r="F250" s="3429">
        <v>1220</v>
      </c>
      <c r="G250" s="3429">
        <v>4210</v>
      </c>
      <c r="I250" s="1024"/>
      <c r="J250" s="3459"/>
      <c r="K250" s="3459"/>
      <c r="L250" s="3459"/>
      <c r="M250" s="3459"/>
      <c r="N250" s="3459"/>
      <c r="O250" s="3459"/>
      <c r="P250" s="3459"/>
      <c r="Q250" s="3459"/>
      <c r="R250" s="3459"/>
      <c r="S250" s="3459"/>
      <c r="T250" s="3459"/>
      <c r="U250" s="3459"/>
    </row>
    <row r="251" spans="1:21" s="1011" customFormat="1" ht="14.25" customHeight="1">
      <c r="A251" s="3423" t="s">
        <v>1155</v>
      </c>
      <c r="B251" s="3423" t="s">
        <v>1097</v>
      </c>
      <c r="C251" s="3423"/>
      <c r="D251" s="3423"/>
      <c r="E251" s="3423"/>
      <c r="F251" s="3429">
        <v>1100</v>
      </c>
      <c r="G251" s="3429"/>
      <c r="I251" s="1024"/>
      <c r="J251" s="3459"/>
      <c r="K251" s="3459"/>
      <c r="L251" s="3459"/>
      <c r="M251" s="3459"/>
      <c r="N251" s="3459"/>
      <c r="O251" s="3459"/>
      <c r="P251" s="3459"/>
      <c r="Q251" s="3459"/>
      <c r="R251" s="3459"/>
      <c r="S251" s="3459"/>
      <c r="T251" s="3459"/>
      <c r="U251" s="3459"/>
    </row>
    <row r="252" spans="1:21" s="1011" customFormat="1" ht="14.25" customHeight="1">
      <c r="A252" s="3423" t="s">
        <v>1155</v>
      </c>
      <c r="B252" s="3423" t="s">
        <v>2930</v>
      </c>
      <c r="C252" s="3423">
        <v>7240</v>
      </c>
      <c r="D252" s="3423">
        <v>7200</v>
      </c>
      <c r="E252" s="3423">
        <v>9040</v>
      </c>
      <c r="F252" s="3429">
        <v>1380</v>
      </c>
      <c r="G252" s="3429">
        <v>4420</v>
      </c>
      <c r="I252" s="1024"/>
      <c r="J252" s="3459"/>
      <c r="K252" s="3459"/>
      <c r="L252" s="3459"/>
      <c r="M252" s="3459"/>
      <c r="N252" s="3459"/>
      <c r="O252" s="3459"/>
      <c r="P252" s="3459"/>
      <c r="Q252" s="3459"/>
      <c r="R252" s="3459"/>
      <c r="S252" s="3459"/>
      <c r="T252" s="3459"/>
      <c r="U252" s="3459"/>
    </row>
    <row r="253" spans="1:21" s="1011" customFormat="1" ht="14.25" customHeight="1">
      <c r="A253" s="3423" t="s">
        <v>1155</v>
      </c>
      <c r="B253" s="3423" t="s">
        <v>1132</v>
      </c>
      <c r="C253" s="3423">
        <v>6670</v>
      </c>
      <c r="D253" s="3423">
        <v>6650</v>
      </c>
      <c r="E253" s="3423">
        <v>8350</v>
      </c>
      <c r="F253" s="3429">
        <v>1260</v>
      </c>
      <c r="G253" s="3429">
        <v>4080</v>
      </c>
      <c r="I253" s="1024"/>
      <c r="J253" s="3459"/>
      <c r="K253" s="3459"/>
      <c r="L253" s="3459"/>
      <c r="M253" s="3459"/>
      <c r="N253" s="3459"/>
      <c r="O253" s="3459"/>
      <c r="P253" s="3459"/>
      <c r="Q253" s="3459"/>
      <c r="R253" s="3459"/>
      <c r="S253" s="3459"/>
      <c r="T253" s="3459"/>
      <c r="U253" s="3459"/>
    </row>
    <row r="254" spans="1:21" s="1011" customFormat="1" ht="14.25" customHeight="1">
      <c r="A254" s="3423" t="s">
        <v>1155</v>
      </c>
      <c r="B254" s="3423" t="s">
        <v>1135</v>
      </c>
      <c r="C254" s="3432">
        <v>7630</v>
      </c>
      <c r="D254" s="3432">
        <v>7590</v>
      </c>
      <c r="E254" s="3432">
        <v>9380</v>
      </c>
      <c r="F254" s="3431">
        <v>1320</v>
      </c>
      <c r="G254" s="3429">
        <v>4660</v>
      </c>
      <c r="I254" s="1024"/>
      <c r="J254" s="3459"/>
      <c r="K254" s="3459"/>
      <c r="L254" s="3459"/>
      <c r="M254" s="3459"/>
      <c r="N254" s="3459"/>
      <c r="O254" s="3459"/>
      <c r="P254" s="3459"/>
      <c r="Q254" s="3459"/>
      <c r="R254" s="3459"/>
      <c r="S254" s="3459"/>
      <c r="T254" s="3459"/>
      <c r="U254" s="3459"/>
    </row>
    <row r="255" spans="1:21" s="1011" customFormat="1" ht="14.25" customHeight="1">
      <c r="A255" s="3423" t="s">
        <v>1155</v>
      </c>
      <c r="B255" s="3423" t="s">
        <v>1138</v>
      </c>
      <c r="C255" s="3432">
        <v>6940</v>
      </c>
      <c r="D255" s="3432">
        <v>6890</v>
      </c>
      <c r="E255" s="3432">
        <v>8650</v>
      </c>
      <c r="F255" s="3431">
        <v>1210</v>
      </c>
      <c r="G255" s="3429">
        <v>4230</v>
      </c>
      <c r="I255" s="1024"/>
      <c r="J255" s="3459"/>
      <c r="K255" s="3459"/>
      <c r="L255" s="3459"/>
      <c r="M255" s="3459"/>
      <c r="N255" s="3459"/>
      <c r="O255" s="3459"/>
      <c r="P255" s="3459"/>
      <c r="Q255" s="3459"/>
      <c r="R255" s="3459"/>
      <c r="S255" s="3459"/>
      <c r="T255" s="3459"/>
      <c r="U255" s="3459"/>
    </row>
    <row r="256" spans="1:21" s="1011" customFormat="1" ht="14.25" customHeight="1">
      <c r="A256" s="3423" t="s">
        <v>1155</v>
      </c>
      <c r="B256" s="3423" t="s">
        <v>2931</v>
      </c>
      <c r="C256" s="3423">
        <v>7520</v>
      </c>
      <c r="D256" s="3423">
        <v>7490</v>
      </c>
      <c r="E256" s="3423">
        <v>9240</v>
      </c>
      <c r="F256" s="3429">
        <v>1270</v>
      </c>
      <c r="G256" s="3429">
        <v>4590</v>
      </c>
      <c r="I256" s="1024"/>
      <c r="J256" s="3459"/>
      <c r="K256" s="3459"/>
      <c r="L256" s="3459"/>
      <c r="M256" s="3459"/>
      <c r="N256" s="3459"/>
      <c r="O256" s="3459"/>
      <c r="P256" s="3459"/>
      <c r="Q256" s="3459"/>
      <c r="R256" s="3459"/>
      <c r="S256" s="3459"/>
      <c r="T256" s="3459"/>
      <c r="U256" s="3459"/>
    </row>
    <row r="257" spans="1:21" s="1011" customFormat="1" ht="14.25" customHeight="1">
      <c r="A257" s="3423" t="s">
        <v>1155</v>
      </c>
      <c r="B257" s="3423" t="s">
        <v>1124</v>
      </c>
      <c r="C257" s="3423">
        <v>6280</v>
      </c>
      <c r="D257" s="3423">
        <v>6230</v>
      </c>
      <c r="E257" s="3423">
        <v>7740</v>
      </c>
      <c r="F257" s="3429">
        <v>1080</v>
      </c>
      <c r="G257" s="3429">
        <v>3830</v>
      </c>
      <c r="I257" s="1024"/>
      <c r="J257" s="3459"/>
      <c r="K257" s="3459"/>
      <c r="L257" s="3459"/>
      <c r="M257" s="3459"/>
      <c r="N257" s="3459"/>
      <c r="O257" s="3459"/>
      <c r="P257" s="3459"/>
      <c r="Q257" s="3459"/>
      <c r="R257" s="3459"/>
      <c r="S257" s="3459"/>
      <c r="T257" s="3459"/>
      <c r="U257" s="3459"/>
    </row>
    <row r="258" spans="1:21" s="1011" customFormat="1" ht="14.25" customHeight="1">
      <c r="A258" s="3423" t="s">
        <v>1155</v>
      </c>
      <c r="B258" s="3423" t="s">
        <v>2932</v>
      </c>
      <c r="C258" s="3423">
        <v>6190</v>
      </c>
      <c r="D258" s="3423">
        <v>6160</v>
      </c>
      <c r="E258" s="3423">
        <v>7680</v>
      </c>
      <c r="F258" s="3429">
        <v>1170</v>
      </c>
      <c r="G258" s="3429">
        <v>3780</v>
      </c>
      <c r="I258" s="1024"/>
      <c r="J258" s="3459"/>
      <c r="K258" s="3459"/>
      <c r="L258" s="3459"/>
      <c r="M258" s="3459"/>
      <c r="N258" s="3459"/>
      <c r="O258" s="3459"/>
      <c r="P258" s="3459"/>
      <c r="Q258" s="3459"/>
      <c r="R258" s="3459"/>
      <c r="S258" s="3459"/>
      <c r="T258" s="3459"/>
      <c r="U258" s="3459"/>
    </row>
    <row r="259" spans="1:21" s="1011" customFormat="1" ht="14.25" customHeight="1">
      <c r="A259" s="3423" t="s">
        <v>1155</v>
      </c>
      <c r="B259" s="3423" t="s">
        <v>2933</v>
      </c>
      <c r="C259" s="3423">
        <v>7610</v>
      </c>
      <c r="D259" s="3423">
        <v>7570</v>
      </c>
      <c r="E259" s="3423">
        <v>9350</v>
      </c>
      <c r="F259" s="3429">
        <v>1350</v>
      </c>
      <c r="G259" s="3429">
        <v>4650</v>
      </c>
      <c r="I259" s="1024"/>
      <c r="J259" s="3459"/>
      <c r="K259" s="3459"/>
      <c r="L259" s="3459"/>
      <c r="M259" s="3459"/>
      <c r="N259" s="3459"/>
      <c r="O259" s="3459"/>
      <c r="P259" s="3459"/>
      <c r="Q259" s="3459"/>
      <c r="R259" s="3459"/>
      <c r="S259" s="3459"/>
      <c r="T259" s="3459"/>
      <c r="U259" s="3459"/>
    </row>
    <row r="260" spans="1:21" s="1011" customFormat="1" ht="14.25" customHeight="1">
      <c r="A260" s="3423" t="s">
        <v>1155</v>
      </c>
      <c r="B260" s="3423" t="s">
        <v>2934</v>
      </c>
      <c r="C260" s="3423">
        <v>6920</v>
      </c>
      <c r="D260" s="3423">
        <v>6880</v>
      </c>
      <c r="E260" s="3423">
        <v>8380</v>
      </c>
      <c r="F260" s="3429">
        <v>1160</v>
      </c>
      <c r="G260" s="3429">
        <v>4220</v>
      </c>
      <c r="I260" s="1024"/>
      <c r="J260" s="3459"/>
      <c r="K260" s="3459"/>
      <c r="L260" s="3459"/>
      <c r="M260" s="3459"/>
      <c r="N260" s="3459"/>
      <c r="O260" s="3459"/>
      <c r="P260" s="3459"/>
      <c r="Q260" s="3459"/>
      <c r="R260" s="3459"/>
      <c r="S260" s="3459"/>
      <c r="T260" s="3459"/>
      <c r="U260" s="3459"/>
    </row>
    <row r="261" spans="1:21" s="1011" customFormat="1" ht="14.25" customHeight="1">
      <c r="A261" s="3423" t="s">
        <v>1155</v>
      </c>
      <c r="B261" s="3423" t="s">
        <v>2935</v>
      </c>
      <c r="C261" s="3423">
        <v>6850</v>
      </c>
      <c r="D261" s="3423">
        <v>6810</v>
      </c>
      <c r="E261" s="3423">
        <v>8290</v>
      </c>
      <c r="F261" s="3429">
        <v>1130</v>
      </c>
      <c r="G261" s="3429">
        <v>4180</v>
      </c>
      <c r="I261" s="1024"/>
      <c r="J261" s="3459"/>
      <c r="K261" s="3459"/>
      <c r="L261" s="3459"/>
      <c r="M261" s="3459"/>
      <c r="N261" s="3459"/>
      <c r="O261" s="3459"/>
      <c r="P261" s="3459"/>
      <c r="Q261" s="3459"/>
      <c r="R261" s="3459"/>
      <c r="S261" s="3459"/>
      <c r="T261" s="3459"/>
      <c r="U261" s="3459"/>
    </row>
    <row r="262" spans="1:21" s="1011" customFormat="1" ht="14.25" customHeight="1">
      <c r="A262" s="3423" t="s">
        <v>1155</v>
      </c>
      <c r="B262" s="3423" t="s">
        <v>2936</v>
      </c>
      <c r="C262" s="3423">
        <v>5860</v>
      </c>
      <c r="D262" s="3423">
        <v>5820</v>
      </c>
      <c r="E262" s="3423">
        <v>7640</v>
      </c>
      <c r="F262" s="3429">
        <v>1070</v>
      </c>
      <c r="G262" s="3431">
        <v>3570</v>
      </c>
      <c r="I262" s="1024"/>
      <c r="J262" s="3459"/>
      <c r="K262" s="3459"/>
      <c r="L262" s="3459"/>
      <c r="M262" s="3459"/>
      <c r="N262" s="3459"/>
      <c r="O262" s="3459"/>
      <c r="P262" s="3459"/>
      <c r="Q262" s="3459"/>
      <c r="R262" s="3459"/>
      <c r="S262" s="3459"/>
      <c r="T262" s="3459"/>
      <c r="U262" s="3459"/>
    </row>
    <row r="263" spans="1:21" s="1011" customFormat="1" ht="14.25" customHeight="1">
      <c r="A263" s="3423" t="s">
        <v>1155</v>
      </c>
      <c r="B263" s="3423" t="s">
        <v>2937</v>
      </c>
      <c r="C263" s="3423">
        <v>5870</v>
      </c>
      <c r="D263" s="3423">
        <v>5840</v>
      </c>
      <c r="E263" s="3423">
        <v>7270</v>
      </c>
      <c r="F263" s="3429">
        <v>1190</v>
      </c>
      <c r="G263" s="3429">
        <v>3580</v>
      </c>
      <c r="I263" s="1024"/>
      <c r="J263" s="3459"/>
      <c r="K263" s="3459"/>
      <c r="L263" s="3459"/>
      <c r="M263" s="3459"/>
      <c r="N263" s="3459"/>
      <c r="O263" s="3459"/>
      <c r="P263" s="3459"/>
      <c r="Q263" s="3459"/>
      <c r="R263" s="3459"/>
      <c r="S263" s="3459"/>
      <c r="T263" s="3459"/>
      <c r="U263" s="3459"/>
    </row>
    <row r="264" spans="1:21" s="1011" customFormat="1" ht="14.25" customHeight="1">
      <c r="A264" s="3423" t="s">
        <v>1155</v>
      </c>
      <c r="B264" s="3423" t="s">
        <v>1148</v>
      </c>
      <c r="C264" s="3423">
        <v>6190</v>
      </c>
      <c r="D264" s="3423">
        <v>6150</v>
      </c>
      <c r="E264" s="3423">
        <v>7660</v>
      </c>
      <c r="F264" s="3429">
        <v>1160</v>
      </c>
      <c r="G264" s="3429">
        <v>3770</v>
      </c>
      <c r="I264" s="1024"/>
      <c r="J264" s="3459"/>
      <c r="K264" s="3459"/>
      <c r="L264" s="3459"/>
      <c r="M264" s="3459"/>
      <c r="N264" s="3459"/>
      <c r="O264" s="3459"/>
      <c r="P264" s="3459"/>
      <c r="Q264" s="3459"/>
      <c r="R264" s="3459"/>
      <c r="S264" s="3459"/>
      <c r="T264" s="3459"/>
      <c r="U264" s="3459"/>
    </row>
    <row r="265" spans="1:21" s="1011" customFormat="1" ht="14.25" customHeight="1">
      <c r="A265" s="3423" t="s">
        <v>1155</v>
      </c>
      <c r="B265" s="3423" t="s">
        <v>2938</v>
      </c>
      <c r="C265" s="3423"/>
      <c r="D265" s="3423"/>
      <c r="E265" s="3423"/>
      <c r="F265" s="3429">
        <v>1500</v>
      </c>
      <c r="G265" s="3429"/>
      <c r="I265" s="1024"/>
      <c r="J265" s="3459"/>
      <c r="K265" s="3459"/>
      <c r="L265" s="3459"/>
      <c r="M265" s="3459"/>
      <c r="N265" s="3459"/>
      <c r="O265" s="3459"/>
      <c r="P265" s="3459"/>
      <c r="Q265" s="3459"/>
      <c r="R265" s="3459"/>
      <c r="S265" s="3459"/>
      <c r="T265" s="3459"/>
      <c r="U265" s="3459"/>
    </row>
    <row r="266" spans="1:21" s="1011" customFormat="1" ht="14.25" customHeight="1">
      <c r="A266" s="3423" t="s">
        <v>1155</v>
      </c>
      <c r="B266" s="3423" t="s">
        <v>2939</v>
      </c>
      <c r="C266" s="3423"/>
      <c r="D266" s="3423"/>
      <c r="E266" s="3423"/>
      <c r="F266" s="3429">
        <v>1500</v>
      </c>
      <c r="G266" s="3429"/>
      <c r="I266" s="1024"/>
      <c r="J266" s="3459"/>
      <c r="K266" s="3459"/>
      <c r="L266" s="3459"/>
      <c r="M266" s="3459"/>
      <c r="N266" s="3459"/>
      <c r="O266" s="3459"/>
      <c r="P266" s="3459"/>
      <c r="Q266" s="3459"/>
      <c r="R266" s="3459"/>
      <c r="S266" s="3459"/>
      <c r="T266" s="3459"/>
      <c r="U266" s="3459"/>
    </row>
    <row r="267" spans="1:21" s="1011" customFormat="1" ht="14.25" customHeight="1">
      <c r="A267" s="3423" t="s">
        <v>1155</v>
      </c>
      <c r="B267" s="3423" t="s">
        <v>2940</v>
      </c>
      <c r="C267" s="3423"/>
      <c r="D267" s="3423"/>
      <c r="E267" s="3423"/>
      <c r="F267" s="3429">
        <v>1500</v>
      </c>
      <c r="G267" s="3431"/>
      <c r="I267" s="1024"/>
      <c r="J267" s="3459"/>
      <c r="K267" s="3459"/>
      <c r="L267" s="3459"/>
      <c r="M267" s="3459"/>
      <c r="N267" s="3459"/>
      <c r="O267" s="3459"/>
      <c r="P267" s="3459"/>
      <c r="Q267" s="3459"/>
      <c r="R267" s="3459"/>
      <c r="S267" s="3459"/>
      <c r="T267" s="3459"/>
      <c r="U267" s="3459"/>
    </row>
    <row r="268" spans="1:21" s="1011" customFormat="1" ht="14.25" customHeight="1">
      <c r="A268" s="3423" t="s">
        <v>1155</v>
      </c>
      <c r="B268" s="3423" t="s">
        <v>2941</v>
      </c>
      <c r="C268" s="3423"/>
      <c r="D268" s="3423"/>
      <c r="E268" s="3423"/>
      <c r="F268" s="3429">
        <v>1290</v>
      </c>
      <c r="G268" s="3429"/>
      <c r="I268" s="1024"/>
      <c r="J268" s="3459"/>
      <c r="K268" s="3459"/>
      <c r="L268" s="3459"/>
      <c r="M268" s="3459"/>
      <c r="N268" s="3459"/>
      <c r="O268" s="3459"/>
      <c r="P268" s="3459"/>
      <c r="Q268" s="3459"/>
      <c r="R268" s="3459"/>
      <c r="S268" s="3459"/>
      <c r="T268" s="3459"/>
      <c r="U268" s="3459"/>
    </row>
    <row r="269" spans="1:21" s="1011" customFormat="1" ht="14.25" customHeight="1">
      <c r="A269" s="3423" t="s">
        <v>1155</v>
      </c>
      <c r="B269" s="3423" t="s">
        <v>2942</v>
      </c>
      <c r="C269" s="3423"/>
      <c r="D269" s="3423"/>
      <c r="E269" s="3423"/>
      <c r="F269" s="3429">
        <v>1150</v>
      </c>
      <c r="G269" s="3429"/>
      <c r="I269" s="1024"/>
      <c r="J269" s="3459"/>
      <c r="K269" s="3459"/>
      <c r="L269" s="3459"/>
      <c r="M269" s="3459"/>
      <c r="N269" s="3459"/>
      <c r="O269" s="3459"/>
      <c r="P269" s="3459"/>
      <c r="Q269" s="3459"/>
      <c r="R269" s="3459"/>
      <c r="S269" s="3459"/>
      <c r="T269" s="3459"/>
      <c r="U269" s="3459"/>
    </row>
    <row r="270" spans="1:21" s="1011" customFormat="1" ht="14.25" customHeight="1">
      <c r="A270" s="3423" t="s">
        <v>1155</v>
      </c>
      <c r="B270" s="3423" t="s">
        <v>2943</v>
      </c>
      <c r="C270" s="3423"/>
      <c r="D270" s="3423"/>
      <c r="E270" s="3423"/>
      <c r="F270" s="3429">
        <v>1380</v>
      </c>
      <c r="G270" s="3429"/>
      <c r="I270" s="1024"/>
      <c r="J270" s="3459"/>
      <c r="K270" s="3459"/>
      <c r="L270" s="3459"/>
      <c r="M270" s="3459"/>
      <c r="N270" s="3459"/>
      <c r="O270" s="3459"/>
      <c r="P270" s="3459"/>
      <c r="Q270" s="3459"/>
      <c r="R270" s="3459"/>
      <c r="S270" s="3459"/>
      <c r="T270" s="3459"/>
      <c r="U270" s="3459"/>
    </row>
    <row r="271" spans="1:21" s="1011" customFormat="1" ht="14.25" customHeight="1">
      <c r="A271" s="3423" t="s">
        <v>1155</v>
      </c>
      <c r="B271" s="3423" t="s">
        <v>2944</v>
      </c>
      <c r="C271" s="3423"/>
      <c r="D271" s="3423"/>
      <c r="E271" s="3423"/>
      <c r="F271" s="3429">
        <v>1460</v>
      </c>
      <c r="G271" s="3429"/>
      <c r="I271" s="1024"/>
      <c r="J271" s="3459"/>
      <c r="K271" s="3459"/>
      <c r="L271" s="3459"/>
      <c r="M271" s="3459"/>
      <c r="N271" s="3459"/>
      <c r="O271" s="3459"/>
      <c r="P271" s="3459"/>
      <c r="Q271" s="3459"/>
      <c r="R271" s="3459"/>
      <c r="S271" s="3459"/>
      <c r="T271" s="3459"/>
      <c r="U271" s="3459"/>
    </row>
    <row r="272" spans="1:21" s="1011" customFormat="1" ht="14.25" customHeight="1">
      <c r="A272" s="3423" t="s">
        <v>1155</v>
      </c>
      <c r="B272" s="3423" t="s">
        <v>2945</v>
      </c>
      <c r="C272" s="3432"/>
      <c r="D272" s="3432"/>
      <c r="E272" s="3432"/>
      <c r="F272" s="3431">
        <v>1460</v>
      </c>
      <c r="G272" s="3429"/>
      <c r="I272" s="1024"/>
      <c r="J272" s="3459"/>
      <c r="K272" s="3459"/>
      <c r="L272" s="3459"/>
      <c r="M272" s="3459"/>
      <c r="N272" s="3459"/>
      <c r="O272" s="3459"/>
      <c r="P272" s="3459"/>
      <c r="Q272" s="3459"/>
      <c r="R272" s="3459"/>
      <c r="S272" s="3459"/>
      <c r="T272" s="3459"/>
      <c r="U272" s="3459"/>
    </row>
    <row r="273" spans="1:21" s="1011" customFormat="1" ht="14.25" customHeight="1">
      <c r="A273" s="3423" t="s">
        <v>1155</v>
      </c>
      <c r="B273" s="3423" t="s">
        <v>2946</v>
      </c>
      <c r="C273" s="3423"/>
      <c r="D273" s="3423"/>
      <c r="E273" s="3423"/>
      <c r="F273" s="3429">
        <v>1490</v>
      </c>
      <c r="G273" s="3429"/>
      <c r="I273" s="1024"/>
      <c r="J273" s="3459"/>
      <c r="K273" s="3459"/>
      <c r="L273" s="3459"/>
      <c r="M273" s="3459"/>
      <c r="N273" s="3459"/>
      <c r="O273" s="3459"/>
      <c r="P273" s="3459"/>
      <c r="Q273" s="3459"/>
      <c r="R273" s="3459"/>
      <c r="S273" s="3459"/>
      <c r="T273" s="3459"/>
      <c r="U273" s="3459"/>
    </row>
    <row r="274" spans="1:21" s="1011" customFormat="1" ht="14.25" customHeight="1">
      <c r="A274" s="3423" t="s">
        <v>1155</v>
      </c>
      <c r="B274" s="3423" t="s">
        <v>2947</v>
      </c>
      <c r="C274" s="3423"/>
      <c r="D274" s="3423"/>
      <c r="E274" s="3423"/>
      <c r="F274" s="3429">
        <v>1490</v>
      </c>
      <c r="G274" s="3429"/>
      <c r="I274" s="1024"/>
      <c r="J274" s="3459"/>
      <c r="K274" s="3459"/>
      <c r="L274" s="3459"/>
      <c r="M274" s="3459"/>
      <c r="N274" s="3459"/>
      <c r="O274" s="3459"/>
      <c r="P274" s="3459"/>
      <c r="Q274" s="3459"/>
      <c r="R274" s="3459"/>
      <c r="S274" s="3459"/>
      <c r="T274" s="3459"/>
      <c r="U274" s="3459"/>
    </row>
    <row r="275" spans="1:21" s="1011" customFormat="1" ht="14.25" customHeight="1">
      <c r="A275" s="3423" t="s">
        <v>1155</v>
      </c>
      <c r="B275" s="3423" t="s">
        <v>2948</v>
      </c>
      <c r="C275" s="3423"/>
      <c r="D275" s="3423"/>
      <c r="E275" s="3423"/>
      <c r="F275" s="3429">
        <v>1220</v>
      </c>
      <c r="G275" s="3429"/>
      <c r="I275" s="1024"/>
      <c r="J275" s="3459"/>
      <c r="K275" s="3459"/>
      <c r="L275" s="3459"/>
      <c r="M275" s="3459"/>
      <c r="N275" s="3459"/>
      <c r="O275" s="3459"/>
      <c r="P275" s="3459"/>
      <c r="Q275" s="3459"/>
      <c r="R275" s="3459"/>
      <c r="S275" s="3459"/>
      <c r="T275" s="3459"/>
      <c r="U275" s="3459"/>
    </row>
    <row r="276" spans="1:21" s="1011" customFormat="1" ht="14.25" customHeight="1" thickBot="1">
      <c r="A276" s="3438" t="s">
        <v>1155</v>
      </c>
      <c r="B276" s="3426" t="s">
        <v>2949</v>
      </c>
      <c r="C276" s="3426"/>
      <c r="D276" s="3426"/>
      <c r="E276" s="3426"/>
      <c r="F276" s="3427">
        <v>1380</v>
      </c>
      <c r="G276" s="3439"/>
      <c r="I276" s="1024"/>
      <c r="J276" s="3459"/>
      <c r="K276" s="3459"/>
      <c r="L276" s="3459"/>
      <c r="M276" s="3459"/>
      <c r="N276" s="3459"/>
      <c r="O276" s="3459"/>
      <c r="P276" s="3459"/>
      <c r="Q276" s="3459"/>
      <c r="R276" s="3459"/>
      <c r="S276" s="3459"/>
      <c r="T276" s="3459"/>
      <c r="U276" s="3459"/>
    </row>
    <row r="277" spans="1:21" s="1011" customFormat="1" ht="14.25" customHeight="1">
      <c r="A277" s="3437" t="s">
        <v>1156</v>
      </c>
      <c r="B277" s="1289" t="s">
        <v>2950</v>
      </c>
      <c r="C277" s="1289">
        <v>5790</v>
      </c>
      <c r="D277" s="1289">
        <v>5740</v>
      </c>
      <c r="E277" s="1289">
        <v>6730</v>
      </c>
      <c r="F277" s="3424">
        <v>1110</v>
      </c>
      <c r="G277" s="3424">
        <v>3460</v>
      </c>
      <c r="I277" s="1024"/>
      <c r="J277" s="3459"/>
      <c r="K277" s="3459"/>
      <c r="L277" s="3459"/>
      <c r="M277" s="3459"/>
      <c r="N277" s="3459"/>
      <c r="O277" s="3459"/>
      <c r="P277" s="3459"/>
      <c r="Q277" s="3459"/>
      <c r="R277" s="3459"/>
      <c r="S277" s="3459"/>
      <c r="T277" s="3459"/>
      <c r="U277" s="3459"/>
    </row>
    <row r="278" spans="1:21" s="1011" customFormat="1" ht="14.25" customHeight="1">
      <c r="A278" s="3423" t="s">
        <v>1156</v>
      </c>
      <c r="B278" s="3423" t="s">
        <v>980</v>
      </c>
      <c r="C278" s="3423">
        <v>5740</v>
      </c>
      <c r="D278" s="3423">
        <v>5670</v>
      </c>
      <c r="E278" s="3423">
        <v>6680</v>
      </c>
      <c r="F278" s="3429">
        <v>1070</v>
      </c>
      <c r="G278" s="3429">
        <v>3420</v>
      </c>
      <c r="I278" s="1024"/>
      <c r="J278" s="3459"/>
      <c r="K278" s="3459"/>
      <c r="L278" s="3459"/>
      <c r="M278" s="3459"/>
      <c r="N278" s="3459"/>
      <c r="O278" s="3459"/>
      <c r="P278" s="3459"/>
      <c r="Q278" s="3459"/>
      <c r="R278" s="3459"/>
      <c r="S278" s="3459"/>
      <c r="T278" s="3459"/>
      <c r="U278" s="3459"/>
    </row>
    <row r="279" spans="1:21" s="1011" customFormat="1" ht="14.25" customHeight="1">
      <c r="A279" s="3423" t="s">
        <v>1156</v>
      </c>
      <c r="B279" s="3423" t="s">
        <v>2951</v>
      </c>
      <c r="C279" s="3423">
        <v>4760</v>
      </c>
      <c r="D279" s="3423">
        <v>4720</v>
      </c>
      <c r="E279" s="3423">
        <v>5540</v>
      </c>
      <c r="F279" s="3429">
        <v>810</v>
      </c>
      <c r="G279" s="3429">
        <v>2850</v>
      </c>
      <c r="I279" s="1024"/>
      <c r="J279" s="3459"/>
      <c r="K279" s="3459"/>
      <c r="L279" s="3459"/>
      <c r="M279" s="3459"/>
      <c r="N279" s="3459"/>
      <c r="O279" s="3459"/>
      <c r="P279" s="3459"/>
      <c r="Q279" s="3459"/>
      <c r="R279" s="3459"/>
      <c r="S279" s="3459"/>
      <c r="T279" s="3459"/>
      <c r="U279" s="3459"/>
    </row>
    <row r="280" spans="1:21" s="1011" customFormat="1" ht="14.25" customHeight="1">
      <c r="A280" s="3423" t="s">
        <v>1156</v>
      </c>
      <c r="B280" s="3423" t="s">
        <v>2952</v>
      </c>
      <c r="C280" s="3423">
        <v>4010</v>
      </c>
      <c r="D280" s="3423">
        <v>3950</v>
      </c>
      <c r="E280" s="3423">
        <v>4710</v>
      </c>
      <c r="F280" s="3429">
        <v>800</v>
      </c>
      <c r="G280" s="3429">
        <v>2390</v>
      </c>
      <c r="I280" s="1024"/>
      <c r="J280" s="3459"/>
      <c r="K280" s="3459"/>
      <c r="L280" s="3459"/>
      <c r="M280" s="3459"/>
      <c r="N280" s="3459"/>
      <c r="O280" s="3459"/>
      <c r="P280" s="3459"/>
      <c r="Q280" s="3459"/>
      <c r="R280" s="3459"/>
      <c r="S280" s="3459"/>
      <c r="T280" s="3459"/>
      <c r="U280" s="3459"/>
    </row>
    <row r="281" spans="1:21" s="1011" customFormat="1" ht="14.25" customHeight="1">
      <c r="A281" s="3423" t="s">
        <v>1156</v>
      </c>
      <c r="B281" s="3423" t="s">
        <v>2953</v>
      </c>
      <c r="C281" s="3423">
        <v>4480</v>
      </c>
      <c r="D281" s="3423">
        <v>4420</v>
      </c>
      <c r="E281" s="3423">
        <v>5230</v>
      </c>
      <c r="F281" s="3429">
        <v>870</v>
      </c>
      <c r="G281" s="3429">
        <v>2660</v>
      </c>
      <c r="I281" s="1024"/>
      <c r="J281" s="3459"/>
      <c r="K281" s="3459"/>
      <c r="L281" s="3459"/>
      <c r="M281" s="3459"/>
      <c r="N281" s="3459"/>
      <c r="O281" s="3459"/>
      <c r="P281" s="3459"/>
      <c r="Q281" s="3459"/>
      <c r="R281" s="3459"/>
      <c r="S281" s="3459"/>
      <c r="T281" s="3459"/>
      <c r="U281" s="3459"/>
    </row>
    <row r="282" spans="1:21" s="1011" customFormat="1" ht="14.25" customHeight="1">
      <c r="A282" s="3423" t="s">
        <v>1156</v>
      </c>
      <c r="B282" s="3423" t="s">
        <v>2954</v>
      </c>
      <c r="C282" s="3423">
        <v>5360</v>
      </c>
      <c r="D282" s="3423">
        <v>5300</v>
      </c>
      <c r="E282" s="3423">
        <v>6190</v>
      </c>
      <c r="F282" s="3429">
        <v>950</v>
      </c>
      <c r="G282" s="3429">
        <v>3190</v>
      </c>
      <c r="I282" s="1024"/>
      <c r="J282" s="3459"/>
      <c r="K282" s="3459"/>
      <c r="L282" s="3459"/>
      <c r="M282" s="3459"/>
      <c r="N282" s="3459"/>
      <c r="O282" s="3459"/>
      <c r="P282" s="3459"/>
      <c r="Q282" s="3459"/>
      <c r="R282" s="3459"/>
      <c r="S282" s="3459"/>
      <c r="T282" s="3459"/>
      <c r="U282" s="3459"/>
    </row>
    <row r="283" spans="1:21" s="1011" customFormat="1" ht="14.25" customHeight="1">
      <c r="A283" s="3423" t="s">
        <v>1156</v>
      </c>
      <c r="B283" s="3423" t="s">
        <v>1021</v>
      </c>
      <c r="C283" s="3423">
        <v>4950</v>
      </c>
      <c r="D283" s="3423">
        <v>4900</v>
      </c>
      <c r="E283" s="3423">
        <v>5720</v>
      </c>
      <c r="F283" s="3429">
        <v>920</v>
      </c>
      <c r="G283" s="3429">
        <v>2950</v>
      </c>
      <c r="I283" s="1024"/>
      <c r="J283" s="3459"/>
      <c r="K283" s="3459"/>
      <c r="L283" s="3459"/>
      <c r="M283" s="3459"/>
      <c r="N283" s="3459"/>
      <c r="O283" s="3459"/>
      <c r="P283" s="3459"/>
      <c r="Q283" s="3459"/>
      <c r="R283" s="3459"/>
      <c r="S283" s="3459"/>
      <c r="T283" s="3459"/>
      <c r="U283" s="3459"/>
    </row>
    <row r="284" spans="1:21" s="1011" customFormat="1" ht="14.25" customHeight="1">
      <c r="A284" s="3423" t="s">
        <v>1156</v>
      </c>
      <c r="B284" s="3423" t="s">
        <v>1029</v>
      </c>
      <c r="C284" s="3423">
        <v>5610</v>
      </c>
      <c r="D284" s="3423">
        <v>5560</v>
      </c>
      <c r="E284" s="3423">
        <v>6520</v>
      </c>
      <c r="F284" s="3429">
        <v>1030</v>
      </c>
      <c r="G284" s="3429">
        <v>3360</v>
      </c>
      <c r="I284" s="1024"/>
      <c r="J284" s="3459"/>
      <c r="K284" s="3459"/>
      <c r="L284" s="3459"/>
      <c r="M284" s="3459"/>
      <c r="N284" s="3459"/>
      <c r="O284" s="3459"/>
      <c r="P284" s="3459"/>
      <c r="Q284" s="3459"/>
      <c r="R284" s="3459"/>
      <c r="S284" s="3459"/>
      <c r="T284" s="3459"/>
      <c r="U284" s="3459"/>
    </row>
    <row r="285" spans="1:21" s="1011" customFormat="1" ht="14.25" customHeight="1">
      <c r="A285" s="3423" t="s">
        <v>1156</v>
      </c>
      <c r="B285" s="3423" t="s">
        <v>1039</v>
      </c>
      <c r="C285" s="3423">
        <v>5340</v>
      </c>
      <c r="D285" s="3423">
        <v>5290</v>
      </c>
      <c r="E285" s="3423">
        <v>6170</v>
      </c>
      <c r="F285" s="3429">
        <v>1080</v>
      </c>
      <c r="G285" s="3429">
        <v>3180</v>
      </c>
      <c r="I285" s="1024"/>
      <c r="J285" s="3459"/>
      <c r="K285" s="3459"/>
      <c r="L285" s="3459"/>
      <c r="M285" s="3459"/>
      <c r="N285" s="3459"/>
      <c r="O285" s="3459"/>
      <c r="P285" s="3459"/>
      <c r="Q285" s="3459"/>
      <c r="R285" s="3459"/>
      <c r="S285" s="3459"/>
      <c r="T285" s="3459"/>
      <c r="U285" s="3459"/>
    </row>
    <row r="286" spans="1:21" s="1011" customFormat="1" ht="14.25" customHeight="1">
      <c r="A286" s="3423" t="s">
        <v>1156</v>
      </c>
      <c r="B286" s="3423" t="s">
        <v>1046</v>
      </c>
      <c r="C286" s="3423">
        <v>4890</v>
      </c>
      <c r="D286" s="3423">
        <v>4840</v>
      </c>
      <c r="E286" s="3423">
        <v>5640</v>
      </c>
      <c r="F286" s="3429">
        <v>960</v>
      </c>
      <c r="G286" s="3429">
        <v>2910</v>
      </c>
      <c r="I286" s="1024"/>
      <c r="J286" s="3459"/>
      <c r="K286" s="3459"/>
      <c r="L286" s="3459"/>
      <c r="M286" s="3459"/>
      <c r="N286" s="3459"/>
      <c r="O286" s="3459"/>
      <c r="P286" s="3459"/>
      <c r="Q286" s="3459"/>
      <c r="R286" s="3459"/>
      <c r="S286" s="3459"/>
      <c r="T286" s="3459"/>
      <c r="U286" s="3459"/>
    </row>
    <row r="287" spans="1:21" s="1011" customFormat="1" ht="14.25" customHeight="1">
      <c r="A287" s="3423" t="s">
        <v>1156</v>
      </c>
      <c r="B287" s="3423" t="s">
        <v>2955</v>
      </c>
      <c r="C287" s="3423">
        <v>4960</v>
      </c>
      <c r="D287" s="3423">
        <v>4920</v>
      </c>
      <c r="E287" s="3423">
        <v>5730</v>
      </c>
      <c r="F287" s="3429">
        <v>930</v>
      </c>
      <c r="G287" s="3429">
        <v>2960</v>
      </c>
      <c r="I287" s="1024"/>
      <c r="J287" s="3459"/>
      <c r="K287" s="3459"/>
      <c r="L287" s="3459"/>
      <c r="M287" s="3459"/>
      <c r="N287" s="3459"/>
      <c r="O287" s="3459"/>
      <c r="P287" s="3459"/>
      <c r="Q287" s="3459"/>
      <c r="R287" s="3459"/>
      <c r="S287" s="3459"/>
      <c r="T287" s="3459"/>
      <c r="U287" s="3459"/>
    </row>
    <row r="288" spans="1:21" s="1011" customFormat="1" ht="14.25" customHeight="1">
      <c r="A288" s="3423" t="s">
        <v>1156</v>
      </c>
      <c r="B288" s="3423" t="s">
        <v>1067</v>
      </c>
      <c r="C288" s="3423">
        <v>4350</v>
      </c>
      <c r="D288" s="3423">
        <v>4300</v>
      </c>
      <c r="E288" s="3423">
        <v>4900</v>
      </c>
      <c r="F288" s="3429">
        <v>820</v>
      </c>
      <c r="G288" s="3429">
        <v>2590</v>
      </c>
      <c r="I288" s="1024"/>
      <c r="J288" s="3459"/>
      <c r="K288" s="3459"/>
      <c r="L288" s="3459"/>
      <c r="M288" s="3459"/>
      <c r="N288" s="3459"/>
      <c r="O288" s="3459"/>
      <c r="P288" s="3459"/>
      <c r="Q288" s="3459"/>
      <c r="R288" s="3459"/>
      <c r="S288" s="3459"/>
      <c r="T288" s="3459"/>
      <c r="U288" s="3459"/>
    </row>
    <row r="289" spans="1:21" s="1011" customFormat="1" ht="14.25" customHeight="1">
      <c r="A289" s="3423" t="s">
        <v>1156</v>
      </c>
      <c r="B289" s="3423" t="s">
        <v>2956</v>
      </c>
      <c r="C289" s="3423">
        <v>5230</v>
      </c>
      <c r="D289" s="3423">
        <v>5170</v>
      </c>
      <c r="E289" s="3423">
        <v>6060</v>
      </c>
      <c r="F289" s="3423">
        <v>900</v>
      </c>
      <c r="G289" s="3423">
        <v>3120</v>
      </c>
      <c r="H289" s="3445"/>
      <c r="I289" s="1024"/>
      <c r="J289" s="3459"/>
      <c r="K289" s="3459"/>
      <c r="L289" s="3459"/>
      <c r="M289" s="3459"/>
      <c r="N289" s="3459"/>
      <c r="O289" s="3459"/>
      <c r="P289" s="3459"/>
      <c r="Q289" s="3459"/>
      <c r="R289" s="3459"/>
      <c r="S289" s="3459"/>
      <c r="T289" s="3459"/>
      <c r="U289" s="3459"/>
    </row>
    <row r="290" spans="1:21" s="1011" customFormat="1" ht="14.25" customHeight="1">
      <c r="A290" s="1289" t="s">
        <v>1156</v>
      </c>
      <c r="B290" s="1289" t="s">
        <v>1090</v>
      </c>
      <c r="C290" s="1289">
        <v>5550</v>
      </c>
      <c r="D290" s="1289">
        <v>5500</v>
      </c>
      <c r="E290" s="1289">
        <v>6440</v>
      </c>
      <c r="F290" s="3424">
        <v>960</v>
      </c>
      <c r="G290" s="3440">
        <v>3320</v>
      </c>
      <c r="I290" s="1024"/>
      <c r="J290" s="3459"/>
      <c r="K290" s="3459"/>
      <c r="L290" s="3459"/>
      <c r="M290" s="3459"/>
      <c r="N290" s="3459"/>
      <c r="O290" s="3459"/>
      <c r="P290" s="3459"/>
      <c r="Q290" s="3459"/>
      <c r="R290" s="3459"/>
      <c r="S290" s="3459"/>
      <c r="T290" s="3459"/>
      <c r="U290" s="3459"/>
    </row>
    <row r="291" spans="1:21" s="1011" customFormat="1" ht="14.25" customHeight="1">
      <c r="A291" s="3423" t="s">
        <v>1156</v>
      </c>
      <c r="B291" s="3423" t="s">
        <v>1098</v>
      </c>
      <c r="C291" s="3423">
        <v>5440</v>
      </c>
      <c r="D291" s="3423">
        <v>5400</v>
      </c>
      <c r="E291" s="3423">
        <v>6320</v>
      </c>
      <c r="F291" s="3429">
        <v>930</v>
      </c>
      <c r="G291" s="3431">
        <v>3250</v>
      </c>
      <c r="I291" s="1024"/>
      <c r="J291" s="3459"/>
      <c r="K291" s="3459"/>
      <c r="L291" s="3459"/>
      <c r="M291" s="3459"/>
      <c r="N291" s="3459"/>
      <c r="O291" s="3459"/>
      <c r="P291" s="3459"/>
      <c r="Q291" s="3459"/>
      <c r="R291" s="3459"/>
      <c r="S291" s="3459"/>
      <c r="T291" s="3459"/>
      <c r="U291" s="3459"/>
    </row>
    <row r="292" spans="1:21" s="1011" customFormat="1" ht="14.25" customHeight="1">
      <c r="A292" s="3423" t="s">
        <v>1156</v>
      </c>
      <c r="B292" s="3423" t="s">
        <v>1104</v>
      </c>
      <c r="C292" s="3423">
        <v>5400</v>
      </c>
      <c r="D292" s="3423">
        <v>5360</v>
      </c>
      <c r="E292" s="3423">
        <v>6270</v>
      </c>
      <c r="F292" s="3429">
        <v>1040</v>
      </c>
      <c r="G292" s="3429">
        <v>3230</v>
      </c>
      <c r="I292" s="1024"/>
      <c r="J292" s="3459"/>
      <c r="K292" s="3459"/>
      <c r="L292" s="3459"/>
      <c r="M292" s="3459"/>
      <c r="N292" s="3459"/>
      <c r="O292" s="3459"/>
      <c r="P292" s="3459"/>
      <c r="Q292" s="3459"/>
      <c r="R292" s="3459"/>
      <c r="S292" s="3459"/>
      <c r="T292" s="3459"/>
      <c r="U292" s="3459"/>
    </row>
    <row r="293" spans="1:21" s="1011" customFormat="1" ht="14.25" customHeight="1">
      <c r="A293" s="3423" t="s">
        <v>1156</v>
      </c>
      <c r="B293" s="3423" t="s">
        <v>2957</v>
      </c>
      <c r="C293" s="3423">
        <v>5320</v>
      </c>
      <c r="D293" s="3423">
        <v>5270</v>
      </c>
      <c r="E293" s="3423">
        <v>6160</v>
      </c>
      <c r="F293" s="3429">
        <v>990</v>
      </c>
      <c r="G293" s="3429">
        <v>3170</v>
      </c>
      <c r="I293" s="1024"/>
      <c r="J293" s="3459"/>
      <c r="K293" s="3459"/>
      <c r="L293" s="3459"/>
      <c r="M293" s="3459"/>
      <c r="N293" s="3459"/>
      <c r="O293" s="3459"/>
      <c r="P293" s="3459"/>
      <c r="Q293" s="3459"/>
      <c r="R293" s="3459"/>
      <c r="S293" s="3459"/>
      <c r="T293" s="3459"/>
      <c r="U293" s="3459"/>
    </row>
    <row r="294" spans="1:21" s="1011" customFormat="1" ht="14.25" customHeight="1">
      <c r="A294" s="3423" t="s">
        <v>1156</v>
      </c>
      <c r="B294" s="3423" t="s">
        <v>2958</v>
      </c>
      <c r="C294" s="3423">
        <v>5260</v>
      </c>
      <c r="D294" s="3423">
        <v>5210</v>
      </c>
      <c r="E294" s="3423">
        <v>6100</v>
      </c>
      <c r="F294" s="3429">
        <v>950</v>
      </c>
      <c r="G294" s="3429">
        <v>3150</v>
      </c>
      <c r="I294" s="1024"/>
      <c r="J294" s="3459"/>
      <c r="K294" s="3459"/>
      <c r="L294" s="3459"/>
      <c r="M294" s="3459"/>
      <c r="N294" s="3459"/>
      <c r="O294" s="3459"/>
      <c r="P294" s="3459"/>
      <c r="Q294" s="3459"/>
      <c r="R294" s="3459"/>
      <c r="S294" s="3459"/>
      <c r="T294" s="3459"/>
      <c r="U294" s="3459"/>
    </row>
    <row r="295" spans="1:21" s="1011" customFormat="1" ht="14.25" customHeight="1">
      <c r="A295" s="3423" t="s">
        <v>1156</v>
      </c>
      <c r="B295" s="3423" t="s">
        <v>1139</v>
      </c>
      <c r="C295" s="3423">
        <v>5610</v>
      </c>
      <c r="D295" s="3423">
        <v>5570</v>
      </c>
      <c r="E295" s="3423">
        <v>6530</v>
      </c>
      <c r="F295" s="3429">
        <v>960</v>
      </c>
      <c r="G295" s="3429">
        <v>3360</v>
      </c>
      <c r="I295" s="1024"/>
      <c r="J295" s="3459"/>
      <c r="K295" s="3459"/>
      <c r="L295" s="3459"/>
      <c r="M295" s="3459"/>
      <c r="N295" s="3459"/>
      <c r="O295" s="3459"/>
      <c r="P295" s="3459"/>
      <c r="Q295" s="3459"/>
      <c r="R295" s="3459"/>
      <c r="S295" s="3459"/>
      <c r="T295" s="3459"/>
      <c r="U295" s="3459"/>
    </row>
    <row r="296" spans="1:21" s="1011" customFormat="1" ht="14.25" customHeight="1">
      <c r="A296" s="3423" t="s">
        <v>1156</v>
      </c>
      <c r="B296" s="3423" t="s">
        <v>1142</v>
      </c>
      <c r="C296" s="3423">
        <v>5540</v>
      </c>
      <c r="D296" s="3423">
        <v>5490</v>
      </c>
      <c r="E296" s="3423">
        <v>6430</v>
      </c>
      <c r="F296" s="3429">
        <v>980</v>
      </c>
      <c r="G296" s="3429">
        <v>3310</v>
      </c>
      <c r="I296" s="1024"/>
      <c r="J296" s="3459"/>
      <c r="K296" s="3459"/>
      <c r="L296" s="3459"/>
      <c r="M296" s="3459"/>
      <c r="N296" s="3459"/>
      <c r="O296" s="3459"/>
      <c r="P296" s="3459"/>
      <c r="Q296" s="3459"/>
      <c r="R296" s="3459"/>
      <c r="S296" s="3459"/>
      <c r="T296" s="3459"/>
      <c r="U296" s="3459"/>
    </row>
    <row r="297" spans="1:21" s="1011" customFormat="1" ht="14.25" customHeight="1">
      <c r="A297" s="3423" t="s">
        <v>1156</v>
      </c>
      <c r="B297" s="3423" t="s">
        <v>1144</v>
      </c>
      <c r="C297" s="3423">
        <v>5480</v>
      </c>
      <c r="D297" s="3423">
        <v>5420</v>
      </c>
      <c r="E297" s="3423">
        <v>6370</v>
      </c>
      <c r="F297" s="3429">
        <v>990</v>
      </c>
      <c r="G297" s="3429">
        <v>3270</v>
      </c>
      <c r="I297" s="1024"/>
      <c r="J297" s="3459"/>
      <c r="K297" s="3459"/>
      <c r="L297" s="3459"/>
      <c r="M297" s="3459"/>
      <c r="N297" s="3459"/>
      <c r="O297" s="3459"/>
      <c r="P297" s="3459"/>
      <c r="Q297" s="3459"/>
      <c r="R297" s="3459"/>
      <c r="S297" s="3459"/>
      <c r="T297" s="3459"/>
      <c r="U297" s="3459"/>
    </row>
    <row r="298" spans="1:21" s="1011" customFormat="1" ht="14.25" customHeight="1">
      <c r="A298" s="3423" t="s">
        <v>1156</v>
      </c>
      <c r="B298" s="3423" t="s">
        <v>1147</v>
      </c>
      <c r="C298" s="3423">
        <v>5090</v>
      </c>
      <c r="D298" s="3423">
        <v>5050</v>
      </c>
      <c r="E298" s="3423">
        <v>5910</v>
      </c>
      <c r="F298" s="3429">
        <v>900</v>
      </c>
      <c r="G298" s="3429">
        <v>3040</v>
      </c>
      <c r="I298" s="1024"/>
      <c r="J298" s="3459"/>
      <c r="K298" s="3459"/>
      <c r="L298" s="3459"/>
      <c r="M298" s="3459"/>
      <c r="N298" s="3459"/>
      <c r="O298" s="3459"/>
      <c r="P298" s="3459"/>
      <c r="Q298" s="3459"/>
      <c r="R298" s="3459"/>
      <c r="S298" s="3459"/>
      <c r="T298" s="3459"/>
      <c r="U298" s="3459"/>
    </row>
    <row r="299" spans="1:21" s="1011" customFormat="1" ht="14.25" customHeight="1">
      <c r="A299" s="3423" t="s">
        <v>1156</v>
      </c>
      <c r="B299" s="3423" t="s">
        <v>2959</v>
      </c>
      <c r="C299" s="3423">
        <v>5430</v>
      </c>
      <c r="D299" s="3423">
        <v>5380</v>
      </c>
      <c r="E299" s="3423">
        <v>6280</v>
      </c>
      <c r="F299" s="3429">
        <v>1000</v>
      </c>
      <c r="G299" s="3431">
        <v>3240</v>
      </c>
      <c r="I299" s="1024"/>
      <c r="J299" s="3459"/>
      <c r="K299" s="3459"/>
      <c r="L299" s="3459"/>
      <c r="M299" s="3459"/>
      <c r="N299" s="3459"/>
      <c r="O299" s="3459"/>
      <c r="P299" s="3459"/>
      <c r="Q299" s="3459"/>
      <c r="R299" s="3459"/>
      <c r="S299" s="3459"/>
      <c r="T299" s="3459"/>
      <c r="U299" s="3459"/>
    </row>
    <row r="300" spans="1:21" s="1011" customFormat="1" ht="14.25" customHeight="1">
      <c r="A300" s="3423" t="s">
        <v>1156</v>
      </c>
      <c r="B300" s="3423" t="s">
        <v>1119</v>
      </c>
      <c r="C300" s="3423">
        <v>4740</v>
      </c>
      <c r="D300" s="3423">
        <v>4680</v>
      </c>
      <c r="E300" s="3423">
        <v>5450</v>
      </c>
      <c r="F300" s="3429">
        <v>900</v>
      </c>
      <c r="G300" s="3429">
        <v>2830</v>
      </c>
      <c r="I300" s="1024"/>
      <c r="J300" s="3459"/>
      <c r="K300" s="3459"/>
      <c r="L300" s="3459"/>
      <c r="M300" s="3459"/>
      <c r="N300" s="3459"/>
      <c r="O300" s="3459"/>
      <c r="P300" s="3459"/>
      <c r="Q300" s="3459"/>
      <c r="R300" s="3459"/>
      <c r="S300" s="3459"/>
      <c r="T300" s="3459"/>
      <c r="U300" s="3459"/>
    </row>
    <row r="301" spans="1:21" s="1011" customFormat="1" ht="14.25" customHeight="1">
      <c r="A301" s="3423" t="s">
        <v>1156</v>
      </c>
      <c r="B301" s="3423" t="s">
        <v>1125</v>
      </c>
      <c r="C301" s="3423">
        <v>4870</v>
      </c>
      <c r="D301" s="3423">
        <v>4810</v>
      </c>
      <c r="E301" s="3423">
        <v>5560</v>
      </c>
      <c r="F301" s="3429">
        <v>990</v>
      </c>
      <c r="G301" s="3431">
        <v>2910</v>
      </c>
      <c r="I301" s="1024"/>
      <c r="J301" s="3459"/>
      <c r="K301" s="3459"/>
      <c r="L301" s="3459"/>
      <c r="M301" s="3459"/>
      <c r="N301" s="3459"/>
      <c r="O301" s="3459"/>
      <c r="P301" s="3459"/>
      <c r="Q301" s="3459"/>
      <c r="R301" s="3459"/>
      <c r="S301" s="3459"/>
      <c r="T301" s="3459"/>
      <c r="U301" s="3459"/>
    </row>
    <row r="302" spans="1:21" s="1011" customFormat="1" ht="14.25" customHeight="1">
      <c r="A302" s="3423" t="s">
        <v>1156</v>
      </c>
      <c r="B302" s="3423" t="s">
        <v>2960</v>
      </c>
      <c r="C302" s="3423">
        <v>5520</v>
      </c>
      <c r="D302" s="3423">
        <v>5470</v>
      </c>
      <c r="E302" s="3423">
        <v>6410</v>
      </c>
      <c r="F302" s="3429">
        <v>950</v>
      </c>
      <c r="G302" s="3429">
        <v>3300</v>
      </c>
      <c r="I302" s="1024"/>
      <c r="J302" s="3459"/>
      <c r="K302" s="3459"/>
      <c r="L302" s="3459"/>
      <c r="M302" s="3459"/>
      <c r="N302" s="3459"/>
      <c r="O302" s="3459"/>
      <c r="P302" s="3459"/>
      <c r="Q302" s="3459"/>
      <c r="R302" s="3459"/>
      <c r="S302" s="3459"/>
      <c r="T302" s="3459"/>
      <c r="U302" s="3459"/>
    </row>
    <row r="303" spans="1:21" s="1011" customFormat="1" ht="14.25" customHeight="1">
      <c r="A303" s="3423" t="s">
        <v>1156</v>
      </c>
      <c r="B303" s="3423" t="s">
        <v>2961</v>
      </c>
      <c r="C303" s="3423">
        <v>5630</v>
      </c>
      <c r="D303" s="3423">
        <v>5590</v>
      </c>
      <c r="E303" s="3423">
        <v>6550</v>
      </c>
      <c r="F303" s="3429">
        <v>1010</v>
      </c>
      <c r="G303" s="3429">
        <v>3370</v>
      </c>
      <c r="I303" s="1024"/>
      <c r="J303" s="3459"/>
      <c r="K303" s="3459"/>
      <c r="L303" s="3459"/>
      <c r="M303" s="3459"/>
      <c r="N303" s="3459"/>
      <c r="O303" s="3459"/>
      <c r="P303" s="3459"/>
      <c r="Q303" s="3459"/>
      <c r="R303" s="3459"/>
      <c r="S303" s="3459"/>
      <c r="T303" s="3459"/>
      <c r="U303" s="3459"/>
    </row>
    <row r="304" spans="1:21" s="1011" customFormat="1" ht="14.25" customHeight="1">
      <c r="A304" s="3423" t="s">
        <v>1156</v>
      </c>
      <c r="B304" s="3423" t="s">
        <v>2962</v>
      </c>
      <c r="C304" s="3423">
        <v>5680</v>
      </c>
      <c r="D304" s="3423">
        <v>5620</v>
      </c>
      <c r="E304" s="3423">
        <v>6620</v>
      </c>
      <c r="F304" s="3429">
        <v>1050</v>
      </c>
      <c r="G304" s="3431">
        <v>3390</v>
      </c>
      <c r="I304" s="1024"/>
      <c r="J304" s="3459"/>
      <c r="K304" s="3459"/>
      <c r="L304" s="3459"/>
      <c r="M304" s="3459"/>
      <c r="N304" s="3459"/>
      <c r="O304" s="3459"/>
      <c r="P304" s="3459"/>
      <c r="Q304" s="3459"/>
      <c r="R304" s="3459"/>
      <c r="S304" s="3459"/>
      <c r="T304" s="3459"/>
      <c r="U304" s="3459"/>
    </row>
    <row r="305" spans="1:21" s="1011" customFormat="1" ht="14.25" customHeight="1">
      <c r="A305" s="3423" t="s">
        <v>1156</v>
      </c>
      <c r="B305" s="3423" t="s">
        <v>2963</v>
      </c>
      <c r="C305" s="3423">
        <v>5590</v>
      </c>
      <c r="D305" s="3423">
        <v>5530</v>
      </c>
      <c r="E305" s="3423">
        <v>6460</v>
      </c>
      <c r="F305" s="3429">
        <v>900</v>
      </c>
      <c r="G305" s="3429">
        <v>3340</v>
      </c>
      <c r="I305" s="1024"/>
      <c r="J305" s="3459"/>
      <c r="K305" s="3459"/>
      <c r="L305" s="3459"/>
      <c r="M305" s="3459"/>
      <c r="N305" s="3459"/>
      <c r="O305" s="3459"/>
      <c r="P305" s="3459"/>
      <c r="Q305" s="3459"/>
      <c r="R305" s="3459"/>
      <c r="S305" s="3459"/>
      <c r="T305" s="3459"/>
      <c r="U305" s="3459"/>
    </row>
    <row r="306" spans="1:21" s="1011" customFormat="1" ht="14.25" customHeight="1">
      <c r="A306" s="3423" t="s">
        <v>1156</v>
      </c>
      <c r="B306" s="3423" t="s">
        <v>2964</v>
      </c>
      <c r="C306" s="3423">
        <v>5560</v>
      </c>
      <c r="D306" s="3423">
        <v>5510</v>
      </c>
      <c r="E306" s="3423">
        <v>6440</v>
      </c>
      <c r="F306" s="3429">
        <v>900</v>
      </c>
      <c r="G306" s="3431">
        <v>3320</v>
      </c>
      <c r="I306" s="1024"/>
      <c r="J306" s="3459"/>
      <c r="K306" s="3459"/>
      <c r="L306" s="3459"/>
      <c r="M306" s="3459"/>
      <c r="N306" s="3459"/>
      <c r="O306" s="3459"/>
      <c r="P306" s="3459"/>
      <c r="Q306" s="3459"/>
      <c r="R306" s="3459"/>
      <c r="S306" s="3459"/>
      <c r="T306" s="3459"/>
      <c r="U306" s="3459"/>
    </row>
    <row r="307" spans="1:21" s="1011" customFormat="1" ht="14.25" customHeight="1">
      <c r="A307" s="3423" t="s">
        <v>1156</v>
      </c>
      <c r="B307" s="3423" t="s">
        <v>2965</v>
      </c>
      <c r="C307" s="3423">
        <v>5650</v>
      </c>
      <c r="D307" s="3423">
        <v>5600</v>
      </c>
      <c r="E307" s="3423">
        <v>6590</v>
      </c>
      <c r="F307" s="3429">
        <v>930</v>
      </c>
      <c r="G307" s="3429">
        <v>3380</v>
      </c>
      <c r="I307" s="1024"/>
      <c r="J307" s="3459"/>
      <c r="K307" s="3459"/>
      <c r="L307" s="3459"/>
      <c r="M307" s="3459"/>
      <c r="N307" s="3459"/>
      <c r="O307" s="3459"/>
      <c r="P307" s="3459"/>
      <c r="Q307" s="3459"/>
      <c r="R307" s="3459"/>
      <c r="S307" s="3459"/>
      <c r="T307" s="3459"/>
      <c r="U307" s="3459"/>
    </row>
    <row r="308" spans="1:21" s="1011" customFormat="1" ht="14.25" customHeight="1">
      <c r="A308" s="3423" t="s">
        <v>1156</v>
      </c>
      <c r="B308" s="3423" t="s">
        <v>2966</v>
      </c>
      <c r="C308" s="3423">
        <v>5620</v>
      </c>
      <c r="D308" s="3423">
        <v>5580</v>
      </c>
      <c r="E308" s="3423">
        <v>6540</v>
      </c>
      <c r="F308" s="3429">
        <v>910</v>
      </c>
      <c r="G308" s="3429">
        <v>3370</v>
      </c>
      <c r="I308" s="1024"/>
      <c r="J308" s="3459"/>
      <c r="K308" s="3459"/>
      <c r="L308" s="3459"/>
      <c r="M308" s="3459"/>
      <c r="N308" s="3459"/>
      <c r="O308" s="3459"/>
      <c r="P308" s="3459"/>
      <c r="Q308" s="3459"/>
      <c r="R308" s="3459"/>
      <c r="S308" s="3459"/>
      <c r="T308" s="3459"/>
      <c r="U308" s="3459"/>
    </row>
    <row r="309" spans="1:21" s="1011" customFormat="1" ht="14.25" customHeight="1">
      <c r="A309" s="3423" t="s">
        <v>1156</v>
      </c>
      <c r="B309" s="3423" t="s">
        <v>2967</v>
      </c>
      <c r="C309" s="3423">
        <v>5060</v>
      </c>
      <c r="D309" s="3423">
        <v>5020</v>
      </c>
      <c r="E309" s="3423">
        <v>6370</v>
      </c>
      <c r="F309" s="3429">
        <v>800</v>
      </c>
      <c r="G309" s="3431">
        <v>3020</v>
      </c>
      <c r="I309" s="1024"/>
      <c r="J309" s="3459"/>
      <c r="K309" s="3459"/>
      <c r="L309" s="3459"/>
      <c r="M309" s="3459"/>
      <c r="N309" s="3459"/>
      <c r="O309" s="3459"/>
      <c r="P309" s="3459"/>
      <c r="Q309" s="3459"/>
      <c r="R309" s="3459"/>
      <c r="S309" s="3459"/>
      <c r="T309" s="3459"/>
      <c r="U309" s="3459"/>
    </row>
    <row r="310" spans="1:21" s="1011" customFormat="1" ht="14.25" customHeight="1">
      <c r="A310" s="3423" t="s">
        <v>1156</v>
      </c>
      <c r="B310" s="3423" t="s">
        <v>2968</v>
      </c>
      <c r="C310" s="3423">
        <v>5150</v>
      </c>
      <c r="D310" s="3423">
        <v>5110</v>
      </c>
      <c r="E310" s="3423">
        <v>6500</v>
      </c>
      <c r="F310" s="3429">
        <v>880</v>
      </c>
      <c r="G310" s="3429">
        <v>3080</v>
      </c>
      <c r="I310" s="1024"/>
      <c r="J310" s="3459"/>
      <c r="K310" s="3459"/>
      <c r="L310" s="3459"/>
      <c r="M310" s="3459"/>
      <c r="N310" s="3459"/>
      <c r="O310" s="3459"/>
      <c r="P310" s="3459"/>
      <c r="Q310" s="3459"/>
      <c r="R310" s="3459"/>
      <c r="S310" s="3459"/>
      <c r="T310" s="3459"/>
      <c r="U310" s="3459"/>
    </row>
    <row r="311" spans="1:21" s="1011" customFormat="1" ht="14.25" customHeight="1">
      <c r="A311" s="3423" t="s">
        <v>1156</v>
      </c>
      <c r="B311" s="3423" t="s">
        <v>2969</v>
      </c>
      <c r="C311" s="3423">
        <v>4750</v>
      </c>
      <c r="D311" s="3423">
        <v>4710</v>
      </c>
      <c r="E311" s="3423">
        <v>5510</v>
      </c>
      <c r="F311" s="3429">
        <v>880</v>
      </c>
      <c r="G311" s="3429">
        <v>2840</v>
      </c>
      <c r="I311" s="1024"/>
      <c r="J311" s="3459"/>
      <c r="K311" s="3459"/>
      <c r="L311" s="3459"/>
      <c r="M311" s="3459"/>
      <c r="N311" s="3459"/>
      <c r="O311" s="3459"/>
      <c r="P311" s="3459"/>
      <c r="Q311" s="3459"/>
      <c r="R311" s="3459"/>
      <c r="S311" s="3459"/>
      <c r="T311" s="3459"/>
      <c r="U311" s="3459"/>
    </row>
    <row r="312" spans="1:21" s="1011" customFormat="1" ht="14.25" customHeight="1">
      <c r="A312" s="3423" t="s">
        <v>1156</v>
      </c>
      <c r="B312" s="3423" t="s">
        <v>2970</v>
      </c>
      <c r="C312" s="3423">
        <v>4690</v>
      </c>
      <c r="D312" s="3423">
        <v>4640</v>
      </c>
      <c r="E312" s="3423">
        <v>5420</v>
      </c>
      <c r="F312" s="3429">
        <v>800</v>
      </c>
      <c r="G312" s="3429">
        <v>2800</v>
      </c>
      <c r="I312" s="1024"/>
      <c r="J312" s="3459"/>
      <c r="K312" s="3459"/>
      <c r="L312" s="3459"/>
      <c r="M312" s="3459"/>
      <c r="N312" s="3459"/>
      <c r="O312" s="3459"/>
      <c r="P312" s="3459"/>
      <c r="Q312" s="3459"/>
      <c r="R312" s="3459"/>
      <c r="S312" s="3459"/>
      <c r="T312" s="3459"/>
      <c r="U312" s="3459"/>
    </row>
    <row r="313" spans="1:21" s="1011" customFormat="1" ht="14.25" customHeight="1">
      <c r="A313" s="3423" t="s">
        <v>1156</v>
      </c>
      <c r="B313" s="3423" t="s">
        <v>2971</v>
      </c>
      <c r="C313" s="3423">
        <v>4810</v>
      </c>
      <c r="D313" s="3423">
        <v>4760</v>
      </c>
      <c r="E313" s="3423">
        <v>5550</v>
      </c>
      <c r="F313" s="3429">
        <v>920</v>
      </c>
      <c r="G313" s="3429">
        <v>2870</v>
      </c>
      <c r="I313" s="1024"/>
      <c r="J313" s="3459"/>
      <c r="K313" s="3459"/>
      <c r="L313" s="3459"/>
      <c r="M313" s="3459"/>
      <c r="N313" s="3459"/>
      <c r="O313" s="3459"/>
      <c r="P313" s="3459"/>
      <c r="Q313" s="3459"/>
      <c r="R313" s="3459"/>
      <c r="S313" s="3459"/>
      <c r="T313" s="3459"/>
      <c r="U313" s="3459"/>
    </row>
    <row r="314" spans="1:21" s="1011" customFormat="1" ht="14.25" customHeight="1">
      <c r="A314" s="3423" t="s">
        <v>1156</v>
      </c>
      <c r="B314" s="3423" t="s">
        <v>2972</v>
      </c>
      <c r="C314" s="3423"/>
      <c r="D314" s="3423"/>
      <c r="E314" s="3423"/>
      <c r="F314" s="3429">
        <v>1020</v>
      </c>
      <c r="G314" s="3429"/>
      <c r="I314" s="1024"/>
      <c r="J314" s="3459"/>
      <c r="K314" s="3459"/>
      <c r="L314" s="3459"/>
      <c r="M314" s="3459"/>
      <c r="N314" s="3459"/>
      <c r="O314" s="3459"/>
      <c r="P314" s="3459"/>
      <c r="Q314" s="3459"/>
      <c r="R314" s="3459"/>
      <c r="S314" s="3459"/>
      <c r="T314" s="3459"/>
      <c r="U314" s="3459"/>
    </row>
    <row r="315" spans="1:21" s="1011" customFormat="1" ht="14.25" customHeight="1">
      <c r="A315" s="3423" t="s">
        <v>1156</v>
      </c>
      <c r="B315" s="3423" t="s">
        <v>2973</v>
      </c>
      <c r="C315" s="3423"/>
      <c r="D315" s="3423"/>
      <c r="E315" s="3423"/>
      <c r="F315" s="3429">
        <v>1050</v>
      </c>
      <c r="G315" s="3429"/>
      <c r="I315" s="1024"/>
      <c r="J315" s="3459"/>
      <c r="K315" s="3459"/>
      <c r="L315" s="3459"/>
      <c r="M315" s="3459"/>
      <c r="N315" s="3459"/>
      <c r="O315" s="3459"/>
      <c r="P315" s="3459"/>
      <c r="Q315" s="3459"/>
      <c r="R315" s="3459"/>
      <c r="S315" s="3459"/>
      <c r="T315" s="3459"/>
      <c r="U315" s="3459"/>
    </row>
    <row r="316" spans="1:21" s="1011" customFormat="1" ht="14.25" customHeight="1">
      <c r="A316" s="3423" t="s">
        <v>1156</v>
      </c>
      <c r="B316" s="3423" t="s">
        <v>2974</v>
      </c>
      <c r="C316" s="3423"/>
      <c r="D316" s="3423"/>
      <c r="E316" s="3423"/>
      <c r="F316" s="3429">
        <v>900</v>
      </c>
      <c r="G316" s="3436"/>
      <c r="I316" s="1024"/>
      <c r="J316" s="3459"/>
      <c r="K316" s="3459"/>
      <c r="L316" s="3459"/>
      <c r="M316" s="3459"/>
      <c r="N316" s="3459"/>
      <c r="O316" s="3459"/>
      <c r="P316" s="3459"/>
      <c r="Q316" s="3459"/>
      <c r="R316" s="3459"/>
      <c r="S316" s="3459"/>
      <c r="T316" s="3459"/>
      <c r="U316" s="3459"/>
    </row>
    <row r="317" spans="1:21" s="1011" customFormat="1" ht="14.25" customHeight="1">
      <c r="A317" s="1289" t="s">
        <v>1156</v>
      </c>
      <c r="B317" s="1289" t="s">
        <v>2975</v>
      </c>
      <c r="C317" s="1289"/>
      <c r="D317" s="1289"/>
      <c r="E317" s="1289"/>
      <c r="F317" s="3424">
        <v>920</v>
      </c>
      <c r="G317" s="3424"/>
      <c r="I317" s="1008"/>
      <c r="J317" s="3459"/>
      <c r="K317" s="3459"/>
      <c r="L317" s="3459"/>
      <c r="M317" s="3459"/>
      <c r="N317" s="3459"/>
      <c r="O317" s="3459"/>
      <c r="P317" s="3459"/>
      <c r="Q317" s="3459"/>
      <c r="R317" s="3459"/>
      <c r="S317" s="3459"/>
      <c r="T317" s="3459"/>
      <c r="U317" s="3459"/>
    </row>
    <row r="318" spans="1:21" s="1011" customFormat="1" ht="14.25" customHeight="1">
      <c r="A318" s="3423" t="s">
        <v>1156</v>
      </c>
      <c r="B318" s="3423" t="s">
        <v>2976</v>
      </c>
      <c r="C318" s="3423"/>
      <c r="D318" s="3423"/>
      <c r="E318" s="3423"/>
      <c r="F318" s="3429">
        <v>1080</v>
      </c>
      <c r="G318" s="3431"/>
      <c r="I318" s="1008"/>
      <c r="J318" s="3459"/>
      <c r="K318" s="3459"/>
      <c r="L318" s="3459"/>
      <c r="M318" s="3459"/>
      <c r="N318" s="3459"/>
      <c r="O318" s="3459"/>
      <c r="P318" s="3459"/>
      <c r="Q318" s="3459"/>
      <c r="R318" s="3459"/>
      <c r="S318" s="3459"/>
      <c r="T318" s="3459"/>
      <c r="U318" s="3459"/>
    </row>
    <row r="319" spans="1:21" s="1011" customFormat="1" ht="14.25" customHeight="1">
      <c r="A319" s="3423" t="s">
        <v>1156</v>
      </c>
      <c r="B319" s="3423" t="s">
        <v>2977</v>
      </c>
      <c r="C319" s="3423"/>
      <c r="D319" s="3423"/>
      <c r="E319" s="3423"/>
      <c r="F319" s="3429">
        <v>1020</v>
      </c>
      <c r="G319" s="3429"/>
      <c r="I319" s="1008"/>
      <c r="J319" s="3459"/>
      <c r="K319" s="3459"/>
      <c r="L319" s="3459"/>
      <c r="M319" s="3459"/>
      <c r="N319" s="3459"/>
      <c r="O319" s="3459"/>
      <c r="P319" s="3459"/>
      <c r="Q319" s="3459"/>
      <c r="R319" s="3459"/>
      <c r="S319" s="3459"/>
      <c r="T319" s="3459"/>
      <c r="U319" s="3459"/>
    </row>
    <row r="320" spans="1:21" s="1011" customFormat="1" ht="14.25" customHeight="1">
      <c r="A320" s="3423" t="s">
        <v>1156</v>
      </c>
      <c r="B320" s="3423" t="s">
        <v>2978</v>
      </c>
      <c r="C320" s="3423"/>
      <c r="D320" s="3423"/>
      <c r="E320" s="3423"/>
      <c r="F320" s="3429">
        <v>1050</v>
      </c>
      <c r="G320" s="3431"/>
      <c r="I320" s="1008"/>
      <c r="J320" s="3459"/>
      <c r="K320" s="3459"/>
      <c r="L320" s="3459"/>
      <c r="M320" s="3459"/>
      <c r="N320" s="3459"/>
      <c r="O320" s="3459"/>
      <c r="P320" s="3459"/>
      <c r="Q320" s="3459"/>
      <c r="R320" s="3459"/>
      <c r="S320" s="3459"/>
      <c r="T320" s="3459"/>
      <c r="U320" s="3459"/>
    </row>
    <row r="321" spans="1:21" s="1011" customFormat="1" ht="14.25" customHeight="1">
      <c r="A321" s="3423" t="s">
        <v>1156</v>
      </c>
      <c r="B321" s="3423" t="s">
        <v>2979</v>
      </c>
      <c r="C321" s="3423"/>
      <c r="D321" s="3423"/>
      <c r="E321" s="3423"/>
      <c r="F321" s="3429">
        <v>960</v>
      </c>
      <c r="G321" s="3431"/>
      <c r="I321" s="1008"/>
      <c r="J321" s="3459"/>
      <c r="K321" s="3459"/>
      <c r="L321" s="3459"/>
      <c r="M321" s="3459"/>
      <c r="N321" s="3459"/>
      <c r="O321" s="3459"/>
      <c r="P321" s="3459"/>
      <c r="Q321" s="3459"/>
      <c r="R321" s="3459"/>
      <c r="S321" s="3459"/>
      <c r="T321" s="3459"/>
      <c r="U321" s="3459"/>
    </row>
    <row r="322" spans="1:21" s="1011" customFormat="1" ht="14.25" customHeight="1">
      <c r="A322" s="3423" t="s">
        <v>1156</v>
      </c>
      <c r="B322" s="3423" t="s">
        <v>2980</v>
      </c>
      <c r="C322" s="3423"/>
      <c r="D322" s="3423"/>
      <c r="E322" s="3423"/>
      <c r="F322" s="3429">
        <v>960</v>
      </c>
      <c r="G322" s="3429"/>
      <c r="I322" s="1008"/>
      <c r="J322" s="3459"/>
      <c r="K322" s="3459"/>
      <c r="L322" s="3459"/>
      <c r="M322" s="3459"/>
      <c r="N322" s="3459"/>
      <c r="O322" s="3459"/>
      <c r="P322" s="3459"/>
      <c r="Q322" s="3459"/>
      <c r="R322" s="3459"/>
      <c r="S322" s="3459"/>
      <c r="T322" s="3459"/>
      <c r="U322" s="3459"/>
    </row>
    <row r="323" spans="1:21" s="1011" customFormat="1" ht="14.25" customHeight="1">
      <c r="A323" s="3423" t="s">
        <v>1156</v>
      </c>
      <c r="B323" s="3423" t="s">
        <v>2981</v>
      </c>
      <c r="C323" s="3423"/>
      <c r="D323" s="3423"/>
      <c r="E323" s="3423"/>
      <c r="F323" s="3429">
        <v>880</v>
      </c>
      <c r="G323" s="3431"/>
      <c r="I323" s="1008"/>
      <c r="J323" s="3459"/>
      <c r="K323" s="3459"/>
      <c r="L323" s="3459"/>
      <c r="M323" s="3459"/>
      <c r="N323" s="3459"/>
      <c r="O323" s="3459"/>
      <c r="P323" s="3459"/>
      <c r="Q323" s="3459"/>
      <c r="R323" s="3459"/>
      <c r="S323" s="3459"/>
      <c r="T323" s="3459"/>
      <c r="U323" s="3459"/>
    </row>
    <row r="324" spans="1:21" s="1011" customFormat="1" ht="14.25" customHeight="1">
      <c r="A324" s="3423" t="s">
        <v>1156</v>
      </c>
      <c r="B324" s="3423" t="s">
        <v>2982</v>
      </c>
      <c r="C324" s="3423"/>
      <c r="D324" s="3423"/>
      <c r="E324" s="3423"/>
      <c r="F324" s="3429">
        <v>930</v>
      </c>
      <c r="G324" s="3431"/>
      <c r="I324" s="1008"/>
      <c r="J324" s="3459"/>
      <c r="K324" s="3459"/>
      <c r="L324" s="3459"/>
      <c r="M324" s="3459"/>
      <c r="N324" s="3459"/>
      <c r="O324" s="3459"/>
      <c r="P324" s="3459"/>
      <c r="Q324" s="3459"/>
      <c r="R324" s="3459"/>
      <c r="S324" s="3459"/>
      <c r="T324" s="3459"/>
      <c r="U324" s="3459"/>
    </row>
    <row r="325" spans="1:21" s="1011" customFormat="1" ht="14.25" customHeight="1">
      <c r="A325" s="3423" t="s">
        <v>1156</v>
      </c>
      <c r="B325" s="3423" t="s">
        <v>2983</v>
      </c>
      <c r="C325" s="3423"/>
      <c r="D325" s="3423"/>
      <c r="E325" s="3423"/>
      <c r="F325" s="3429">
        <v>900</v>
      </c>
      <c r="G325" s="3429"/>
      <c r="I325" s="1008"/>
      <c r="J325" s="3459"/>
      <c r="K325" s="3459"/>
      <c r="L325" s="3459"/>
      <c r="M325" s="3459"/>
      <c r="N325" s="3459"/>
      <c r="O325" s="3459"/>
      <c r="P325" s="3459"/>
      <c r="Q325" s="3459"/>
      <c r="R325" s="3459"/>
      <c r="S325" s="3459"/>
      <c r="T325" s="3459"/>
      <c r="U325" s="3459"/>
    </row>
    <row r="326" spans="1:21" s="1011" customFormat="1" ht="14.25" customHeight="1" thickBot="1">
      <c r="A326" s="3438" t="s">
        <v>1156</v>
      </c>
      <c r="B326" s="3426" t="s">
        <v>2984</v>
      </c>
      <c r="C326" s="3426"/>
      <c r="D326" s="3426"/>
      <c r="E326" s="3426"/>
      <c r="F326" s="3427">
        <v>790</v>
      </c>
      <c r="G326" s="3442"/>
      <c r="I326" s="1008"/>
      <c r="J326" s="3459"/>
      <c r="K326" s="3459"/>
      <c r="L326" s="3459"/>
      <c r="M326" s="3459"/>
      <c r="N326" s="3459"/>
      <c r="O326" s="3459"/>
      <c r="P326" s="3459"/>
      <c r="Q326" s="3459"/>
      <c r="R326" s="3459"/>
      <c r="S326" s="3459"/>
      <c r="T326" s="3459"/>
      <c r="U326" s="3459"/>
    </row>
    <row r="327" spans="1:21" s="1011" customFormat="1" ht="14.25" customHeight="1">
      <c r="A327" s="3437" t="s">
        <v>1157</v>
      </c>
      <c r="B327" s="2601" t="s">
        <v>2985</v>
      </c>
      <c r="C327" s="2601">
        <v>3750</v>
      </c>
      <c r="D327" s="2601">
        <v>3710</v>
      </c>
      <c r="E327" s="2601">
        <v>4080</v>
      </c>
      <c r="F327" s="3446">
        <v>860</v>
      </c>
      <c r="G327" s="3446">
        <v>2210</v>
      </c>
      <c r="I327" s="1008"/>
      <c r="J327" s="3459"/>
      <c r="K327" s="3459"/>
      <c r="L327" s="3459"/>
      <c r="M327" s="3459"/>
      <c r="N327" s="3459"/>
      <c r="O327" s="3459"/>
      <c r="P327" s="3459"/>
      <c r="Q327" s="3459"/>
      <c r="R327" s="3459"/>
      <c r="S327" s="3459"/>
      <c r="T327" s="3459"/>
      <c r="U327" s="3459"/>
    </row>
    <row r="328" spans="1:21" s="1011" customFormat="1" ht="14.25" customHeight="1">
      <c r="A328" s="3423" t="s">
        <v>1157</v>
      </c>
      <c r="B328" s="3423" t="s">
        <v>981</v>
      </c>
      <c r="C328" s="3423">
        <v>3330</v>
      </c>
      <c r="D328" s="3423">
        <v>3290</v>
      </c>
      <c r="E328" s="3423">
        <v>3610</v>
      </c>
      <c r="F328" s="3423">
        <v>850</v>
      </c>
      <c r="G328" s="3423">
        <v>1960</v>
      </c>
      <c r="H328" s="3445"/>
      <c r="I328" s="1008"/>
      <c r="J328" s="3459"/>
      <c r="K328" s="3459"/>
      <c r="L328" s="3459"/>
      <c r="M328" s="3459"/>
      <c r="N328" s="3459"/>
      <c r="O328" s="3459"/>
      <c r="P328" s="3459"/>
      <c r="Q328" s="3459"/>
      <c r="R328" s="3459"/>
      <c r="S328" s="3459"/>
      <c r="T328" s="3459"/>
      <c r="U328" s="3459"/>
    </row>
    <row r="329" spans="1:21" s="1011" customFormat="1" ht="14.25" customHeight="1">
      <c r="A329" s="3423" t="s">
        <v>1157</v>
      </c>
      <c r="B329" s="3423" t="s">
        <v>2986</v>
      </c>
      <c r="C329" s="3423">
        <v>2730</v>
      </c>
      <c r="D329" s="3423">
        <v>2690</v>
      </c>
      <c r="E329" s="3423">
        <v>3100</v>
      </c>
      <c r="F329" s="3423">
        <v>660</v>
      </c>
      <c r="G329" s="3423">
        <v>1610</v>
      </c>
      <c r="H329" s="3445"/>
      <c r="I329" s="1008"/>
      <c r="J329" s="3459"/>
      <c r="K329" s="3459"/>
      <c r="L329" s="3459"/>
      <c r="M329" s="3459"/>
      <c r="N329" s="3459"/>
      <c r="O329" s="3459"/>
      <c r="P329" s="3459"/>
      <c r="Q329" s="3459"/>
      <c r="R329" s="3459"/>
      <c r="S329" s="3459"/>
      <c r="T329" s="3459"/>
      <c r="U329" s="3459"/>
    </row>
    <row r="330" spans="1:21" s="1011" customFormat="1" ht="14.25" customHeight="1">
      <c r="A330" s="3423" t="s">
        <v>1157</v>
      </c>
      <c r="B330" s="3423" t="s">
        <v>2987</v>
      </c>
      <c r="C330" s="3423">
        <v>3270</v>
      </c>
      <c r="D330" s="3423">
        <v>3240</v>
      </c>
      <c r="E330" s="3423">
        <v>3560</v>
      </c>
      <c r="F330" s="3423">
        <v>680</v>
      </c>
      <c r="G330" s="3432">
        <v>1940</v>
      </c>
      <c r="H330" s="3445"/>
      <c r="I330" s="1008"/>
      <c r="J330" s="3459"/>
      <c r="K330" s="3459"/>
      <c r="L330" s="3459"/>
      <c r="M330" s="3459"/>
      <c r="N330" s="3459"/>
      <c r="O330" s="3459"/>
      <c r="P330" s="3459"/>
      <c r="Q330" s="3459"/>
      <c r="R330" s="3459"/>
      <c r="S330" s="3459"/>
      <c r="T330" s="3459"/>
      <c r="U330" s="3459"/>
    </row>
    <row r="331" spans="1:21" s="1011" customFormat="1" ht="14.25" customHeight="1">
      <c r="A331" s="3423" t="s">
        <v>1157</v>
      </c>
      <c r="B331" s="3423" t="s">
        <v>1008</v>
      </c>
      <c r="C331" s="3423">
        <v>3770</v>
      </c>
      <c r="D331" s="3423">
        <v>3740</v>
      </c>
      <c r="E331" s="3423">
        <v>4110</v>
      </c>
      <c r="F331" s="3423">
        <v>730</v>
      </c>
      <c r="G331" s="3423">
        <v>2230</v>
      </c>
      <c r="H331" s="3445"/>
      <c r="I331" s="1008"/>
      <c r="J331" s="3459"/>
      <c r="K331" s="3459"/>
      <c r="L331" s="3459"/>
      <c r="M331" s="3459"/>
      <c r="N331" s="3459"/>
      <c r="O331" s="3459"/>
      <c r="P331" s="3459"/>
      <c r="Q331" s="3459"/>
      <c r="R331" s="3459"/>
      <c r="S331" s="3459"/>
      <c r="T331" s="3459"/>
      <c r="U331" s="3459"/>
    </row>
    <row r="332" spans="1:21" s="1011" customFormat="1" ht="14.25" customHeight="1">
      <c r="A332" s="3423" t="s">
        <v>1157</v>
      </c>
      <c r="B332" s="3423" t="s">
        <v>2988</v>
      </c>
      <c r="C332" s="3423">
        <v>3520</v>
      </c>
      <c r="D332" s="3423">
        <v>3480</v>
      </c>
      <c r="E332" s="3423">
        <v>3830</v>
      </c>
      <c r="F332" s="3423">
        <v>720</v>
      </c>
      <c r="G332" s="3423">
        <v>2090</v>
      </c>
      <c r="H332" s="3445"/>
      <c r="I332" s="1008"/>
      <c r="J332" s="3459"/>
      <c r="K332" s="3459"/>
      <c r="L332" s="3459"/>
      <c r="M332" s="3459"/>
      <c r="N332" s="3459"/>
      <c r="O332" s="3459"/>
      <c r="P332" s="3459"/>
      <c r="Q332" s="3459"/>
      <c r="R332" s="3459"/>
      <c r="S332" s="3459"/>
      <c r="T332" s="3459"/>
      <c r="U332" s="3459"/>
    </row>
    <row r="333" spans="1:21" s="1011" customFormat="1" ht="14.25" customHeight="1">
      <c r="A333" s="3423" t="s">
        <v>1157</v>
      </c>
      <c r="B333" s="3423" t="s">
        <v>2989</v>
      </c>
      <c r="C333" s="3423">
        <v>3840</v>
      </c>
      <c r="D333" s="3423">
        <v>3800</v>
      </c>
      <c r="E333" s="3423">
        <v>4200</v>
      </c>
      <c r="F333" s="3423">
        <v>760</v>
      </c>
      <c r="G333" s="3423">
        <v>2270</v>
      </c>
      <c r="H333" s="3445"/>
      <c r="I333" s="1008"/>
      <c r="J333" s="3459"/>
      <c r="K333" s="3459"/>
      <c r="L333" s="3459"/>
      <c r="M333" s="3459"/>
      <c r="N333" s="3459"/>
      <c r="O333" s="3459"/>
      <c r="P333" s="3459"/>
      <c r="Q333" s="3459"/>
      <c r="R333" s="3459"/>
      <c r="S333" s="3459"/>
      <c r="T333" s="3459"/>
      <c r="U333" s="3459"/>
    </row>
    <row r="334" spans="1:21" s="1011" customFormat="1" ht="14.25" customHeight="1">
      <c r="A334" s="3423" t="s">
        <v>1157</v>
      </c>
      <c r="B334" s="3423" t="s">
        <v>1030</v>
      </c>
      <c r="C334" s="3423">
        <v>3960</v>
      </c>
      <c r="D334" s="3423">
        <v>3910</v>
      </c>
      <c r="E334" s="3423">
        <v>4340</v>
      </c>
      <c r="F334" s="3423">
        <v>780</v>
      </c>
      <c r="G334" s="3423">
        <v>2340</v>
      </c>
      <c r="H334" s="3445"/>
      <c r="I334" s="1008"/>
      <c r="J334" s="3459"/>
      <c r="K334" s="3459"/>
      <c r="L334" s="3459"/>
      <c r="M334" s="3459"/>
      <c r="N334" s="3459"/>
      <c r="O334" s="3459"/>
      <c r="P334" s="3459"/>
      <c r="Q334" s="3459"/>
      <c r="R334" s="3459"/>
      <c r="S334" s="3459"/>
      <c r="T334" s="3459"/>
      <c r="U334" s="3459"/>
    </row>
    <row r="335" spans="1:21" s="1011" customFormat="1" ht="14.25" customHeight="1">
      <c r="A335" s="3423" t="s">
        <v>1157</v>
      </c>
      <c r="B335" s="3423" t="s">
        <v>1040</v>
      </c>
      <c r="C335" s="3423">
        <v>3710</v>
      </c>
      <c r="D335" s="3423">
        <v>3670</v>
      </c>
      <c r="E335" s="3423">
        <v>4030</v>
      </c>
      <c r="F335" s="3423">
        <v>750</v>
      </c>
      <c r="G335" s="3432">
        <v>2200</v>
      </c>
      <c r="H335" s="3445"/>
      <c r="I335" s="1008"/>
      <c r="J335" s="3459"/>
      <c r="K335" s="3459"/>
      <c r="L335" s="3459"/>
      <c r="M335" s="3459"/>
      <c r="N335" s="3459"/>
      <c r="O335" s="3459"/>
      <c r="P335" s="3459"/>
      <c r="Q335" s="3459"/>
      <c r="R335" s="3459"/>
      <c r="S335" s="3459"/>
      <c r="T335" s="3459"/>
      <c r="U335" s="3459"/>
    </row>
    <row r="336" spans="1:21" s="1011" customFormat="1" ht="14.25" customHeight="1">
      <c r="A336" s="3423" t="s">
        <v>1157</v>
      </c>
      <c r="B336" s="3423" t="s">
        <v>2990</v>
      </c>
      <c r="C336" s="3423">
        <v>3570</v>
      </c>
      <c r="D336" s="3423">
        <v>3530</v>
      </c>
      <c r="E336" s="3423">
        <v>3880</v>
      </c>
      <c r="F336" s="3423">
        <v>770</v>
      </c>
      <c r="G336" s="3423">
        <v>2110</v>
      </c>
      <c r="H336" s="3445"/>
      <c r="I336" s="1008"/>
      <c r="J336" s="3459"/>
      <c r="K336" s="3459"/>
      <c r="L336" s="3459"/>
      <c r="M336" s="3459"/>
      <c r="N336" s="3459"/>
      <c r="O336" s="3459"/>
      <c r="P336" s="3459"/>
      <c r="Q336" s="3459"/>
      <c r="R336" s="3459"/>
      <c r="S336" s="3459"/>
      <c r="T336" s="3459"/>
      <c r="U336" s="3459"/>
    </row>
    <row r="337" spans="1:21" s="1011" customFormat="1" ht="14.25" customHeight="1">
      <c r="A337" s="3423" t="s">
        <v>1157</v>
      </c>
      <c r="B337" s="3423" t="s">
        <v>2991</v>
      </c>
      <c r="C337" s="3423">
        <v>3780</v>
      </c>
      <c r="D337" s="3423">
        <v>3750</v>
      </c>
      <c r="E337" s="3423">
        <v>4130</v>
      </c>
      <c r="F337" s="3423">
        <v>750</v>
      </c>
      <c r="G337" s="3423">
        <v>2240</v>
      </c>
      <c r="H337" s="3445"/>
      <c r="I337" s="1008"/>
      <c r="J337" s="3459"/>
      <c r="K337" s="3459"/>
      <c r="L337" s="3459"/>
      <c r="M337" s="3459"/>
      <c r="N337" s="3459"/>
      <c r="O337" s="3459"/>
      <c r="P337" s="3459"/>
      <c r="Q337" s="3459"/>
      <c r="R337" s="3459"/>
      <c r="S337" s="3459"/>
      <c r="T337" s="3459"/>
      <c r="U337" s="3459"/>
    </row>
    <row r="338" spans="1:21" s="1011" customFormat="1" ht="14.25" customHeight="1">
      <c r="A338" s="3423" t="s">
        <v>1157</v>
      </c>
      <c r="B338" s="3423" t="s">
        <v>1068</v>
      </c>
      <c r="C338" s="3423">
        <v>3600</v>
      </c>
      <c r="D338" s="3423">
        <v>3570</v>
      </c>
      <c r="E338" s="3423">
        <v>3920</v>
      </c>
      <c r="F338" s="3423">
        <v>790</v>
      </c>
      <c r="G338" s="3432">
        <v>2140</v>
      </c>
      <c r="H338" s="3445"/>
      <c r="I338" s="1008"/>
      <c r="J338" s="3459"/>
      <c r="K338" s="3459"/>
      <c r="L338" s="3459"/>
      <c r="M338" s="3459"/>
      <c r="N338" s="3459"/>
      <c r="O338" s="3459"/>
      <c r="P338" s="3459"/>
      <c r="Q338" s="3459"/>
      <c r="R338" s="3459"/>
      <c r="S338" s="3459"/>
      <c r="T338" s="3459"/>
      <c r="U338" s="3459"/>
    </row>
    <row r="339" spans="1:21" s="1011" customFormat="1" ht="14.25" customHeight="1">
      <c r="A339" s="3423" t="s">
        <v>1157</v>
      </c>
      <c r="B339" s="3423" t="s">
        <v>1076</v>
      </c>
      <c r="C339" s="3423">
        <v>3540</v>
      </c>
      <c r="D339" s="3423">
        <v>3500</v>
      </c>
      <c r="E339" s="3423">
        <v>3850</v>
      </c>
      <c r="F339" s="3423">
        <v>780</v>
      </c>
      <c r="G339" s="3432">
        <v>2100</v>
      </c>
      <c r="H339" s="3445"/>
      <c r="I339" s="1008"/>
      <c r="J339" s="3459"/>
      <c r="K339" s="3459"/>
      <c r="L339" s="3459"/>
      <c r="M339" s="3459"/>
      <c r="N339" s="3459"/>
      <c r="O339" s="3459"/>
      <c r="P339" s="3459"/>
      <c r="Q339" s="3459"/>
      <c r="R339" s="3459"/>
      <c r="S339" s="3459"/>
      <c r="T339" s="3459"/>
      <c r="U339" s="3459"/>
    </row>
    <row r="340" spans="1:21" s="1011" customFormat="1" ht="14.25" customHeight="1">
      <c r="A340" s="3423" t="s">
        <v>1157</v>
      </c>
      <c r="B340" s="3423" t="s">
        <v>2992</v>
      </c>
      <c r="C340" s="3423">
        <v>3850</v>
      </c>
      <c r="D340" s="3423">
        <v>3810</v>
      </c>
      <c r="E340" s="3423">
        <v>4210</v>
      </c>
      <c r="F340" s="3423">
        <v>750</v>
      </c>
      <c r="G340" s="3432">
        <v>2280</v>
      </c>
      <c r="H340" s="3445"/>
      <c r="I340" s="1008"/>
      <c r="J340" s="3459"/>
      <c r="K340" s="3459"/>
      <c r="L340" s="3459"/>
      <c r="M340" s="3459"/>
      <c r="N340" s="3459"/>
      <c r="O340" s="3459"/>
      <c r="P340" s="3459"/>
      <c r="Q340" s="3459"/>
      <c r="R340" s="3459"/>
      <c r="S340" s="3459"/>
      <c r="T340" s="3459"/>
      <c r="U340" s="3459"/>
    </row>
    <row r="341" spans="1:21" s="1011" customFormat="1" ht="14.25" customHeight="1">
      <c r="A341" s="3423" t="s">
        <v>1157</v>
      </c>
      <c r="B341" s="3423" t="s">
        <v>1054</v>
      </c>
      <c r="C341" s="3423">
        <v>3780</v>
      </c>
      <c r="D341" s="3423">
        <v>3750</v>
      </c>
      <c r="E341" s="3423">
        <v>4140</v>
      </c>
      <c r="F341" s="3423">
        <v>720</v>
      </c>
      <c r="G341" s="3423">
        <v>2240</v>
      </c>
      <c r="H341" s="3445"/>
      <c r="I341" s="1008"/>
      <c r="J341" s="3459"/>
      <c r="K341" s="3459"/>
      <c r="L341" s="3459"/>
      <c r="M341" s="3459"/>
      <c r="N341" s="3459"/>
      <c r="O341" s="3459"/>
      <c r="P341" s="3459"/>
      <c r="Q341" s="3459"/>
      <c r="R341" s="3459"/>
      <c r="S341" s="3459"/>
      <c r="T341" s="3459"/>
      <c r="U341" s="3459"/>
    </row>
    <row r="342" spans="1:21" s="1011" customFormat="1" ht="14.25" customHeight="1">
      <c r="A342" s="3423" t="s">
        <v>1157</v>
      </c>
      <c r="B342" s="3423" t="s">
        <v>2993</v>
      </c>
      <c r="C342" s="3423">
        <v>3670</v>
      </c>
      <c r="D342" s="3423">
        <v>3620</v>
      </c>
      <c r="E342" s="3423">
        <v>3990</v>
      </c>
      <c r="F342" s="3423">
        <v>760</v>
      </c>
      <c r="G342" s="3423">
        <v>2170</v>
      </c>
      <c r="H342" s="3445"/>
      <c r="I342" s="1008"/>
      <c r="J342" s="3459"/>
      <c r="K342" s="3459"/>
      <c r="L342" s="3459"/>
      <c r="M342" s="3459"/>
      <c r="N342" s="3459"/>
      <c r="O342" s="3459"/>
      <c r="P342" s="3459"/>
      <c r="Q342" s="3459"/>
      <c r="R342" s="3459"/>
      <c r="S342" s="3459"/>
      <c r="T342" s="3459"/>
      <c r="U342" s="3459"/>
    </row>
    <row r="343" spans="1:21" s="1011" customFormat="1" ht="14.25" customHeight="1">
      <c r="A343" s="3423" t="s">
        <v>1157</v>
      </c>
      <c r="B343" s="3423" t="s">
        <v>1105</v>
      </c>
      <c r="C343" s="3423">
        <v>3760</v>
      </c>
      <c r="D343" s="3423">
        <v>3720</v>
      </c>
      <c r="E343" s="3423">
        <v>4090</v>
      </c>
      <c r="F343" s="3423">
        <v>780</v>
      </c>
      <c r="G343" s="3423">
        <v>2220</v>
      </c>
      <c r="H343" s="3445"/>
      <c r="I343" s="1008"/>
      <c r="J343" s="3459"/>
      <c r="K343" s="3459"/>
      <c r="L343" s="3459"/>
      <c r="M343" s="3459"/>
      <c r="N343" s="3459"/>
      <c r="O343" s="3459"/>
      <c r="P343" s="3459"/>
      <c r="Q343" s="3459"/>
      <c r="R343" s="3459"/>
      <c r="S343" s="3459"/>
      <c r="T343" s="3459"/>
      <c r="U343" s="3459"/>
    </row>
    <row r="344" spans="1:21" s="1011" customFormat="1" ht="14.25" customHeight="1">
      <c r="A344" s="3423" t="s">
        <v>1157</v>
      </c>
      <c r="B344" s="3423" t="s">
        <v>1113</v>
      </c>
      <c r="C344" s="3423">
        <v>3680</v>
      </c>
      <c r="D344" s="3423">
        <v>3640</v>
      </c>
      <c r="E344" s="3423">
        <v>4010</v>
      </c>
      <c r="F344" s="3423">
        <v>750</v>
      </c>
      <c r="G344" s="3423">
        <v>2180</v>
      </c>
      <c r="H344" s="3445"/>
      <c r="I344" s="1008"/>
      <c r="J344" s="3459"/>
      <c r="K344" s="3459"/>
      <c r="L344" s="3459"/>
      <c r="M344" s="3459"/>
      <c r="N344" s="3459"/>
      <c r="O344" s="3459"/>
      <c r="P344" s="3459"/>
      <c r="Q344" s="3459"/>
      <c r="R344" s="3459"/>
      <c r="S344" s="3459"/>
      <c r="T344" s="3459"/>
      <c r="U344" s="3459"/>
    </row>
    <row r="345" spans="1:21">
      <c r="A345" s="3432" t="s">
        <v>1157</v>
      </c>
      <c r="B345" s="3432" t="s">
        <v>2994</v>
      </c>
      <c r="C345" s="3432">
        <v>3190</v>
      </c>
      <c r="D345" s="3432">
        <v>3140</v>
      </c>
      <c r="E345" s="3432">
        <v>3450</v>
      </c>
      <c r="F345" s="3432">
        <v>720</v>
      </c>
      <c r="G345" s="3432">
        <v>1880</v>
      </c>
      <c r="H345" s="3445"/>
    </row>
    <row r="346" spans="1:21">
      <c r="A346" s="3432" t="s">
        <v>1157</v>
      </c>
      <c r="B346" s="3432" t="s">
        <v>2995</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2996</v>
      </c>
      <c r="C348" s="3432">
        <v>4000</v>
      </c>
      <c r="D348" s="3432">
        <v>3950</v>
      </c>
      <c r="E348" s="3432">
        <v>4430</v>
      </c>
      <c r="F348" s="3432">
        <v>760</v>
      </c>
      <c r="G348" s="3432">
        <v>2360</v>
      </c>
      <c r="H348" s="3445"/>
    </row>
    <row r="349" spans="1:21">
      <c r="A349" s="3432" t="s">
        <v>1157</v>
      </c>
      <c r="B349" s="3432" t="s">
        <v>2997</v>
      </c>
      <c r="C349" s="3432">
        <v>3820</v>
      </c>
      <c r="D349" s="3432">
        <v>3780</v>
      </c>
      <c r="E349" s="3432">
        <v>4170</v>
      </c>
      <c r="F349" s="3432">
        <v>710</v>
      </c>
      <c r="G349" s="3432">
        <v>2260</v>
      </c>
      <c r="H349" s="3445"/>
    </row>
    <row r="350" spans="1:21">
      <c r="A350" s="3432" t="s">
        <v>1157</v>
      </c>
      <c r="B350" s="3432" t="s">
        <v>2998</v>
      </c>
      <c r="C350" s="3432">
        <v>3760</v>
      </c>
      <c r="D350" s="3432">
        <v>3730</v>
      </c>
      <c r="E350" s="3432">
        <v>4100</v>
      </c>
      <c r="F350" s="3432">
        <v>800</v>
      </c>
      <c r="G350" s="3432">
        <v>2230</v>
      </c>
      <c r="H350" s="3445"/>
    </row>
    <row r="351" spans="1:21">
      <c r="A351" s="3432" t="s">
        <v>1157</v>
      </c>
      <c r="B351" s="3432" t="s">
        <v>2999</v>
      </c>
      <c r="C351" s="3432">
        <v>3610</v>
      </c>
      <c r="D351" s="3432">
        <v>3580</v>
      </c>
      <c r="E351" s="3432">
        <v>3930</v>
      </c>
      <c r="F351" s="3432">
        <v>700</v>
      </c>
      <c r="G351" s="3432">
        <v>2140</v>
      </c>
      <c r="H351" s="3445"/>
    </row>
    <row r="352" spans="1:21">
      <c r="A352" s="3432" t="s">
        <v>1157</v>
      </c>
      <c r="B352" s="3432" t="s">
        <v>3000</v>
      </c>
      <c r="C352" s="3432">
        <v>3670</v>
      </c>
      <c r="D352" s="3432">
        <v>3630</v>
      </c>
      <c r="E352" s="3432">
        <v>4000</v>
      </c>
      <c r="F352" s="3432">
        <v>750</v>
      </c>
      <c r="G352" s="3432">
        <v>2180</v>
      </c>
      <c r="H352" s="3445"/>
    </row>
    <row r="353" spans="1:8">
      <c r="A353" s="3432" t="s">
        <v>1157</v>
      </c>
      <c r="B353" s="3432" t="s">
        <v>3001</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3002</v>
      </c>
      <c r="C355" s="3432">
        <v>3650</v>
      </c>
      <c r="D355" s="3432">
        <v>3610</v>
      </c>
      <c r="E355" s="3432">
        <v>4200</v>
      </c>
      <c r="F355" s="3432">
        <v>640</v>
      </c>
      <c r="G355" s="3432">
        <v>2160</v>
      </c>
      <c r="H355" s="3445"/>
    </row>
    <row r="356" spans="1:8">
      <c r="A356" s="3432" t="s">
        <v>1157</v>
      </c>
      <c r="B356" s="3432" t="s">
        <v>3003</v>
      </c>
      <c r="C356" s="3432">
        <v>3260</v>
      </c>
      <c r="D356" s="3432">
        <v>3230</v>
      </c>
      <c r="E356" s="3432">
        <v>3740</v>
      </c>
      <c r="F356" s="3432">
        <v>600</v>
      </c>
      <c r="G356" s="3432">
        <v>1930</v>
      </c>
      <c r="H356" s="3445"/>
    </row>
    <row r="357" spans="1:8" ht="14.25" thickBot="1">
      <c r="A357" s="3448" t="s">
        <v>1157</v>
      </c>
      <c r="B357" s="3448" t="s">
        <v>3004</v>
      </c>
      <c r="C357" s="3448">
        <v>3690</v>
      </c>
      <c r="D357" s="3448">
        <v>3650</v>
      </c>
      <c r="E357" s="3448">
        <v>4020</v>
      </c>
      <c r="F357" s="3448">
        <v>700</v>
      </c>
      <c r="G357" s="3448">
        <v>2190</v>
      </c>
      <c r="H357" s="3445"/>
    </row>
    <row r="358" spans="1:8">
      <c r="A358" s="3449" t="s">
        <v>2762</v>
      </c>
      <c r="B358" s="3450" t="s">
        <v>3005</v>
      </c>
      <c r="C358" s="3450">
        <v>2080</v>
      </c>
      <c r="D358" s="3450">
        <v>2040</v>
      </c>
      <c r="E358" s="3450">
        <v>2010</v>
      </c>
      <c r="F358" s="3450">
        <v>530</v>
      </c>
      <c r="G358" s="3451">
        <v>1230</v>
      </c>
      <c r="H358" s="3445"/>
    </row>
    <row r="359" spans="1:8">
      <c r="A359" s="3452" t="s">
        <v>2762</v>
      </c>
      <c r="B359" s="3432" t="s">
        <v>3006</v>
      </c>
      <c r="C359" s="3432">
        <v>1850</v>
      </c>
      <c r="D359" s="3432">
        <v>1820</v>
      </c>
      <c r="E359" s="3432">
        <v>1780</v>
      </c>
      <c r="F359" s="3432">
        <v>520</v>
      </c>
      <c r="G359" s="3444">
        <v>1100</v>
      </c>
      <c r="H359" s="3445"/>
    </row>
    <row r="360" spans="1:8">
      <c r="A360" s="3452" t="s">
        <v>2762</v>
      </c>
      <c r="B360" s="3432" t="s">
        <v>3007</v>
      </c>
      <c r="C360" s="3432">
        <v>2020</v>
      </c>
      <c r="D360" s="3432">
        <v>1990</v>
      </c>
      <c r="E360" s="3432">
        <v>1950</v>
      </c>
      <c r="F360" s="3432">
        <v>500</v>
      </c>
      <c r="G360" s="3444">
        <v>1200</v>
      </c>
      <c r="H360" s="3445"/>
    </row>
    <row r="361" spans="1:8">
      <c r="A361" s="3452" t="s">
        <v>2762</v>
      </c>
      <c r="B361" s="3432" t="s">
        <v>999</v>
      </c>
      <c r="C361" s="3432">
        <v>2260</v>
      </c>
      <c r="D361" s="3432">
        <v>2220</v>
      </c>
      <c r="E361" s="3432">
        <v>2180</v>
      </c>
      <c r="F361" s="3432">
        <v>580</v>
      </c>
      <c r="G361" s="3444">
        <v>1340</v>
      </c>
      <c r="H361" s="3445"/>
    </row>
    <row r="362" spans="1:8">
      <c r="A362" s="3452" t="s">
        <v>2762</v>
      </c>
      <c r="B362" s="3432" t="s">
        <v>3008</v>
      </c>
      <c r="C362" s="3432">
        <v>2650</v>
      </c>
      <c r="D362" s="3432">
        <v>2610</v>
      </c>
      <c r="E362" s="3432">
        <v>2570</v>
      </c>
      <c r="F362" s="3432">
        <v>630</v>
      </c>
      <c r="G362" s="3444">
        <v>1570</v>
      </c>
      <c r="H362" s="3445"/>
    </row>
    <row r="363" spans="1:8">
      <c r="A363" s="3452" t="s">
        <v>2762</v>
      </c>
      <c r="B363" s="3432" t="s">
        <v>3009</v>
      </c>
      <c r="C363" s="3432">
        <v>2390</v>
      </c>
      <c r="D363" s="3432">
        <v>2360</v>
      </c>
      <c r="E363" s="3432">
        <v>2320</v>
      </c>
      <c r="F363" s="3432">
        <v>600</v>
      </c>
      <c r="G363" s="3444">
        <v>1420</v>
      </c>
      <c r="H363" s="3445"/>
    </row>
    <row r="364" spans="1:8">
      <c r="A364" s="3452" t="s">
        <v>2762</v>
      </c>
      <c r="B364" s="3432" t="s">
        <v>3010</v>
      </c>
      <c r="C364" s="3432">
        <v>2050</v>
      </c>
      <c r="D364" s="3432">
        <v>2030</v>
      </c>
      <c r="E364" s="3432">
        <v>1990</v>
      </c>
      <c r="F364" s="3432">
        <v>550</v>
      </c>
      <c r="G364" s="3444">
        <v>1220</v>
      </c>
      <c r="H364" s="3445"/>
    </row>
    <row r="365" spans="1:8">
      <c r="A365" s="3452" t="s">
        <v>2762</v>
      </c>
      <c r="B365" s="3432" t="s">
        <v>1047</v>
      </c>
      <c r="C365" s="3432">
        <v>2140</v>
      </c>
      <c r="D365" s="3432">
        <v>2100</v>
      </c>
      <c r="E365" s="3432">
        <v>2060</v>
      </c>
      <c r="F365" s="3432">
        <v>540</v>
      </c>
      <c r="G365" s="3444">
        <v>1270</v>
      </c>
      <c r="H365" s="3445"/>
    </row>
    <row r="366" spans="1:8">
      <c r="A366" s="3452" t="s">
        <v>2762</v>
      </c>
      <c r="B366" s="3432" t="s">
        <v>3011</v>
      </c>
      <c r="C366" s="3432">
        <v>2410</v>
      </c>
      <c r="D366" s="3432">
        <v>2370</v>
      </c>
      <c r="E366" s="3432">
        <v>2330</v>
      </c>
      <c r="F366" s="3432">
        <v>570</v>
      </c>
      <c r="G366" s="3444">
        <v>1440</v>
      </c>
      <c r="H366" s="3445"/>
    </row>
    <row r="367" spans="1:8">
      <c r="A367" s="3452" t="s">
        <v>2762</v>
      </c>
      <c r="B367" s="3432" t="s">
        <v>3012</v>
      </c>
      <c r="C367" s="3432">
        <v>2300</v>
      </c>
      <c r="D367" s="3432">
        <v>2260</v>
      </c>
      <c r="E367" s="3432">
        <v>2220</v>
      </c>
      <c r="F367" s="3432">
        <v>560</v>
      </c>
      <c r="G367" s="3444">
        <v>1370</v>
      </c>
      <c r="H367" s="3445"/>
    </row>
    <row r="368" spans="1:8">
      <c r="A368" s="3452" t="s">
        <v>2762</v>
      </c>
      <c r="B368" s="3432" t="s">
        <v>3013</v>
      </c>
      <c r="C368" s="3432">
        <v>2430</v>
      </c>
      <c r="D368" s="3432">
        <v>2390</v>
      </c>
      <c r="E368" s="3432">
        <v>2350</v>
      </c>
      <c r="F368" s="3432">
        <v>570</v>
      </c>
      <c r="G368" s="3444">
        <v>1450</v>
      </c>
      <c r="H368" s="3445"/>
    </row>
    <row r="369" spans="1:8">
      <c r="A369" s="3452" t="s">
        <v>2762</v>
      </c>
      <c r="B369" s="3432" t="s">
        <v>1061</v>
      </c>
      <c r="C369" s="3432">
        <v>2320</v>
      </c>
      <c r="D369" s="3432">
        <v>2290</v>
      </c>
      <c r="E369" s="3432">
        <v>2250</v>
      </c>
      <c r="F369" s="3432">
        <v>550</v>
      </c>
      <c r="G369" s="3444">
        <v>1380</v>
      </c>
      <c r="H369" s="3445"/>
    </row>
    <row r="370" spans="1:8">
      <c r="A370" s="3452" t="s">
        <v>2762</v>
      </c>
      <c r="B370" s="3432" t="s">
        <v>1069</v>
      </c>
      <c r="C370" s="3432">
        <v>2190</v>
      </c>
      <c r="D370" s="3432">
        <v>2170</v>
      </c>
      <c r="E370" s="3432">
        <v>2130</v>
      </c>
      <c r="F370" s="3432">
        <v>530</v>
      </c>
      <c r="G370" s="3444">
        <v>1310</v>
      </c>
      <c r="H370" s="3445"/>
    </row>
    <row r="371" spans="1:8">
      <c r="A371" s="3452" t="s">
        <v>2762</v>
      </c>
      <c r="B371" s="3432" t="s">
        <v>1077</v>
      </c>
      <c r="C371" s="3432">
        <v>2460</v>
      </c>
      <c r="D371" s="3432">
        <v>2420</v>
      </c>
      <c r="E371" s="3432">
        <v>2370</v>
      </c>
      <c r="F371" s="3432">
        <v>560</v>
      </c>
      <c r="G371" s="3444">
        <v>1470</v>
      </c>
      <c r="H371" s="3445"/>
    </row>
    <row r="372" spans="1:8">
      <c r="A372" s="3452" t="s">
        <v>2762</v>
      </c>
      <c r="B372" s="3432" t="s">
        <v>3014</v>
      </c>
      <c r="C372" s="3432">
        <v>2250</v>
      </c>
      <c r="D372" s="3432">
        <v>2210</v>
      </c>
      <c r="E372" s="3432">
        <v>2180</v>
      </c>
      <c r="F372" s="3432">
        <v>550</v>
      </c>
      <c r="G372" s="3444">
        <v>1340</v>
      </c>
      <c r="H372" s="3445"/>
    </row>
    <row r="373" spans="1:8">
      <c r="A373" s="3452" t="s">
        <v>2762</v>
      </c>
      <c r="B373" s="3432" t="s">
        <v>1106</v>
      </c>
      <c r="C373" s="3432">
        <v>2210</v>
      </c>
      <c r="D373" s="3432">
        <v>2190</v>
      </c>
      <c r="E373" s="3432">
        <v>2150</v>
      </c>
      <c r="F373" s="3432">
        <v>530</v>
      </c>
      <c r="G373" s="3444">
        <v>1320</v>
      </c>
      <c r="H373" s="3445"/>
    </row>
    <row r="374" spans="1:8">
      <c r="A374" s="3452" t="s">
        <v>2762</v>
      </c>
      <c r="B374" s="3432" t="s">
        <v>1114</v>
      </c>
      <c r="C374" s="3432">
        <v>2320</v>
      </c>
      <c r="D374" s="3432">
        <v>2280</v>
      </c>
      <c r="E374" s="3432">
        <v>2230</v>
      </c>
      <c r="F374" s="3432">
        <v>580</v>
      </c>
      <c r="G374" s="3444">
        <v>1380</v>
      </c>
      <c r="H374" s="3445"/>
    </row>
    <row r="375" spans="1:8">
      <c r="A375" s="3452" t="s">
        <v>2762</v>
      </c>
      <c r="B375" s="3432" t="s">
        <v>3015</v>
      </c>
      <c r="C375" s="3432">
        <v>2090</v>
      </c>
      <c r="D375" s="3432">
        <v>2050</v>
      </c>
      <c r="E375" s="3432">
        <v>2020</v>
      </c>
      <c r="F375" s="3432">
        <v>520</v>
      </c>
      <c r="G375" s="3444">
        <v>1240</v>
      </c>
      <c r="H375" s="3445"/>
    </row>
    <row r="376" spans="1:8">
      <c r="A376" s="3452" t="s">
        <v>2762</v>
      </c>
      <c r="B376" s="3432" t="s">
        <v>1126</v>
      </c>
      <c r="C376" s="3432">
        <v>2010</v>
      </c>
      <c r="D376" s="3432">
        <v>1980</v>
      </c>
      <c r="E376" s="3432">
        <v>1940</v>
      </c>
      <c r="F376" s="3432">
        <v>540</v>
      </c>
      <c r="G376" s="3444">
        <v>1190</v>
      </c>
      <c r="H376" s="3445"/>
    </row>
    <row r="377" spans="1:8" ht="14.25" thickBot="1">
      <c r="A377" s="3454" t="s">
        <v>2762</v>
      </c>
      <c r="B377" s="3448" t="s">
        <v>3016</v>
      </c>
      <c r="C377" s="3448">
        <v>1930</v>
      </c>
      <c r="D377" s="3448">
        <v>1890</v>
      </c>
      <c r="E377" s="3448">
        <v>1860</v>
      </c>
      <c r="F377" s="3448">
        <v>530</v>
      </c>
      <c r="G377" s="3455">
        <v>1150</v>
      </c>
      <c r="H377" s="3445"/>
    </row>
    <row r="378" spans="1:8">
      <c r="A378" s="3449" t="s">
        <v>2763</v>
      </c>
      <c r="B378" s="3450" t="s">
        <v>3017</v>
      </c>
      <c r="C378" s="3450">
        <v>1520</v>
      </c>
      <c r="D378" s="3450">
        <v>1490</v>
      </c>
      <c r="E378" s="3450">
        <v>1460</v>
      </c>
      <c r="F378" s="3450">
        <v>460</v>
      </c>
      <c r="G378" s="3451">
        <v>940</v>
      </c>
      <c r="H378" s="3445"/>
    </row>
    <row r="379" spans="1:8">
      <c r="A379" s="3452" t="s">
        <v>2763</v>
      </c>
      <c r="B379" s="3432" t="s">
        <v>3018</v>
      </c>
      <c r="C379" s="3432">
        <v>1500</v>
      </c>
      <c r="D379" s="3432">
        <v>1470</v>
      </c>
      <c r="E379" s="3432">
        <v>1430</v>
      </c>
      <c r="F379" s="3432">
        <v>460</v>
      </c>
      <c r="G379" s="3444">
        <v>920</v>
      </c>
      <c r="H379" s="3445"/>
    </row>
    <row r="380" spans="1:8">
      <c r="A380" s="3452" t="s">
        <v>2763</v>
      </c>
      <c r="B380" s="3432" t="s">
        <v>3019</v>
      </c>
      <c r="C380" s="3432">
        <v>1620</v>
      </c>
      <c r="D380" s="3432">
        <v>1590</v>
      </c>
      <c r="E380" s="3432">
        <v>1560</v>
      </c>
      <c r="F380" s="3432">
        <v>480</v>
      </c>
      <c r="G380" s="3444">
        <v>1000</v>
      </c>
      <c r="H380" s="3445"/>
    </row>
    <row r="381" spans="1:8">
      <c r="A381" s="3452" t="s">
        <v>2763</v>
      </c>
      <c r="B381" s="3432" t="s">
        <v>3020</v>
      </c>
      <c r="C381" s="3432">
        <v>1460</v>
      </c>
      <c r="D381" s="3432">
        <v>1430</v>
      </c>
      <c r="E381" s="3432">
        <v>1390</v>
      </c>
      <c r="F381" s="3432">
        <v>450</v>
      </c>
      <c r="G381" s="3444">
        <v>900</v>
      </c>
      <c r="H381" s="3445"/>
    </row>
    <row r="382" spans="1:8">
      <c r="A382" s="3452" t="s">
        <v>2763</v>
      </c>
      <c r="B382" s="3432" t="s">
        <v>3021</v>
      </c>
      <c r="C382" s="3432">
        <v>1310</v>
      </c>
      <c r="D382" s="3432">
        <v>1280</v>
      </c>
      <c r="E382" s="3432">
        <v>1250</v>
      </c>
      <c r="F382" s="3432">
        <v>440</v>
      </c>
      <c r="G382" s="3444">
        <v>800</v>
      </c>
      <c r="H382" s="3445"/>
    </row>
    <row r="383" spans="1:8">
      <c r="A383" s="3452" t="s">
        <v>2763</v>
      </c>
      <c r="B383" s="3432" t="s">
        <v>3022</v>
      </c>
      <c r="C383" s="3432">
        <v>1260</v>
      </c>
      <c r="D383" s="3432">
        <v>1230</v>
      </c>
      <c r="E383" s="3432">
        <v>1200</v>
      </c>
      <c r="F383" s="3432">
        <v>420</v>
      </c>
      <c r="G383" s="3444">
        <v>770</v>
      </c>
      <c r="H383" s="3445"/>
    </row>
    <row r="384" spans="1:8" ht="14.25" thickBot="1">
      <c r="A384" s="3453" t="s">
        <v>2763</v>
      </c>
      <c r="B384" s="3447" t="s">
        <v>3023</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51" t="s">
        <v>3186</v>
      </c>
      <c r="B1" s="3951"/>
      <c r="C1" s="3951"/>
      <c r="D1" s="3951"/>
      <c r="E1" s="3951"/>
      <c r="F1" s="3952"/>
    </row>
    <row r="2" spans="1:6">
      <c r="A2" s="3499" t="s">
        <v>3187</v>
      </c>
      <c r="B2" s="3500"/>
      <c r="C2" s="3500"/>
      <c r="D2" s="3500"/>
      <c r="E2" s="3500"/>
      <c r="F2" s="3500"/>
    </row>
    <row r="3" spans="1:6">
      <c r="A3" s="3499" t="s">
        <v>3188</v>
      </c>
      <c r="B3" s="3500"/>
      <c r="C3" s="3500"/>
      <c r="D3" s="3500"/>
      <c r="E3" s="3500"/>
      <c r="F3" s="3501" t="s">
        <v>3189</v>
      </c>
    </row>
    <row r="4" spans="1:6">
      <c r="A4" s="3502" t="s">
        <v>3184</v>
      </c>
      <c r="B4" s="3502" t="s">
        <v>2738</v>
      </c>
      <c r="C4" s="3502" t="s">
        <v>1212</v>
      </c>
      <c r="D4" s="3502" t="s">
        <v>3185</v>
      </c>
      <c r="E4" s="3502" t="s">
        <v>905</v>
      </c>
      <c r="F4" s="3502" t="s">
        <v>3190</v>
      </c>
    </row>
    <row r="5" spans="1:6">
      <c r="A5" s="3503" t="s">
        <v>2761</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2762</v>
      </c>
      <c r="B16" s="3505">
        <v>2230</v>
      </c>
      <c r="C16" s="3505">
        <v>2200</v>
      </c>
      <c r="D16" s="3505">
        <v>2180</v>
      </c>
      <c r="E16" s="3505">
        <v>570</v>
      </c>
      <c r="F16" s="3505">
        <v>1330</v>
      </c>
    </row>
    <row r="17" spans="1:6">
      <c r="A17" s="3503" t="s">
        <v>2763</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9" t="s">
        <v>2775</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2762</v>
      </c>
      <c r="M2" s="975" t="s">
        <v>2763</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9" t="s">
        <v>2776</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2762</v>
      </c>
      <c r="M94" s="981" t="s">
        <v>2763</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9" t="s">
        <v>2777</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2762</v>
      </c>
      <c r="M186" s="981" t="s">
        <v>2763</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9" t="s">
        <v>2778</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2762</v>
      </c>
      <c r="M278" s="981" t="s">
        <v>2763</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9" t="s">
        <v>2779</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2762</v>
      </c>
      <c r="M370" s="981" t="s">
        <v>2763</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8" customWidth="1"/>
    <col min="2" max="2" width="13.875" style="3498" customWidth="1"/>
    <col min="3" max="7" width="8.875" style="3463"/>
    <col min="8" max="16384" width="8.875" style="1581"/>
  </cols>
  <sheetData>
    <row r="1" spans="1:7">
      <c r="A1" s="3953" t="s">
        <v>3024</v>
      </c>
      <c r="B1" s="3953"/>
    </row>
    <row r="2" spans="1:7" ht="14.25" thickBot="1">
      <c r="A2" s="3464"/>
      <c r="B2" s="3464"/>
    </row>
    <row r="3" spans="1:7" ht="14.25" thickBot="1">
      <c r="A3" s="3464"/>
      <c r="B3" s="3464"/>
      <c r="C3" s="3465" t="s">
        <v>3025</v>
      </c>
      <c r="D3" s="3465" t="s">
        <v>3026</v>
      </c>
      <c r="E3" s="3465" t="s">
        <v>3027</v>
      </c>
      <c r="F3" s="3465" t="s">
        <v>3028</v>
      </c>
      <c r="G3" s="3465" t="s">
        <v>3029</v>
      </c>
    </row>
    <row r="4" spans="1:7" ht="14.25" thickBot="1">
      <c r="A4" s="3466" t="s">
        <v>3030</v>
      </c>
      <c r="B4" s="3467" t="s">
        <v>3031</v>
      </c>
      <c r="C4" s="3465"/>
      <c r="D4" s="3465"/>
      <c r="E4" s="3465"/>
      <c r="F4" s="3465"/>
      <c r="G4" s="3465"/>
    </row>
    <row r="5" spans="1:7">
      <c r="A5" s="3468" t="s">
        <v>3032</v>
      </c>
      <c r="B5" s="3469" t="s">
        <v>3033</v>
      </c>
      <c r="C5" s="3470">
        <v>9.8000000000000004E-2</v>
      </c>
      <c r="D5" s="3470">
        <v>8.6999999999999994E-2</v>
      </c>
      <c r="E5" s="3470">
        <v>8.6999999999999994E-2</v>
      </c>
      <c r="F5" s="3470">
        <v>9.8000000000000004E-2</v>
      </c>
      <c r="G5" s="3471">
        <v>9.5000000000000001E-2</v>
      </c>
    </row>
    <row r="6" spans="1:7">
      <c r="A6" s="3472" t="s">
        <v>990</v>
      </c>
      <c r="B6" s="3473" t="s">
        <v>3034</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4.25" thickBot="1">
      <c r="A9" s="3476" t="s">
        <v>990</v>
      </c>
      <c r="B9" s="3477" t="s">
        <v>1001</v>
      </c>
      <c r="C9" s="3478">
        <v>0.1</v>
      </c>
      <c r="D9" s="3478">
        <v>0.1</v>
      </c>
      <c r="E9" s="3478">
        <v>0.1</v>
      </c>
      <c r="F9" s="3479"/>
      <c r="G9" s="3480">
        <v>0.1</v>
      </c>
    </row>
    <row r="10" spans="1:7">
      <c r="A10" s="3468" t="s">
        <v>1031</v>
      </c>
      <c r="B10" s="3469" t="s">
        <v>3035</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3036</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4.25" thickBot="1">
      <c r="A29" s="3476" t="s">
        <v>1031</v>
      </c>
      <c r="B29" s="3477" t="s">
        <v>2822</v>
      </c>
      <c r="C29" s="3482"/>
      <c r="D29" s="3478">
        <v>5.1999999999999998E-2</v>
      </c>
      <c r="E29" s="3478">
        <v>7.0000000000000007E-2</v>
      </c>
      <c r="F29" s="3482"/>
      <c r="G29" s="3480">
        <v>7.0999999999999994E-2</v>
      </c>
    </row>
    <row r="30" spans="1:7">
      <c r="A30" s="3483" t="s">
        <v>1145</v>
      </c>
      <c r="B30" s="3469" t="s">
        <v>3037</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3038</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2824</v>
      </c>
      <c r="C50" s="3474">
        <v>9.8000000000000004E-2</v>
      </c>
      <c r="D50" s="3474">
        <v>7.2999999999999995E-2</v>
      </c>
      <c r="E50" s="3474">
        <v>7.0999999999999994E-2</v>
      </c>
      <c r="F50" s="3485"/>
      <c r="G50" s="3475">
        <v>7.2999999999999995E-2</v>
      </c>
    </row>
    <row r="51" spans="1:7">
      <c r="A51" s="3484" t="s">
        <v>1145</v>
      </c>
      <c r="B51" s="3473" t="s">
        <v>2825</v>
      </c>
      <c r="C51" s="3474">
        <v>9.9000000000000005E-2</v>
      </c>
      <c r="D51" s="3474">
        <v>8.5000000000000006E-2</v>
      </c>
      <c r="E51" s="3474">
        <v>6.3E-2</v>
      </c>
      <c r="F51" s="3485"/>
      <c r="G51" s="3475">
        <v>9.6000000000000002E-2</v>
      </c>
    </row>
    <row r="52" spans="1:7">
      <c r="A52" s="3484" t="s">
        <v>1145</v>
      </c>
      <c r="B52" s="3473" t="s">
        <v>2826</v>
      </c>
      <c r="C52" s="3474">
        <v>7.3999999999999996E-2</v>
      </c>
      <c r="D52" s="3474">
        <v>9.6000000000000002E-2</v>
      </c>
      <c r="E52" s="3474">
        <v>0.05</v>
      </c>
      <c r="F52" s="3485"/>
      <c r="G52" s="3475">
        <v>9.8000000000000004E-2</v>
      </c>
    </row>
    <row r="53" spans="1:7">
      <c r="A53" s="3484" t="s">
        <v>1145</v>
      </c>
      <c r="B53" s="3473" t="s">
        <v>2827</v>
      </c>
      <c r="C53" s="3474">
        <v>8.5999999999999993E-2</v>
      </c>
      <c r="D53" s="3485"/>
      <c r="E53" s="3474">
        <v>9.1999999999999998E-2</v>
      </c>
      <c r="F53" s="3485"/>
      <c r="G53" s="3486"/>
    </row>
    <row r="54" spans="1:7" ht="14.25" thickBot="1">
      <c r="A54" s="3487" t="s">
        <v>1145</v>
      </c>
      <c r="B54" s="3477" t="s">
        <v>2828</v>
      </c>
      <c r="C54" s="3478">
        <v>9.6000000000000002E-2</v>
      </c>
      <c r="D54" s="3479"/>
      <c r="E54" s="3488"/>
      <c r="F54" s="3479"/>
      <c r="G54" s="3489"/>
    </row>
    <row r="55" spans="1:7">
      <c r="A55" s="3483" t="s">
        <v>853</v>
      </c>
      <c r="B55" s="3469" t="s">
        <v>3039</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2830</v>
      </c>
      <c r="C78" s="3474">
        <v>0.1</v>
      </c>
      <c r="D78" s="3474">
        <v>8.5000000000000006E-2</v>
      </c>
      <c r="E78" s="3474">
        <v>9.6000000000000002E-2</v>
      </c>
      <c r="F78" s="3485"/>
      <c r="G78" s="3475">
        <v>9.6000000000000002E-2</v>
      </c>
    </row>
    <row r="79" spans="1:7">
      <c r="A79" s="3484" t="s">
        <v>853</v>
      </c>
      <c r="B79" s="3473" t="s">
        <v>2831</v>
      </c>
      <c r="C79" s="3474">
        <v>0.05</v>
      </c>
      <c r="D79" s="3474">
        <v>9.6000000000000002E-2</v>
      </c>
      <c r="E79" s="3474">
        <v>9.5000000000000001E-2</v>
      </c>
      <c r="F79" s="3485"/>
      <c r="G79" s="3475">
        <v>9.8000000000000004E-2</v>
      </c>
    </row>
    <row r="80" spans="1:7">
      <c r="A80" s="3484" t="s">
        <v>853</v>
      </c>
      <c r="B80" s="3473" t="s">
        <v>2832</v>
      </c>
      <c r="C80" s="3474">
        <v>8.5999999999999993E-2</v>
      </c>
      <c r="D80" s="3490"/>
      <c r="E80" s="3474">
        <v>0.1</v>
      </c>
      <c r="F80" s="3485"/>
      <c r="G80" s="3486"/>
    </row>
    <row r="81" spans="1:7">
      <c r="A81" s="3484" t="s">
        <v>853</v>
      </c>
      <c r="B81" s="3473" t="s">
        <v>2833</v>
      </c>
      <c r="C81" s="3474">
        <v>9.6000000000000002E-2</v>
      </c>
      <c r="D81" s="3485"/>
      <c r="E81" s="3474">
        <v>9.8000000000000004E-2</v>
      </c>
      <c r="F81" s="3485"/>
      <c r="G81" s="3486"/>
    </row>
    <row r="82" spans="1:7">
      <c r="A82" s="3484" t="s">
        <v>853</v>
      </c>
      <c r="B82" s="3473" t="s">
        <v>2834</v>
      </c>
      <c r="C82" s="3490"/>
      <c r="D82" s="3485"/>
      <c r="E82" s="3474">
        <v>7.6999999999999999E-2</v>
      </c>
      <c r="F82" s="3485"/>
      <c r="G82" s="3486"/>
    </row>
    <row r="83" spans="1:7">
      <c r="A83" s="3484" t="s">
        <v>853</v>
      </c>
      <c r="B83" s="3473" t="s">
        <v>3040</v>
      </c>
      <c r="C83" s="3485"/>
      <c r="D83" s="3485"/>
      <c r="E83" s="3485"/>
      <c r="F83" s="3474">
        <v>0.1</v>
      </c>
      <c r="G83" s="3491"/>
    </row>
    <row r="84" spans="1:7">
      <c r="A84" s="3484" t="s">
        <v>853</v>
      </c>
      <c r="B84" s="3473" t="s">
        <v>3041</v>
      </c>
      <c r="C84" s="3485"/>
      <c r="D84" s="3485"/>
      <c r="E84" s="3485"/>
      <c r="F84" s="3474">
        <v>0.1</v>
      </c>
      <c r="G84" s="3491"/>
    </row>
    <row r="85" spans="1:7">
      <c r="A85" s="3484" t="s">
        <v>853</v>
      </c>
      <c r="B85" s="3473" t="s">
        <v>3042</v>
      </c>
      <c r="C85" s="3485"/>
      <c r="D85" s="3485"/>
      <c r="E85" s="3485"/>
      <c r="F85" s="3474">
        <v>0.1</v>
      </c>
      <c r="G85" s="3491"/>
    </row>
    <row r="86" spans="1:7" ht="14.25" thickBot="1">
      <c r="A86" s="3487" t="s">
        <v>853</v>
      </c>
      <c r="B86" s="3477" t="s">
        <v>3043</v>
      </c>
      <c r="C86" s="3478">
        <v>9.8000000000000004E-2</v>
      </c>
      <c r="D86" s="3478">
        <v>9.8000000000000004E-2</v>
      </c>
      <c r="E86" s="3478">
        <v>9.6000000000000002E-2</v>
      </c>
      <c r="F86" s="3488"/>
      <c r="G86" s="3480">
        <v>0.1</v>
      </c>
    </row>
    <row r="87" spans="1:7">
      <c r="A87" s="3483" t="s">
        <v>1152</v>
      </c>
      <c r="B87" s="3469" t="s">
        <v>3044</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2840</v>
      </c>
      <c r="C113" s="3474">
        <v>0.1</v>
      </c>
      <c r="D113" s="3474">
        <v>0.1</v>
      </c>
      <c r="E113" s="3485"/>
      <c r="F113" s="3485"/>
      <c r="G113" s="3475">
        <v>0.1</v>
      </c>
    </row>
    <row r="114" spans="1:7">
      <c r="A114" s="3484" t="s">
        <v>1152</v>
      </c>
      <c r="B114" s="3473" t="s">
        <v>2841</v>
      </c>
      <c r="C114" s="3474">
        <v>9.7000000000000003E-2</v>
      </c>
      <c r="D114" s="3474">
        <v>9.7000000000000003E-2</v>
      </c>
      <c r="E114" s="3485"/>
      <c r="F114" s="3485"/>
      <c r="G114" s="3475">
        <v>9.9000000000000005E-2</v>
      </c>
    </row>
    <row r="115" spans="1:7">
      <c r="A115" s="3484" t="s">
        <v>1152</v>
      </c>
      <c r="B115" s="3473" t="s">
        <v>2842</v>
      </c>
      <c r="C115" s="3474">
        <v>0.1</v>
      </c>
      <c r="D115" s="3474">
        <v>0.1</v>
      </c>
      <c r="E115" s="3485"/>
      <c r="F115" s="3485"/>
      <c r="G115" s="3475">
        <v>0.1</v>
      </c>
    </row>
    <row r="116" spans="1:7">
      <c r="A116" s="3484" t="s">
        <v>1152</v>
      </c>
      <c r="B116" s="3473" t="s">
        <v>2843</v>
      </c>
      <c r="C116" s="3474">
        <v>0.1</v>
      </c>
      <c r="D116" s="3474">
        <v>0.1</v>
      </c>
      <c r="E116" s="3485"/>
      <c r="F116" s="3485"/>
      <c r="G116" s="3475">
        <v>0.1</v>
      </c>
    </row>
    <row r="117" spans="1:7">
      <c r="A117" s="3484" t="s">
        <v>1152</v>
      </c>
      <c r="B117" s="3473" t="s">
        <v>2844</v>
      </c>
      <c r="C117" s="3474">
        <v>9.7000000000000003E-2</v>
      </c>
      <c r="D117" s="3474">
        <v>9.7000000000000003E-2</v>
      </c>
      <c r="E117" s="3485"/>
      <c r="F117" s="3485"/>
      <c r="G117" s="3475">
        <v>9.7000000000000003E-2</v>
      </c>
    </row>
    <row r="118" spans="1:7">
      <c r="A118" s="3484" t="s">
        <v>1152</v>
      </c>
      <c r="B118" s="3473" t="s">
        <v>2845</v>
      </c>
      <c r="C118" s="3474">
        <v>0.1</v>
      </c>
      <c r="D118" s="3474">
        <v>0.1</v>
      </c>
      <c r="E118" s="3485"/>
      <c r="F118" s="3485"/>
      <c r="G118" s="3475">
        <v>0.1</v>
      </c>
    </row>
    <row r="119" spans="1:7">
      <c r="A119" s="3484" t="s">
        <v>1152</v>
      </c>
      <c r="B119" s="3473" t="s">
        <v>2846</v>
      </c>
      <c r="C119" s="3474">
        <v>5.0999999999999997E-2</v>
      </c>
      <c r="D119" s="3474">
        <v>5.1999999999999998E-2</v>
      </c>
      <c r="E119" s="3485"/>
      <c r="F119" s="3490"/>
      <c r="G119" s="3475">
        <v>0.06</v>
      </c>
    </row>
    <row r="120" spans="1:7">
      <c r="A120" s="3484" t="s">
        <v>1152</v>
      </c>
      <c r="B120" s="3473" t="s">
        <v>3045</v>
      </c>
      <c r="C120" s="3485"/>
      <c r="D120" s="3485"/>
      <c r="E120" s="3485"/>
      <c r="F120" s="3474">
        <v>0.1</v>
      </c>
      <c r="G120" s="3491"/>
    </row>
    <row r="121" spans="1:7">
      <c r="A121" s="3484" t="s">
        <v>1152</v>
      </c>
      <c r="B121" s="3473" t="s">
        <v>3046</v>
      </c>
      <c r="C121" s="3485"/>
      <c r="D121" s="3485"/>
      <c r="E121" s="3485"/>
      <c r="F121" s="3474">
        <v>0.1</v>
      </c>
      <c r="G121" s="3491"/>
    </row>
    <row r="122" spans="1:7">
      <c r="A122" s="3484" t="s">
        <v>1152</v>
      </c>
      <c r="B122" s="3473" t="s">
        <v>3047</v>
      </c>
      <c r="C122" s="3474">
        <v>0.1</v>
      </c>
      <c r="D122" s="3474">
        <v>0.1</v>
      </c>
      <c r="E122" s="3474">
        <v>9.8000000000000004E-2</v>
      </c>
      <c r="F122" s="3474">
        <v>0.1</v>
      </c>
      <c r="G122" s="3475">
        <v>0.1</v>
      </c>
    </row>
    <row r="123" spans="1:7">
      <c r="A123" s="3484" t="s">
        <v>1152</v>
      </c>
      <c r="B123" s="3473" t="s">
        <v>2850</v>
      </c>
      <c r="C123" s="3474">
        <v>0.1</v>
      </c>
      <c r="D123" s="3474">
        <v>0.1</v>
      </c>
      <c r="E123" s="3474">
        <v>9.8000000000000004E-2</v>
      </c>
      <c r="F123" s="3474">
        <v>0.1</v>
      </c>
      <c r="G123" s="3475">
        <v>0.1</v>
      </c>
    </row>
    <row r="124" spans="1:7">
      <c r="A124" s="3484" t="s">
        <v>1152</v>
      </c>
      <c r="B124" s="3473" t="s">
        <v>2851</v>
      </c>
      <c r="C124" s="3474">
        <v>0.1</v>
      </c>
      <c r="D124" s="3474">
        <v>0.1</v>
      </c>
      <c r="E124" s="3474">
        <v>9.8000000000000004E-2</v>
      </c>
      <c r="F124" s="3490"/>
      <c r="G124" s="3475">
        <v>0.1</v>
      </c>
    </row>
    <row r="125" spans="1:7">
      <c r="A125" s="3484" t="s">
        <v>1152</v>
      </c>
      <c r="B125" s="3473" t="s">
        <v>2852</v>
      </c>
      <c r="C125" s="3474">
        <v>9.8000000000000004E-2</v>
      </c>
      <c r="D125" s="3474">
        <v>9.8000000000000004E-2</v>
      </c>
      <c r="E125" s="3474">
        <v>9.6000000000000002E-2</v>
      </c>
      <c r="F125" s="3490"/>
      <c r="G125" s="3475">
        <v>0.1</v>
      </c>
    </row>
    <row r="126" spans="1:7" ht="14.25" thickBot="1">
      <c r="A126" s="3487" t="s">
        <v>1152</v>
      </c>
      <c r="B126" s="3477" t="s">
        <v>3048</v>
      </c>
      <c r="C126" s="3478">
        <v>0.1</v>
      </c>
      <c r="D126" s="3478">
        <v>0.1</v>
      </c>
      <c r="E126" s="3478">
        <v>9.8000000000000004E-2</v>
      </c>
      <c r="F126" s="3478">
        <v>0.1</v>
      </c>
      <c r="G126" s="3480">
        <v>0.1</v>
      </c>
    </row>
    <row r="127" spans="1:7">
      <c r="A127" s="3483" t="s">
        <v>1153</v>
      </c>
      <c r="B127" s="3469" t="s">
        <v>3049</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3050</v>
      </c>
      <c r="C148" s="3474">
        <v>0.13</v>
      </c>
      <c r="D148" s="3474">
        <v>0.13</v>
      </c>
      <c r="E148" s="3474">
        <v>0.13</v>
      </c>
      <c r="F148" s="3485"/>
      <c r="G148" s="3475">
        <v>0.13</v>
      </c>
    </row>
    <row r="149" spans="1:7">
      <c r="A149" s="3484" t="s">
        <v>1153</v>
      </c>
      <c r="B149" s="3473" t="s">
        <v>3051</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2857</v>
      </c>
      <c r="C153" s="3474">
        <v>0.13</v>
      </c>
      <c r="D153" s="3474">
        <v>0.13</v>
      </c>
      <c r="E153" s="3474">
        <v>0.13</v>
      </c>
      <c r="F153" s="3474">
        <v>0.13</v>
      </c>
      <c r="G153" s="3475">
        <v>0.13</v>
      </c>
    </row>
    <row r="154" spans="1:7">
      <c r="A154" s="3484" t="s">
        <v>1153</v>
      </c>
      <c r="B154" s="3473" t="s">
        <v>3052</v>
      </c>
      <c r="C154" s="3474">
        <v>0.121</v>
      </c>
      <c r="D154" s="3474">
        <v>0.121</v>
      </c>
      <c r="E154" s="3474">
        <v>0.105</v>
      </c>
      <c r="F154" s="3474">
        <v>0.121</v>
      </c>
      <c r="G154" s="3475">
        <v>0.123</v>
      </c>
    </row>
    <row r="155" spans="1:7">
      <c r="A155" s="3484" t="s">
        <v>1153</v>
      </c>
      <c r="B155" s="3473" t="s">
        <v>2859</v>
      </c>
      <c r="C155" s="3474">
        <v>0.1</v>
      </c>
      <c r="D155" s="3474">
        <v>0.1</v>
      </c>
      <c r="E155" s="3474">
        <v>0.1</v>
      </c>
      <c r="F155" s="3474">
        <v>0.1</v>
      </c>
      <c r="G155" s="3475">
        <v>0.1</v>
      </c>
    </row>
    <row r="156" spans="1:7">
      <c r="A156" s="3484" t="s">
        <v>1153</v>
      </c>
      <c r="B156" s="3473" t="s">
        <v>3053</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3054</v>
      </c>
      <c r="C160" s="3474">
        <v>0.13</v>
      </c>
      <c r="D160" s="3474">
        <v>0.13</v>
      </c>
      <c r="E160" s="3474">
        <v>0.124</v>
      </c>
      <c r="F160" s="3474">
        <v>0.126</v>
      </c>
      <c r="G160" s="3475">
        <v>0.13</v>
      </c>
    </row>
    <row r="161" spans="1:7">
      <c r="A161" s="3484" t="s">
        <v>1153</v>
      </c>
      <c r="B161" s="3473" t="s">
        <v>2862</v>
      </c>
      <c r="C161" s="3474">
        <v>0.13</v>
      </c>
      <c r="D161" s="3474">
        <v>0.13</v>
      </c>
      <c r="E161" s="3474">
        <v>0.124</v>
      </c>
      <c r="F161" s="3474">
        <v>0.127</v>
      </c>
      <c r="G161" s="3475">
        <v>0.13</v>
      </c>
    </row>
    <row r="162" spans="1:7">
      <c r="A162" s="3484" t="s">
        <v>1153</v>
      </c>
      <c r="B162" s="3473" t="s">
        <v>2863</v>
      </c>
      <c r="C162" s="3474">
        <v>0.1</v>
      </c>
      <c r="D162" s="3474">
        <v>0.1</v>
      </c>
      <c r="E162" s="3474">
        <v>0.1</v>
      </c>
      <c r="F162" s="3474">
        <v>0.121</v>
      </c>
      <c r="G162" s="3475">
        <v>0.105</v>
      </c>
    </row>
    <row r="163" spans="1:7">
      <c r="A163" s="3484" t="s">
        <v>1153</v>
      </c>
      <c r="B163" s="3473" t="s">
        <v>2864</v>
      </c>
      <c r="C163" s="3474">
        <v>0.1</v>
      </c>
      <c r="D163" s="3474">
        <v>0.1</v>
      </c>
      <c r="E163" s="3474">
        <v>0.1</v>
      </c>
      <c r="F163" s="3474">
        <v>0.1</v>
      </c>
      <c r="G163" s="3475">
        <v>0.1</v>
      </c>
    </row>
    <row r="164" spans="1:7">
      <c r="A164" s="3484" t="s">
        <v>1153</v>
      </c>
      <c r="B164" s="3473" t="s">
        <v>2865</v>
      </c>
      <c r="C164" s="3490"/>
      <c r="D164" s="3490"/>
      <c r="E164" s="3490"/>
      <c r="F164" s="3474">
        <v>0.1</v>
      </c>
      <c r="G164" s="3486"/>
    </row>
    <row r="165" spans="1:7">
      <c r="A165" s="3484" t="s">
        <v>1153</v>
      </c>
      <c r="B165" s="3473" t="s">
        <v>3055</v>
      </c>
      <c r="C165" s="3474">
        <v>0.126</v>
      </c>
      <c r="D165" s="3474">
        <v>0.126</v>
      </c>
      <c r="E165" s="3474">
        <v>0.11899999999999999</v>
      </c>
      <c r="F165" s="3474">
        <v>0.13</v>
      </c>
      <c r="G165" s="3475">
        <v>0.128</v>
      </c>
    </row>
    <row r="166" spans="1:7">
      <c r="A166" s="3484" t="s">
        <v>1153</v>
      </c>
      <c r="B166" s="3473" t="s">
        <v>2867</v>
      </c>
      <c r="C166" s="3474">
        <v>0.129</v>
      </c>
      <c r="D166" s="3474">
        <v>0.129</v>
      </c>
      <c r="E166" s="3474">
        <v>0.123</v>
      </c>
      <c r="F166" s="3474">
        <v>0.128</v>
      </c>
      <c r="G166" s="3475">
        <v>0.13</v>
      </c>
    </row>
    <row r="167" spans="1:7">
      <c r="A167" s="3484" t="s">
        <v>1153</v>
      </c>
      <c r="B167" s="3473" t="s">
        <v>2868</v>
      </c>
      <c r="C167" s="3474">
        <v>0.125</v>
      </c>
      <c r="D167" s="3474">
        <v>0.125</v>
      </c>
      <c r="E167" s="3474">
        <v>0.11700000000000001</v>
      </c>
      <c r="F167" s="3474">
        <v>0.13</v>
      </c>
      <c r="G167" s="3475">
        <v>0.126</v>
      </c>
    </row>
    <row r="168" spans="1:7">
      <c r="A168" s="3484" t="s">
        <v>1153</v>
      </c>
      <c r="B168" s="3473" t="s">
        <v>2869</v>
      </c>
      <c r="C168" s="3474">
        <v>0.128</v>
      </c>
      <c r="D168" s="3474">
        <v>0.128</v>
      </c>
      <c r="E168" s="3474">
        <v>0.123</v>
      </c>
      <c r="F168" s="3485"/>
      <c r="G168" s="3475">
        <v>0.13</v>
      </c>
    </row>
    <row r="169" spans="1:7">
      <c r="A169" s="3484" t="s">
        <v>1153</v>
      </c>
      <c r="B169" s="3473" t="s">
        <v>3056</v>
      </c>
      <c r="C169" s="3490"/>
      <c r="D169" s="3490"/>
      <c r="E169" s="3490"/>
      <c r="F169" s="3474">
        <v>0.05</v>
      </c>
      <c r="G169" s="3486"/>
    </row>
    <row r="170" spans="1:7">
      <c r="A170" s="3484" t="s">
        <v>1153</v>
      </c>
      <c r="B170" s="3473" t="s">
        <v>3057</v>
      </c>
      <c r="C170" s="3490"/>
      <c r="D170" s="3490"/>
      <c r="E170" s="3490"/>
      <c r="F170" s="3474">
        <v>0.05</v>
      </c>
      <c r="G170" s="3486"/>
    </row>
    <row r="171" spans="1:7">
      <c r="A171" s="3484" t="s">
        <v>1153</v>
      </c>
      <c r="B171" s="3473" t="s">
        <v>3058</v>
      </c>
      <c r="C171" s="3490"/>
      <c r="D171" s="3490"/>
      <c r="E171" s="3490"/>
      <c r="F171" s="3474">
        <v>0.05</v>
      </c>
      <c r="G171" s="3491"/>
    </row>
    <row r="172" spans="1:7">
      <c r="A172" s="3484" t="s">
        <v>1153</v>
      </c>
      <c r="B172" s="3473" t="s">
        <v>3059</v>
      </c>
      <c r="C172" s="3490"/>
      <c r="D172" s="3490"/>
      <c r="E172" s="3490"/>
      <c r="F172" s="3474">
        <v>0.05</v>
      </c>
      <c r="G172" s="3491"/>
    </row>
    <row r="173" spans="1:7">
      <c r="A173" s="3484" t="s">
        <v>1153</v>
      </c>
      <c r="B173" s="3473" t="s">
        <v>3060</v>
      </c>
      <c r="C173" s="3490"/>
      <c r="D173" s="3490"/>
      <c r="E173" s="3490"/>
      <c r="F173" s="3474">
        <v>0.05</v>
      </c>
      <c r="G173" s="3486"/>
    </row>
    <row r="174" spans="1:7">
      <c r="A174" s="3484" t="s">
        <v>1153</v>
      </c>
      <c r="B174" s="3473" t="s">
        <v>3061</v>
      </c>
      <c r="C174" s="3490"/>
      <c r="D174" s="3490"/>
      <c r="E174" s="3490"/>
      <c r="F174" s="3474">
        <v>0.05</v>
      </c>
      <c r="G174" s="3486"/>
    </row>
    <row r="175" spans="1:7">
      <c r="A175" s="3484" t="s">
        <v>1153</v>
      </c>
      <c r="B175" s="3473" t="s">
        <v>3062</v>
      </c>
      <c r="C175" s="3490"/>
      <c r="D175" s="3490"/>
      <c r="E175" s="3490"/>
      <c r="F175" s="3474">
        <v>0.05</v>
      </c>
      <c r="G175" s="3486"/>
    </row>
    <row r="176" spans="1:7">
      <c r="A176" s="3484" t="s">
        <v>1153</v>
      </c>
      <c r="B176" s="3473" t="s">
        <v>3063</v>
      </c>
      <c r="C176" s="3490"/>
      <c r="D176" s="3490"/>
      <c r="E176" s="3490"/>
      <c r="F176" s="3474">
        <v>0.05</v>
      </c>
      <c r="G176" s="3486"/>
    </row>
    <row r="177" spans="1:7">
      <c r="A177" s="3484" t="s">
        <v>1153</v>
      </c>
      <c r="B177" s="3473" t="s">
        <v>3064</v>
      </c>
      <c r="C177" s="3485"/>
      <c r="D177" s="3485"/>
      <c r="E177" s="3485"/>
      <c r="F177" s="3474">
        <v>0.05</v>
      </c>
      <c r="G177" s="3491"/>
    </row>
    <row r="178" spans="1:7">
      <c r="A178" s="3484" t="s">
        <v>1153</v>
      </c>
      <c r="B178" s="3473" t="s">
        <v>3065</v>
      </c>
      <c r="C178" s="3485"/>
      <c r="D178" s="3485"/>
      <c r="E178" s="3485"/>
      <c r="F178" s="3474">
        <v>0.05</v>
      </c>
      <c r="G178" s="3491"/>
    </row>
    <row r="179" spans="1:7">
      <c r="A179" s="3484" t="s">
        <v>1153</v>
      </c>
      <c r="B179" s="3473" t="s">
        <v>3066</v>
      </c>
      <c r="C179" s="3485"/>
      <c r="D179" s="3485"/>
      <c r="E179" s="3485"/>
      <c r="F179" s="3474">
        <v>0.05</v>
      </c>
      <c r="G179" s="3491"/>
    </row>
    <row r="180" spans="1:7">
      <c r="A180" s="3484" t="s">
        <v>1153</v>
      </c>
      <c r="B180" s="3473" t="s">
        <v>3067</v>
      </c>
      <c r="C180" s="3485"/>
      <c r="D180" s="3485"/>
      <c r="E180" s="3485"/>
      <c r="F180" s="3474">
        <v>0.05</v>
      </c>
      <c r="G180" s="3491"/>
    </row>
    <row r="181" spans="1:7">
      <c r="A181" s="3484" t="s">
        <v>1153</v>
      </c>
      <c r="B181" s="3473" t="s">
        <v>3068</v>
      </c>
      <c r="C181" s="3485"/>
      <c r="D181" s="3485"/>
      <c r="E181" s="3485"/>
      <c r="F181" s="3474">
        <v>0.05</v>
      </c>
      <c r="G181" s="3491"/>
    </row>
    <row r="182" spans="1:7">
      <c r="A182" s="3484" t="s">
        <v>1153</v>
      </c>
      <c r="B182" s="3473" t="s">
        <v>3069</v>
      </c>
      <c r="C182" s="3485"/>
      <c r="D182" s="3485"/>
      <c r="E182" s="3485"/>
      <c r="F182" s="3474">
        <v>0.05</v>
      </c>
      <c r="G182" s="3491"/>
    </row>
    <row r="183" spans="1:7">
      <c r="A183" s="3484" t="s">
        <v>1153</v>
      </c>
      <c r="B183" s="3473" t="s">
        <v>3070</v>
      </c>
      <c r="C183" s="3485"/>
      <c r="D183" s="3485"/>
      <c r="E183" s="3485"/>
      <c r="F183" s="3474">
        <v>0.05</v>
      </c>
      <c r="G183" s="3491"/>
    </row>
    <row r="184" spans="1:7">
      <c r="A184" s="3484" t="s">
        <v>1153</v>
      </c>
      <c r="B184" s="3473" t="s">
        <v>3071</v>
      </c>
      <c r="C184" s="3485"/>
      <c r="D184" s="3485"/>
      <c r="E184" s="3485"/>
      <c r="F184" s="3474">
        <v>0.05</v>
      </c>
      <c r="G184" s="3491"/>
    </row>
    <row r="185" spans="1:7">
      <c r="A185" s="3484" t="s">
        <v>1153</v>
      </c>
      <c r="B185" s="3473" t="s">
        <v>3072</v>
      </c>
      <c r="C185" s="3485"/>
      <c r="D185" s="3485"/>
      <c r="E185" s="3485"/>
      <c r="F185" s="3474">
        <v>0.05</v>
      </c>
      <c r="G185" s="3491"/>
    </row>
    <row r="186" spans="1:7">
      <c r="A186" s="3484" t="s">
        <v>1153</v>
      </c>
      <c r="B186" s="3473" t="s">
        <v>3073</v>
      </c>
      <c r="C186" s="3485"/>
      <c r="D186" s="3485"/>
      <c r="E186" s="3485"/>
      <c r="F186" s="3474">
        <v>0.05</v>
      </c>
      <c r="G186" s="3491"/>
    </row>
    <row r="187" spans="1:7">
      <c r="A187" s="3484" t="s">
        <v>1153</v>
      </c>
      <c r="B187" s="3473" t="s">
        <v>3074</v>
      </c>
      <c r="C187" s="3485"/>
      <c r="D187" s="3485"/>
      <c r="E187" s="3485"/>
      <c r="F187" s="3474">
        <v>0.05</v>
      </c>
      <c r="G187" s="3491"/>
    </row>
    <row r="188" spans="1:7">
      <c r="A188" s="3484" t="s">
        <v>1153</v>
      </c>
      <c r="B188" s="3473" t="s">
        <v>3075</v>
      </c>
      <c r="C188" s="3485"/>
      <c r="D188" s="3485"/>
      <c r="E188" s="3485"/>
      <c r="F188" s="3474">
        <v>0.05</v>
      </c>
      <c r="G188" s="3491"/>
    </row>
    <row r="189" spans="1:7" ht="14.25" thickBot="1">
      <c r="A189" s="3487" t="s">
        <v>1153</v>
      </c>
      <c r="B189" s="3477" t="s">
        <v>3076</v>
      </c>
      <c r="C189" s="3479"/>
      <c r="D189" s="3479"/>
      <c r="E189" s="3479"/>
      <c r="F189" s="3478">
        <v>0.05</v>
      </c>
      <c r="G189" s="3492"/>
    </row>
    <row r="190" spans="1:7">
      <c r="A190" s="3483" t="s">
        <v>1154</v>
      </c>
      <c r="B190" s="3469" t="s">
        <v>3077</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3078</v>
      </c>
      <c r="C199" s="3474">
        <v>0.13</v>
      </c>
      <c r="D199" s="3474">
        <v>0.13</v>
      </c>
      <c r="E199" s="3474">
        <v>0.13</v>
      </c>
      <c r="F199" s="3474">
        <v>0.13</v>
      </c>
      <c r="G199" s="3475">
        <v>0.13</v>
      </c>
    </row>
    <row r="200" spans="1:7">
      <c r="A200" s="3484" t="s">
        <v>1154</v>
      </c>
      <c r="B200" s="3473" t="s">
        <v>2893</v>
      </c>
      <c r="C200" s="3490"/>
      <c r="D200" s="3490"/>
      <c r="E200" s="3490"/>
      <c r="F200" s="3474">
        <v>0.13</v>
      </c>
      <c r="G200" s="3486"/>
    </row>
    <row r="201" spans="1:7">
      <c r="A201" s="3484" t="s">
        <v>1154</v>
      </c>
      <c r="B201" s="3473" t="s">
        <v>3079</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3080</v>
      </c>
      <c r="C203" s="3474">
        <v>0.129</v>
      </c>
      <c r="D203" s="3474">
        <v>0.129</v>
      </c>
      <c r="E203" s="3474">
        <v>0.13</v>
      </c>
      <c r="F203" s="3474">
        <v>0.13</v>
      </c>
      <c r="G203" s="3475">
        <v>0.13</v>
      </c>
    </row>
    <row r="204" spans="1:7">
      <c r="A204" s="3484" t="s">
        <v>1154</v>
      </c>
      <c r="B204" s="3473" t="s">
        <v>2896</v>
      </c>
      <c r="C204" s="3474">
        <v>0.129</v>
      </c>
      <c r="D204" s="3474">
        <v>0.129</v>
      </c>
      <c r="E204" s="3474">
        <v>0.123</v>
      </c>
      <c r="F204" s="3474">
        <v>0.13</v>
      </c>
      <c r="G204" s="3475">
        <v>0.13</v>
      </c>
    </row>
    <row r="205" spans="1:7">
      <c r="A205" s="3484" t="s">
        <v>1154</v>
      </c>
      <c r="B205" s="3473" t="s">
        <v>2897</v>
      </c>
      <c r="C205" s="3474">
        <v>0.13</v>
      </c>
      <c r="D205" s="3474">
        <v>0.13</v>
      </c>
      <c r="E205" s="3474">
        <v>0.13</v>
      </c>
      <c r="F205" s="3474">
        <v>0.13</v>
      </c>
      <c r="G205" s="3475">
        <v>0.13</v>
      </c>
    </row>
    <row r="206" spans="1:7">
      <c r="A206" s="3484" t="s">
        <v>1154</v>
      </c>
      <c r="B206" s="3473" t="s">
        <v>2898</v>
      </c>
      <c r="C206" s="3474">
        <v>0.13</v>
      </c>
      <c r="D206" s="3474">
        <v>0.13</v>
      </c>
      <c r="E206" s="3474">
        <v>0.13</v>
      </c>
      <c r="F206" s="3474">
        <v>0.128</v>
      </c>
      <c r="G206" s="3475">
        <v>0.13</v>
      </c>
    </row>
    <row r="207" spans="1:7">
      <c r="A207" s="3484" t="s">
        <v>1154</v>
      </c>
      <c r="B207" s="3473" t="s">
        <v>2899</v>
      </c>
      <c r="C207" s="3474">
        <v>0.13</v>
      </c>
      <c r="D207" s="3474">
        <v>0.13</v>
      </c>
      <c r="E207" s="3474">
        <v>0.13</v>
      </c>
      <c r="F207" s="3474">
        <v>0.13</v>
      </c>
      <c r="G207" s="3475">
        <v>0.13</v>
      </c>
    </row>
    <row r="208" spans="1:7">
      <c r="A208" s="3484" t="s">
        <v>1154</v>
      </c>
      <c r="B208" s="3473" t="s">
        <v>3081</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2901</v>
      </c>
      <c r="C210" s="3474">
        <v>0.121</v>
      </c>
      <c r="D210" s="3474">
        <v>0.121</v>
      </c>
      <c r="E210" s="3474">
        <v>0.125</v>
      </c>
      <c r="F210" s="3474">
        <v>0.13</v>
      </c>
      <c r="G210" s="3475">
        <v>0.123</v>
      </c>
    </row>
    <row r="211" spans="1:7">
      <c r="A211" s="3484" t="s">
        <v>1154</v>
      </c>
      <c r="B211" s="3473" t="s">
        <v>3082</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3083</v>
      </c>
      <c r="C214" s="3474">
        <v>0.128</v>
      </c>
      <c r="D214" s="3474">
        <v>0.128</v>
      </c>
      <c r="E214" s="3474">
        <v>0.13</v>
      </c>
      <c r="F214" s="3474">
        <v>0.13</v>
      </c>
      <c r="G214" s="3475">
        <v>0.13</v>
      </c>
    </row>
    <row r="215" spans="1:7">
      <c r="A215" s="3484" t="s">
        <v>1154</v>
      </c>
      <c r="B215" s="3473" t="s">
        <v>3084</v>
      </c>
      <c r="C215" s="3474">
        <v>0.13</v>
      </c>
      <c r="D215" s="3474">
        <v>0.13</v>
      </c>
      <c r="E215" s="3474">
        <v>0.13</v>
      </c>
      <c r="F215" s="3474">
        <v>0.129</v>
      </c>
      <c r="G215" s="3475">
        <v>0.13</v>
      </c>
    </row>
    <row r="216" spans="1:7">
      <c r="A216" s="3484" t="s">
        <v>1154</v>
      </c>
      <c r="B216" s="3473" t="s">
        <v>3085</v>
      </c>
      <c r="C216" s="3474">
        <v>0.13</v>
      </c>
      <c r="D216" s="3474">
        <v>0.13</v>
      </c>
      <c r="E216" s="3474">
        <v>0.13</v>
      </c>
      <c r="F216" s="3474">
        <v>0.13</v>
      </c>
      <c r="G216" s="3475">
        <v>0.13</v>
      </c>
    </row>
    <row r="217" spans="1:7">
      <c r="A217" s="3484" t="s">
        <v>1154</v>
      </c>
      <c r="B217" s="3473" t="s">
        <v>2905</v>
      </c>
      <c r="C217" s="3474">
        <v>0.129</v>
      </c>
      <c r="D217" s="3474">
        <v>0.129</v>
      </c>
      <c r="E217" s="3474">
        <v>0.13</v>
      </c>
      <c r="F217" s="3474">
        <v>0.13</v>
      </c>
      <c r="G217" s="3475">
        <v>0.13</v>
      </c>
    </row>
    <row r="218" spans="1:7">
      <c r="A218" s="3484" t="s">
        <v>1154</v>
      </c>
      <c r="B218" s="3473" t="s">
        <v>3086</v>
      </c>
      <c r="C218" s="3485"/>
      <c r="D218" s="3485"/>
      <c r="E218" s="3485"/>
      <c r="F218" s="3474">
        <v>0.05</v>
      </c>
      <c r="G218" s="3491"/>
    </row>
    <row r="219" spans="1:7">
      <c r="A219" s="3484" t="s">
        <v>1154</v>
      </c>
      <c r="B219" s="3473" t="s">
        <v>3087</v>
      </c>
      <c r="C219" s="3485"/>
      <c r="D219" s="3485"/>
      <c r="E219" s="3485"/>
      <c r="F219" s="3474">
        <v>0.05</v>
      </c>
      <c r="G219" s="3491"/>
    </row>
    <row r="220" spans="1:7">
      <c r="A220" s="3484" t="s">
        <v>1154</v>
      </c>
      <c r="B220" s="3473" t="s">
        <v>3088</v>
      </c>
      <c r="C220" s="3485"/>
      <c r="D220" s="3485"/>
      <c r="E220" s="3485"/>
      <c r="F220" s="3474">
        <v>0.05</v>
      </c>
      <c r="G220" s="3491"/>
    </row>
    <row r="221" spans="1:7">
      <c r="A221" s="3484" t="s">
        <v>1154</v>
      </c>
      <c r="B221" s="3473" t="s">
        <v>3089</v>
      </c>
      <c r="C221" s="3485"/>
      <c r="D221" s="3485"/>
      <c r="E221" s="3485"/>
      <c r="F221" s="3474">
        <v>0.05</v>
      </c>
      <c r="G221" s="3491"/>
    </row>
    <row r="222" spans="1:7">
      <c r="A222" s="3484" t="s">
        <v>1154</v>
      </c>
      <c r="B222" s="3473" t="s">
        <v>3090</v>
      </c>
      <c r="C222" s="3485"/>
      <c r="D222" s="3485"/>
      <c r="E222" s="3485"/>
      <c r="F222" s="3474">
        <v>0.05</v>
      </c>
      <c r="G222" s="3491"/>
    </row>
    <row r="223" spans="1:7">
      <c r="A223" s="3484" t="s">
        <v>1154</v>
      </c>
      <c r="B223" s="3473" t="s">
        <v>3091</v>
      </c>
      <c r="C223" s="3485"/>
      <c r="D223" s="3485"/>
      <c r="E223" s="3485"/>
      <c r="F223" s="3474">
        <v>0.05</v>
      </c>
      <c r="G223" s="3491"/>
    </row>
    <row r="224" spans="1:7">
      <c r="A224" s="3484" t="s">
        <v>1154</v>
      </c>
      <c r="B224" s="3473" t="s">
        <v>3092</v>
      </c>
      <c r="C224" s="3485"/>
      <c r="D224" s="3485"/>
      <c r="E224" s="3485"/>
      <c r="F224" s="3474">
        <v>0.05</v>
      </c>
      <c r="G224" s="3491"/>
    </row>
    <row r="225" spans="1:7">
      <c r="A225" s="3484" t="s">
        <v>1154</v>
      </c>
      <c r="B225" s="3473" t="s">
        <v>3093</v>
      </c>
      <c r="C225" s="3485"/>
      <c r="D225" s="3485"/>
      <c r="E225" s="3485"/>
      <c r="F225" s="3474">
        <v>0.05</v>
      </c>
      <c r="G225" s="3491"/>
    </row>
    <row r="226" spans="1:7">
      <c r="A226" s="3484" t="s">
        <v>1154</v>
      </c>
      <c r="B226" s="3473" t="s">
        <v>3094</v>
      </c>
      <c r="C226" s="3485"/>
      <c r="D226" s="3485"/>
      <c r="E226" s="3485"/>
      <c r="F226" s="3474">
        <v>0.05</v>
      </c>
      <c r="G226" s="3491"/>
    </row>
    <row r="227" spans="1:7">
      <c r="A227" s="3484" t="s">
        <v>1154</v>
      </c>
      <c r="B227" s="3473" t="s">
        <v>3095</v>
      </c>
      <c r="C227" s="3485"/>
      <c r="D227" s="3485"/>
      <c r="E227" s="3485"/>
      <c r="F227" s="3474">
        <v>0.05</v>
      </c>
      <c r="G227" s="3491"/>
    </row>
    <row r="228" spans="1:7">
      <c r="A228" s="3484" t="s">
        <v>1154</v>
      </c>
      <c r="B228" s="3473" t="s">
        <v>3096</v>
      </c>
      <c r="C228" s="3485"/>
      <c r="D228" s="3485"/>
      <c r="E228" s="3485"/>
      <c r="F228" s="3474">
        <v>0.05</v>
      </c>
      <c r="G228" s="3491"/>
    </row>
    <row r="229" spans="1:7">
      <c r="A229" s="3484" t="s">
        <v>1154</v>
      </c>
      <c r="B229" s="3473" t="s">
        <v>3097</v>
      </c>
      <c r="C229" s="3485"/>
      <c r="D229" s="3485"/>
      <c r="E229" s="3485"/>
      <c r="F229" s="3474">
        <v>0.05</v>
      </c>
      <c r="G229" s="3491"/>
    </row>
    <row r="230" spans="1:7">
      <c r="A230" s="3484" t="s">
        <v>1154</v>
      </c>
      <c r="B230" s="3473" t="s">
        <v>3098</v>
      </c>
      <c r="C230" s="3485"/>
      <c r="D230" s="3485"/>
      <c r="E230" s="3485"/>
      <c r="F230" s="3474">
        <v>0.05</v>
      </c>
      <c r="G230" s="3491"/>
    </row>
    <row r="231" spans="1:7">
      <c r="A231" s="3484" t="s">
        <v>1154</v>
      </c>
      <c r="B231" s="3473" t="s">
        <v>3099</v>
      </c>
      <c r="C231" s="3485"/>
      <c r="D231" s="3485"/>
      <c r="E231" s="3485"/>
      <c r="F231" s="3474">
        <v>0.05</v>
      </c>
      <c r="G231" s="3491"/>
    </row>
    <row r="232" spans="1:7">
      <c r="A232" s="3484" t="s">
        <v>1154</v>
      </c>
      <c r="B232" s="3473" t="s">
        <v>3100</v>
      </c>
      <c r="C232" s="3485"/>
      <c r="D232" s="3485"/>
      <c r="E232" s="3485"/>
      <c r="F232" s="3474">
        <v>0.05</v>
      </c>
      <c r="G232" s="3491"/>
    </row>
    <row r="233" spans="1:7" ht="14.25" thickBot="1">
      <c r="A233" s="3487" t="s">
        <v>1154</v>
      </c>
      <c r="B233" s="3477" t="s">
        <v>3101</v>
      </c>
      <c r="C233" s="3479"/>
      <c r="D233" s="3479"/>
      <c r="E233" s="3479"/>
      <c r="F233" s="3478">
        <v>0.05</v>
      </c>
      <c r="G233" s="3492"/>
    </row>
    <row r="234" spans="1:7">
      <c r="A234" s="3483" t="s">
        <v>1155</v>
      </c>
      <c r="B234" s="3469" t="s">
        <v>3102</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2923</v>
      </c>
      <c r="C238" s="3474">
        <v>0.14899999999999999</v>
      </c>
      <c r="D238" s="3474">
        <v>0.14899999999999999</v>
      </c>
      <c r="E238" s="3474">
        <v>0.15</v>
      </c>
      <c r="F238" s="3474">
        <v>0.15</v>
      </c>
      <c r="G238" s="3475">
        <v>0.15</v>
      </c>
    </row>
    <row r="239" spans="1:7">
      <c r="A239" s="3484" t="s">
        <v>1155</v>
      </c>
      <c r="B239" s="3473" t="s">
        <v>3103</v>
      </c>
      <c r="C239" s="3474">
        <v>0.15</v>
      </c>
      <c r="D239" s="3474">
        <v>0.15</v>
      </c>
      <c r="E239" s="3474">
        <v>0.15</v>
      </c>
      <c r="F239" s="3474">
        <v>0.15</v>
      </c>
      <c r="G239" s="3475">
        <v>0.15</v>
      </c>
    </row>
    <row r="240" spans="1:7">
      <c r="A240" s="3484" t="s">
        <v>1155</v>
      </c>
      <c r="B240" s="3473" t="s">
        <v>3104</v>
      </c>
      <c r="C240" s="3474">
        <v>0.15</v>
      </c>
      <c r="D240" s="3474">
        <v>0.15</v>
      </c>
      <c r="E240" s="3474">
        <v>0.15</v>
      </c>
      <c r="F240" s="3474">
        <v>0.15</v>
      </c>
      <c r="G240" s="3475">
        <v>0.15</v>
      </c>
    </row>
    <row r="241" spans="1:7">
      <c r="A241" s="3484" t="s">
        <v>1155</v>
      </c>
      <c r="B241" s="3473" t="s">
        <v>3105</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3106</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3107</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3108</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3109</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3110</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2932</v>
      </c>
      <c r="C258" s="3474">
        <v>0.14299999999999999</v>
      </c>
      <c r="D258" s="3474">
        <v>0.14299999999999999</v>
      </c>
      <c r="E258" s="3474">
        <v>0.15</v>
      </c>
      <c r="F258" s="3474">
        <v>0.14799999999999999</v>
      </c>
      <c r="G258" s="3475">
        <v>0.14599999999999999</v>
      </c>
    </row>
    <row r="259" spans="1:7">
      <c r="A259" s="3484" t="s">
        <v>1155</v>
      </c>
      <c r="B259" s="3473" t="s">
        <v>3111</v>
      </c>
      <c r="C259" s="3474">
        <v>0.14399999999999999</v>
      </c>
      <c r="D259" s="3474">
        <v>0.14399999999999999</v>
      </c>
      <c r="E259" s="3474">
        <v>0.14899999999999999</v>
      </c>
      <c r="F259" s="3474">
        <v>0.14699999999999999</v>
      </c>
      <c r="G259" s="3475">
        <v>0.14599999999999999</v>
      </c>
    </row>
    <row r="260" spans="1:7">
      <c r="A260" s="3484" t="s">
        <v>1155</v>
      </c>
      <c r="B260" s="3473" t="s">
        <v>3112</v>
      </c>
      <c r="C260" s="3474">
        <v>0.109</v>
      </c>
      <c r="D260" s="3474">
        <v>0.111</v>
      </c>
      <c r="E260" s="3474">
        <v>0.13100000000000001</v>
      </c>
      <c r="F260" s="3474">
        <v>0.126</v>
      </c>
      <c r="G260" s="3475">
        <v>0.11899999999999999</v>
      </c>
    </row>
    <row r="261" spans="1:7">
      <c r="A261" s="3484" t="s">
        <v>1155</v>
      </c>
      <c r="B261" s="3473" t="s">
        <v>3113</v>
      </c>
      <c r="C261" s="3474">
        <v>0.1</v>
      </c>
      <c r="D261" s="3474">
        <v>0.1</v>
      </c>
      <c r="E261" s="3474">
        <v>0.11799999999999999</v>
      </c>
      <c r="F261" s="3474">
        <v>0.108</v>
      </c>
      <c r="G261" s="3475">
        <v>0.107</v>
      </c>
    </row>
    <row r="262" spans="1:7">
      <c r="A262" s="3484" t="s">
        <v>1155</v>
      </c>
      <c r="B262" s="3473" t="s">
        <v>3114</v>
      </c>
      <c r="C262" s="3474">
        <v>0.1</v>
      </c>
      <c r="D262" s="3474">
        <v>0.1</v>
      </c>
      <c r="E262" s="3474">
        <v>0.1</v>
      </c>
      <c r="F262" s="3474">
        <v>0.14099999999999999</v>
      </c>
      <c r="G262" s="3475">
        <v>0.1</v>
      </c>
    </row>
    <row r="263" spans="1:7">
      <c r="A263" s="3484" t="s">
        <v>1155</v>
      </c>
      <c r="B263" s="3473" t="s">
        <v>3115</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3116</v>
      </c>
      <c r="C265" s="3485"/>
      <c r="D265" s="3485"/>
      <c r="E265" s="3485"/>
      <c r="F265" s="3474">
        <v>0.05</v>
      </c>
      <c r="G265" s="3491"/>
    </row>
    <row r="266" spans="1:7">
      <c r="A266" s="3484" t="s">
        <v>1155</v>
      </c>
      <c r="B266" s="3473" t="s">
        <v>3117</v>
      </c>
      <c r="C266" s="3485"/>
      <c r="D266" s="3485"/>
      <c r="E266" s="3485"/>
      <c r="F266" s="3474">
        <v>0.05</v>
      </c>
      <c r="G266" s="3491"/>
    </row>
    <row r="267" spans="1:7">
      <c r="A267" s="3484" t="s">
        <v>1155</v>
      </c>
      <c r="B267" s="3473" t="s">
        <v>3118</v>
      </c>
      <c r="C267" s="3485"/>
      <c r="D267" s="3485"/>
      <c r="E267" s="3485"/>
      <c r="F267" s="3474">
        <v>0.05</v>
      </c>
      <c r="G267" s="3491"/>
    </row>
    <row r="268" spans="1:7">
      <c r="A268" s="3484" t="s">
        <v>1155</v>
      </c>
      <c r="B268" s="3473" t="s">
        <v>3119</v>
      </c>
      <c r="C268" s="3485"/>
      <c r="D268" s="3485"/>
      <c r="E268" s="3485"/>
      <c r="F268" s="3474">
        <v>0.05</v>
      </c>
      <c r="G268" s="3491"/>
    </row>
    <row r="269" spans="1:7">
      <c r="A269" s="3484" t="s">
        <v>1155</v>
      </c>
      <c r="B269" s="3473" t="s">
        <v>3120</v>
      </c>
      <c r="C269" s="3485"/>
      <c r="D269" s="3485"/>
      <c r="E269" s="3485"/>
      <c r="F269" s="3474">
        <v>0.05</v>
      </c>
      <c r="G269" s="3491"/>
    </row>
    <row r="270" spans="1:7">
      <c r="A270" s="3484" t="s">
        <v>1155</v>
      </c>
      <c r="B270" s="3473" t="s">
        <v>3121</v>
      </c>
      <c r="C270" s="3485"/>
      <c r="D270" s="3485"/>
      <c r="E270" s="3485"/>
      <c r="F270" s="3474">
        <v>0.05</v>
      </c>
      <c r="G270" s="3491"/>
    </row>
    <row r="271" spans="1:7">
      <c r="A271" s="3484" t="s">
        <v>1155</v>
      </c>
      <c r="B271" s="3473" t="s">
        <v>3122</v>
      </c>
      <c r="C271" s="3485"/>
      <c r="D271" s="3485"/>
      <c r="E271" s="3485"/>
      <c r="F271" s="3474">
        <v>0.05</v>
      </c>
      <c r="G271" s="3491"/>
    </row>
    <row r="272" spans="1:7">
      <c r="A272" s="3484" t="s">
        <v>1155</v>
      </c>
      <c r="B272" s="3473" t="s">
        <v>3123</v>
      </c>
      <c r="C272" s="3485"/>
      <c r="D272" s="3485"/>
      <c r="E272" s="3485"/>
      <c r="F272" s="3474">
        <v>0.05</v>
      </c>
      <c r="G272" s="3491"/>
    </row>
    <row r="273" spans="1:7">
      <c r="A273" s="3484" t="s">
        <v>1155</v>
      </c>
      <c r="B273" s="3473" t="s">
        <v>3124</v>
      </c>
      <c r="C273" s="3485"/>
      <c r="D273" s="3485"/>
      <c r="E273" s="3485"/>
      <c r="F273" s="3474">
        <v>0.05</v>
      </c>
      <c r="G273" s="3491"/>
    </row>
    <row r="274" spans="1:7">
      <c r="A274" s="3484" t="s">
        <v>1155</v>
      </c>
      <c r="B274" s="3473" t="s">
        <v>3125</v>
      </c>
      <c r="C274" s="3485"/>
      <c r="D274" s="3485"/>
      <c r="E274" s="3485"/>
      <c r="F274" s="3474">
        <v>0.05</v>
      </c>
      <c r="G274" s="3491"/>
    </row>
    <row r="275" spans="1:7">
      <c r="A275" s="3484" t="s">
        <v>1155</v>
      </c>
      <c r="B275" s="3473" t="s">
        <v>3126</v>
      </c>
      <c r="C275" s="3485"/>
      <c r="D275" s="3485"/>
      <c r="E275" s="3485"/>
      <c r="F275" s="3474">
        <v>0.05</v>
      </c>
      <c r="G275" s="3491"/>
    </row>
    <row r="276" spans="1:7" ht="14.25" thickBot="1">
      <c r="A276" s="3487" t="s">
        <v>1155</v>
      </c>
      <c r="B276" s="3477" t="s">
        <v>3127</v>
      </c>
      <c r="C276" s="3479"/>
      <c r="D276" s="3479"/>
      <c r="E276" s="3479"/>
      <c r="F276" s="3478">
        <v>0.05</v>
      </c>
      <c r="G276" s="3492"/>
    </row>
    <row r="277" spans="1:7">
      <c r="A277" s="3483" t="s">
        <v>1156</v>
      </c>
      <c r="B277" s="3469" t="s">
        <v>3128</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3129</v>
      </c>
      <c r="C279" s="3474">
        <v>0.15</v>
      </c>
      <c r="D279" s="3474">
        <v>0.15</v>
      </c>
      <c r="E279" s="3474">
        <v>0.15</v>
      </c>
      <c r="F279" s="3474">
        <v>0.15</v>
      </c>
      <c r="G279" s="3475">
        <v>0.15</v>
      </c>
    </row>
    <row r="280" spans="1:7">
      <c r="A280" s="3484" t="s">
        <v>1156</v>
      </c>
      <c r="B280" s="3473" t="s">
        <v>3130</v>
      </c>
      <c r="C280" s="3474">
        <v>0.15</v>
      </c>
      <c r="D280" s="3474">
        <v>0.15</v>
      </c>
      <c r="E280" s="3474">
        <v>0.15</v>
      </c>
      <c r="F280" s="3474">
        <v>0.15</v>
      </c>
      <c r="G280" s="3475">
        <v>0.15</v>
      </c>
    </row>
    <row r="281" spans="1:7">
      <c r="A281" s="3484" t="s">
        <v>1156</v>
      </c>
      <c r="B281" s="3473" t="s">
        <v>3131</v>
      </c>
      <c r="C281" s="3474">
        <v>0.15</v>
      </c>
      <c r="D281" s="3474">
        <v>0.15</v>
      </c>
      <c r="E281" s="3474">
        <v>0.15</v>
      </c>
      <c r="F281" s="3474">
        <v>0.15</v>
      </c>
      <c r="G281" s="3475">
        <v>0.15</v>
      </c>
    </row>
    <row r="282" spans="1:7">
      <c r="A282" s="3484" t="s">
        <v>1156</v>
      </c>
      <c r="B282" s="3473" t="s">
        <v>3132</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3133</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3134</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2957</v>
      </c>
      <c r="C293" s="3474">
        <v>0.15</v>
      </c>
      <c r="D293" s="3474">
        <v>0.15</v>
      </c>
      <c r="E293" s="3474">
        <v>0.15</v>
      </c>
      <c r="F293" s="3474">
        <v>0.14499999999999999</v>
      </c>
      <c r="G293" s="3475">
        <v>0.15</v>
      </c>
    </row>
    <row r="294" spans="1:7">
      <c r="A294" s="3484" t="s">
        <v>1156</v>
      </c>
      <c r="B294" s="3473" t="s">
        <v>3135</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2959</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3136</v>
      </c>
      <c r="C302" s="3474">
        <v>0.15</v>
      </c>
      <c r="D302" s="3474">
        <v>0.15</v>
      </c>
      <c r="E302" s="3474">
        <v>0.15</v>
      </c>
      <c r="F302" s="3474">
        <v>0.14699999999999999</v>
      </c>
      <c r="G302" s="3475">
        <v>0.15</v>
      </c>
    </row>
    <row r="303" spans="1:7">
      <c r="A303" s="3484" t="s">
        <v>1156</v>
      </c>
      <c r="B303" s="3473" t="s">
        <v>2961</v>
      </c>
      <c r="C303" s="3474">
        <v>0.15</v>
      </c>
      <c r="D303" s="3474">
        <v>0.15</v>
      </c>
      <c r="E303" s="3474">
        <v>0.15</v>
      </c>
      <c r="F303" s="3474">
        <v>0.14199999999999999</v>
      </c>
      <c r="G303" s="3475">
        <v>0.15</v>
      </c>
    </row>
    <row r="304" spans="1:7">
      <c r="A304" s="3484" t="s">
        <v>1156</v>
      </c>
      <c r="B304" s="3473" t="s">
        <v>2962</v>
      </c>
      <c r="C304" s="3474">
        <v>0.15</v>
      </c>
      <c r="D304" s="3474">
        <v>0.15</v>
      </c>
      <c r="E304" s="3474">
        <v>0.15</v>
      </c>
      <c r="F304" s="3474">
        <v>0.14499999999999999</v>
      </c>
      <c r="G304" s="3475">
        <v>0.15</v>
      </c>
    </row>
    <row r="305" spans="1:7">
      <c r="A305" s="3484" t="s">
        <v>1156</v>
      </c>
      <c r="B305" s="3473" t="s">
        <v>2963</v>
      </c>
      <c r="C305" s="3474">
        <v>0.15</v>
      </c>
      <c r="D305" s="3474">
        <v>0.15</v>
      </c>
      <c r="E305" s="3474">
        <v>0.15</v>
      </c>
      <c r="F305" s="3474">
        <v>0.111</v>
      </c>
      <c r="G305" s="3475">
        <v>0.15</v>
      </c>
    </row>
    <row r="306" spans="1:7">
      <c r="A306" s="3484" t="s">
        <v>1156</v>
      </c>
      <c r="B306" s="3473" t="s">
        <v>3137</v>
      </c>
      <c r="C306" s="3474">
        <v>0.15</v>
      </c>
      <c r="D306" s="3474">
        <v>0.15</v>
      </c>
      <c r="E306" s="3474">
        <v>0.15</v>
      </c>
      <c r="F306" s="3474">
        <v>0.126</v>
      </c>
      <c r="G306" s="3475">
        <v>0.15</v>
      </c>
    </row>
    <row r="307" spans="1:7">
      <c r="A307" s="3484" t="s">
        <v>1156</v>
      </c>
      <c r="B307" s="3473" t="s">
        <v>2965</v>
      </c>
      <c r="C307" s="3474">
        <v>0.15</v>
      </c>
      <c r="D307" s="3474">
        <v>0.15</v>
      </c>
      <c r="E307" s="3474">
        <v>0.15</v>
      </c>
      <c r="F307" s="3474">
        <v>0.12</v>
      </c>
      <c r="G307" s="3475">
        <v>0.15</v>
      </c>
    </row>
    <row r="308" spans="1:7">
      <c r="A308" s="3484" t="s">
        <v>1156</v>
      </c>
      <c r="B308" s="3473" t="s">
        <v>3138</v>
      </c>
      <c r="C308" s="3474">
        <v>0.15</v>
      </c>
      <c r="D308" s="3474">
        <v>0.15</v>
      </c>
      <c r="E308" s="3474">
        <v>0.15</v>
      </c>
      <c r="F308" s="3474">
        <v>0.13</v>
      </c>
      <c r="G308" s="3475">
        <v>0.15</v>
      </c>
    </row>
    <row r="309" spans="1:7">
      <c r="A309" s="3484" t="s">
        <v>1156</v>
      </c>
      <c r="B309" s="3473" t="s">
        <v>3139</v>
      </c>
      <c r="C309" s="3474">
        <v>0.15</v>
      </c>
      <c r="D309" s="3474">
        <v>0.15</v>
      </c>
      <c r="E309" s="3474">
        <v>0.15</v>
      </c>
      <c r="F309" s="3474">
        <v>0.14099999999999999</v>
      </c>
      <c r="G309" s="3475">
        <v>0.15</v>
      </c>
    </row>
    <row r="310" spans="1:7">
      <c r="A310" s="3484" t="s">
        <v>1156</v>
      </c>
      <c r="B310" s="3473" t="s">
        <v>2968</v>
      </c>
      <c r="C310" s="3474">
        <v>0.15</v>
      </c>
      <c r="D310" s="3474">
        <v>0.15</v>
      </c>
      <c r="E310" s="3474">
        <v>0.15</v>
      </c>
      <c r="F310" s="3474">
        <v>0.15</v>
      </c>
      <c r="G310" s="3475">
        <v>0.15</v>
      </c>
    </row>
    <row r="311" spans="1:7">
      <c r="A311" s="3484" t="s">
        <v>1156</v>
      </c>
      <c r="B311" s="3473" t="s">
        <v>3140</v>
      </c>
      <c r="C311" s="3474">
        <v>0.13200000000000001</v>
      </c>
      <c r="D311" s="3474">
        <v>0.13300000000000001</v>
      </c>
      <c r="E311" s="3474">
        <v>0.14499999999999999</v>
      </c>
      <c r="F311" s="3474">
        <v>0.14199999999999999</v>
      </c>
      <c r="G311" s="3475">
        <v>0.14000000000000001</v>
      </c>
    </row>
    <row r="312" spans="1:7">
      <c r="A312" s="3484" t="s">
        <v>1156</v>
      </c>
      <c r="B312" s="3473" t="s">
        <v>2970</v>
      </c>
      <c r="C312" s="3474">
        <v>0.13800000000000001</v>
      </c>
      <c r="D312" s="3474">
        <v>0.14000000000000001</v>
      </c>
      <c r="E312" s="3474">
        <v>0.14599999999999999</v>
      </c>
      <c r="F312" s="3474">
        <v>0.14899999999999999</v>
      </c>
      <c r="G312" s="3475">
        <v>0.14199999999999999</v>
      </c>
    </row>
    <row r="313" spans="1:7">
      <c r="A313" s="3484" t="s">
        <v>1156</v>
      </c>
      <c r="B313" s="3473" t="s">
        <v>2971</v>
      </c>
      <c r="C313" s="3474">
        <v>0.125</v>
      </c>
      <c r="D313" s="3474">
        <v>0.127</v>
      </c>
      <c r="E313" s="3474">
        <v>0.14399999999999999</v>
      </c>
      <c r="F313" s="3474">
        <v>0.115</v>
      </c>
      <c r="G313" s="3475">
        <v>0.13600000000000001</v>
      </c>
    </row>
    <row r="314" spans="1:7">
      <c r="A314" s="3484" t="s">
        <v>1156</v>
      </c>
      <c r="B314" s="3473" t="s">
        <v>3141</v>
      </c>
      <c r="C314" s="3490"/>
      <c r="D314" s="3490"/>
      <c r="E314" s="3490"/>
      <c r="F314" s="3474">
        <v>0.05</v>
      </c>
      <c r="G314" s="3491"/>
    </row>
    <row r="315" spans="1:7">
      <c r="A315" s="3484" t="s">
        <v>1156</v>
      </c>
      <c r="B315" s="3473" t="s">
        <v>3142</v>
      </c>
      <c r="C315" s="3490"/>
      <c r="D315" s="3490"/>
      <c r="E315" s="3490"/>
      <c r="F315" s="3474">
        <v>0.05</v>
      </c>
      <c r="G315" s="3491"/>
    </row>
    <row r="316" spans="1:7">
      <c r="A316" s="3484" t="s">
        <v>1156</v>
      </c>
      <c r="B316" s="3473" t="s">
        <v>3143</v>
      </c>
      <c r="C316" s="3485"/>
      <c r="D316" s="3485"/>
      <c r="E316" s="3485"/>
      <c r="F316" s="3474">
        <v>0.05</v>
      </c>
      <c r="G316" s="3491"/>
    </row>
    <row r="317" spans="1:7">
      <c r="A317" s="3484" t="s">
        <v>1156</v>
      </c>
      <c r="B317" s="3473" t="s">
        <v>3144</v>
      </c>
      <c r="C317" s="3485"/>
      <c r="D317" s="3485"/>
      <c r="E317" s="3485"/>
      <c r="F317" s="3474">
        <v>0.05</v>
      </c>
      <c r="G317" s="3491"/>
    </row>
    <row r="318" spans="1:7">
      <c r="A318" s="3484" t="s">
        <v>1156</v>
      </c>
      <c r="B318" s="3473" t="s">
        <v>3145</v>
      </c>
      <c r="C318" s="3485"/>
      <c r="D318" s="3485"/>
      <c r="E318" s="3485"/>
      <c r="F318" s="3474">
        <v>0.05</v>
      </c>
      <c r="G318" s="3491"/>
    </row>
    <row r="319" spans="1:7">
      <c r="A319" s="3484" t="s">
        <v>1156</v>
      </c>
      <c r="B319" s="3473" t="s">
        <v>3146</v>
      </c>
      <c r="C319" s="3485"/>
      <c r="D319" s="3485"/>
      <c r="E319" s="3485"/>
      <c r="F319" s="3474">
        <v>0.05</v>
      </c>
      <c r="G319" s="3491"/>
    </row>
    <row r="320" spans="1:7">
      <c r="A320" s="3484" t="s">
        <v>1156</v>
      </c>
      <c r="B320" s="3473" t="s">
        <v>3147</v>
      </c>
      <c r="C320" s="3485"/>
      <c r="D320" s="3485"/>
      <c r="E320" s="3485"/>
      <c r="F320" s="3474">
        <v>0.05</v>
      </c>
      <c r="G320" s="3491"/>
    </row>
    <row r="321" spans="1:7">
      <c r="A321" s="3484" t="s">
        <v>1156</v>
      </c>
      <c r="B321" s="3473" t="s">
        <v>3148</v>
      </c>
      <c r="C321" s="3485"/>
      <c r="D321" s="3485"/>
      <c r="E321" s="3485"/>
      <c r="F321" s="3474">
        <v>0.05</v>
      </c>
      <c r="G321" s="3491"/>
    </row>
    <row r="322" spans="1:7">
      <c r="A322" s="3484" t="s">
        <v>1156</v>
      </c>
      <c r="B322" s="3473" t="s">
        <v>3149</v>
      </c>
      <c r="C322" s="3485"/>
      <c r="D322" s="3485"/>
      <c r="E322" s="3485"/>
      <c r="F322" s="3474">
        <v>0.05</v>
      </c>
      <c r="G322" s="3491"/>
    </row>
    <row r="323" spans="1:7">
      <c r="A323" s="3484" t="s">
        <v>1156</v>
      </c>
      <c r="B323" s="3473" t="s">
        <v>3150</v>
      </c>
      <c r="C323" s="3485"/>
      <c r="D323" s="3485"/>
      <c r="E323" s="3485"/>
      <c r="F323" s="3474">
        <v>0.05</v>
      </c>
      <c r="G323" s="3491"/>
    </row>
    <row r="324" spans="1:7">
      <c r="A324" s="3484" t="s">
        <v>1156</v>
      </c>
      <c r="B324" s="3473" t="s">
        <v>3151</v>
      </c>
      <c r="C324" s="3485"/>
      <c r="D324" s="3485"/>
      <c r="E324" s="3485"/>
      <c r="F324" s="3474">
        <v>0.05</v>
      </c>
      <c r="G324" s="3491"/>
    </row>
    <row r="325" spans="1:7">
      <c r="A325" s="3484" t="s">
        <v>1156</v>
      </c>
      <c r="B325" s="3473" t="s">
        <v>3152</v>
      </c>
      <c r="C325" s="3485"/>
      <c r="D325" s="3485"/>
      <c r="E325" s="3485"/>
      <c r="F325" s="3474">
        <v>0.05</v>
      </c>
      <c r="G325" s="3491"/>
    </row>
    <row r="326" spans="1:7" ht="14.25" thickBot="1">
      <c r="A326" s="3487" t="s">
        <v>1156</v>
      </c>
      <c r="B326" s="3477" t="s">
        <v>3153</v>
      </c>
      <c r="C326" s="3479"/>
      <c r="D326" s="3479"/>
      <c r="E326" s="3479"/>
      <c r="F326" s="3478">
        <v>0.05</v>
      </c>
      <c r="G326" s="3492"/>
    </row>
    <row r="327" spans="1:7">
      <c r="A327" s="3483" t="s">
        <v>1157</v>
      </c>
      <c r="B327" s="3469" t="s">
        <v>3154</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3155</v>
      </c>
      <c r="C329" s="3474">
        <v>0.15</v>
      </c>
      <c r="D329" s="3474">
        <v>0.15</v>
      </c>
      <c r="E329" s="3474">
        <v>0.15</v>
      </c>
      <c r="F329" s="3474">
        <v>0.15</v>
      </c>
      <c r="G329" s="3475">
        <v>0.15</v>
      </c>
    </row>
    <row r="330" spans="1:7">
      <c r="A330" s="3484" t="s">
        <v>1157</v>
      </c>
      <c r="B330" s="3473" t="s">
        <v>3156</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2988</v>
      </c>
      <c r="C332" s="3474">
        <v>0.15</v>
      </c>
      <c r="D332" s="3474">
        <v>0.15</v>
      </c>
      <c r="E332" s="3474">
        <v>0.15</v>
      </c>
      <c r="F332" s="3474">
        <v>0.15</v>
      </c>
      <c r="G332" s="3475">
        <v>0.15</v>
      </c>
    </row>
    <row r="333" spans="1:7">
      <c r="A333" s="3484" t="s">
        <v>1157</v>
      </c>
      <c r="B333" s="3473" t="s">
        <v>3157</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2990</v>
      </c>
      <c r="C336" s="3474">
        <v>0.15</v>
      </c>
      <c r="D336" s="3474">
        <v>0.15</v>
      </c>
      <c r="E336" s="3474">
        <v>0.15</v>
      </c>
      <c r="F336" s="3474">
        <v>0.14199999999999999</v>
      </c>
      <c r="G336" s="3475">
        <v>0.15</v>
      </c>
    </row>
    <row r="337" spans="1:7">
      <c r="A337" s="3484" t="s">
        <v>1157</v>
      </c>
      <c r="B337" s="3473" t="s">
        <v>3158</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3159</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3160</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2994</v>
      </c>
      <c r="C345" s="3474">
        <v>0.15</v>
      </c>
      <c r="D345" s="3474">
        <v>0.15</v>
      </c>
      <c r="E345" s="3474">
        <v>0.15</v>
      </c>
      <c r="F345" s="3474">
        <v>0.13800000000000001</v>
      </c>
      <c r="G345" s="3475">
        <v>0.15</v>
      </c>
    </row>
    <row r="346" spans="1:7">
      <c r="A346" s="3484" t="s">
        <v>1157</v>
      </c>
      <c r="B346" s="3473" t="s">
        <v>3161</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2996</v>
      </c>
      <c r="C348" s="3474">
        <v>0.15</v>
      </c>
      <c r="D348" s="3474">
        <v>0.15</v>
      </c>
      <c r="E348" s="3474">
        <v>0.15</v>
      </c>
      <c r="F348" s="3474">
        <v>0.14399999999999999</v>
      </c>
      <c r="G348" s="3475">
        <v>0.15</v>
      </c>
    </row>
    <row r="349" spans="1:7">
      <c r="A349" s="3484" t="s">
        <v>1157</v>
      </c>
      <c r="B349" s="3473" t="s">
        <v>2997</v>
      </c>
      <c r="C349" s="3474">
        <v>0.15</v>
      </c>
      <c r="D349" s="3474">
        <v>0.15</v>
      </c>
      <c r="E349" s="3474">
        <v>0.15</v>
      </c>
      <c r="F349" s="3474">
        <v>0.15</v>
      </c>
      <c r="G349" s="3475">
        <v>0.15</v>
      </c>
    </row>
    <row r="350" spans="1:7">
      <c r="A350" s="3484" t="s">
        <v>1157</v>
      </c>
      <c r="B350" s="3473" t="s">
        <v>3162</v>
      </c>
      <c r="C350" s="3474">
        <v>0.15</v>
      </c>
      <c r="D350" s="3474">
        <v>0.15</v>
      </c>
      <c r="E350" s="3474">
        <v>0.15</v>
      </c>
      <c r="F350" s="3474">
        <v>0.14699999999999999</v>
      </c>
      <c r="G350" s="3475">
        <v>0.15</v>
      </c>
    </row>
    <row r="351" spans="1:7">
      <c r="A351" s="3484" t="s">
        <v>1157</v>
      </c>
      <c r="B351" s="3473" t="s">
        <v>2999</v>
      </c>
      <c r="C351" s="3474">
        <v>0.15</v>
      </c>
      <c r="D351" s="3474">
        <v>0.15</v>
      </c>
      <c r="E351" s="3474">
        <v>0.15</v>
      </c>
      <c r="F351" s="3474">
        <v>0.13</v>
      </c>
      <c r="G351" s="3475">
        <v>0.15</v>
      </c>
    </row>
    <row r="352" spans="1:7">
      <c r="A352" s="3484" t="s">
        <v>1157</v>
      </c>
      <c r="B352" s="3473" t="s">
        <v>3000</v>
      </c>
      <c r="C352" s="3474">
        <v>0.15</v>
      </c>
      <c r="D352" s="3474">
        <v>0.15</v>
      </c>
      <c r="E352" s="3474">
        <v>0.15</v>
      </c>
      <c r="F352" s="3474">
        <v>0.14599999999999999</v>
      </c>
      <c r="G352" s="3475">
        <v>0.15</v>
      </c>
    </row>
    <row r="353" spans="1:7">
      <c r="A353" s="3484" t="s">
        <v>1157</v>
      </c>
      <c r="B353" s="3473" t="s">
        <v>3163</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3002</v>
      </c>
      <c r="C355" s="3474">
        <v>0.15</v>
      </c>
      <c r="D355" s="3474">
        <v>0.15</v>
      </c>
      <c r="E355" s="3474">
        <v>0.15</v>
      </c>
      <c r="F355" s="3474">
        <v>0.15</v>
      </c>
      <c r="G355" s="3475">
        <v>0.15</v>
      </c>
    </row>
    <row r="356" spans="1:7">
      <c r="A356" s="3484" t="s">
        <v>1157</v>
      </c>
      <c r="B356" s="3473" t="s">
        <v>3003</v>
      </c>
      <c r="C356" s="3474">
        <v>0.15</v>
      </c>
      <c r="D356" s="3474">
        <v>0.15</v>
      </c>
      <c r="E356" s="3474">
        <v>0.15</v>
      </c>
      <c r="F356" s="3474">
        <v>0.15</v>
      </c>
      <c r="G356" s="3475">
        <v>0.15</v>
      </c>
    </row>
    <row r="357" spans="1:7" ht="14.25" thickBot="1">
      <c r="A357" s="3487" t="s">
        <v>1157</v>
      </c>
      <c r="B357" s="3477" t="s">
        <v>3164</v>
      </c>
      <c r="C357" s="3478">
        <v>0.126</v>
      </c>
      <c r="D357" s="3478">
        <v>0.127</v>
      </c>
      <c r="E357" s="3478">
        <v>0.14299999999999999</v>
      </c>
      <c r="F357" s="3478">
        <v>0.125</v>
      </c>
      <c r="G357" s="3480">
        <v>0.129</v>
      </c>
    </row>
    <row r="358" spans="1:7">
      <c r="A358" s="3483" t="s">
        <v>3165</v>
      </c>
      <c r="B358" s="3469" t="s">
        <v>3166</v>
      </c>
      <c r="C358" s="3470">
        <v>0.15</v>
      </c>
      <c r="D358" s="3470">
        <v>0.15</v>
      </c>
      <c r="E358" s="3470">
        <v>0.15</v>
      </c>
      <c r="F358" s="3470">
        <v>0.15</v>
      </c>
      <c r="G358" s="3471">
        <v>0.15</v>
      </c>
    </row>
    <row r="359" spans="1:7">
      <c r="A359" s="3484" t="s">
        <v>3165</v>
      </c>
      <c r="B359" s="3473" t="s">
        <v>3167</v>
      </c>
      <c r="C359" s="3474">
        <v>0.1</v>
      </c>
      <c r="D359" s="3474">
        <v>0.1</v>
      </c>
      <c r="E359" s="3474">
        <v>0.1</v>
      </c>
      <c r="F359" s="3474">
        <v>0.1</v>
      </c>
      <c r="G359" s="3475">
        <v>0.1</v>
      </c>
    </row>
    <row r="360" spans="1:7">
      <c r="A360" s="3484" t="s">
        <v>3165</v>
      </c>
      <c r="B360" s="3473" t="s">
        <v>3168</v>
      </c>
      <c r="C360" s="3474">
        <v>0.15</v>
      </c>
      <c r="D360" s="3474">
        <v>0.15</v>
      </c>
      <c r="E360" s="3474">
        <v>0.15</v>
      </c>
      <c r="F360" s="3474">
        <v>0.14899999999999999</v>
      </c>
      <c r="G360" s="3475">
        <v>0.15</v>
      </c>
    </row>
    <row r="361" spans="1:7">
      <c r="A361" s="3484" t="s">
        <v>3165</v>
      </c>
      <c r="B361" s="3473" t="s">
        <v>999</v>
      </c>
      <c r="C361" s="3474">
        <v>0.15</v>
      </c>
      <c r="D361" s="3474">
        <v>0.15</v>
      </c>
      <c r="E361" s="3474">
        <v>0.15</v>
      </c>
      <c r="F361" s="3474">
        <v>0.115</v>
      </c>
      <c r="G361" s="3475">
        <v>0.15</v>
      </c>
    </row>
    <row r="362" spans="1:7">
      <c r="A362" s="3484" t="s">
        <v>3165</v>
      </c>
      <c r="B362" s="3473" t="s">
        <v>3169</v>
      </c>
      <c r="C362" s="3474">
        <v>0.15</v>
      </c>
      <c r="D362" s="3474">
        <v>0.15</v>
      </c>
      <c r="E362" s="3474">
        <v>0.15</v>
      </c>
      <c r="F362" s="3474">
        <v>0.106</v>
      </c>
      <c r="G362" s="3475">
        <v>0.15</v>
      </c>
    </row>
    <row r="363" spans="1:7">
      <c r="A363" s="3484" t="s">
        <v>3165</v>
      </c>
      <c r="B363" s="3473" t="s">
        <v>3009</v>
      </c>
      <c r="C363" s="3474">
        <v>0.15</v>
      </c>
      <c r="D363" s="3474">
        <v>0.15</v>
      </c>
      <c r="E363" s="3474">
        <v>0.15</v>
      </c>
      <c r="F363" s="3474">
        <v>0.14699999999999999</v>
      </c>
      <c r="G363" s="3475">
        <v>0.15</v>
      </c>
    </row>
    <row r="364" spans="1:7">
      <c r="A364" s="3484" t="s">
        <v>3165</v>
      </c>
      <c r="B364" s="3473" t="s">
        <v>3170</v>
      </c>
      <c r="C364" s="3474">
        <v>0.15</v>
      </c>
      <c r="D364" s="3474">
        <v>0.15</v>
      </c>
      <c r="E364" s="3474">
        <v>0.15</v>
      </c>
      <c r="F364" s="3474">
        <v>0.14799999999999999</v>
      </c>
      <c r="G364" s="3475">
        <v>0.15</v>
      </c>
    </row>
    <row r="365" spans="1:7">
      <c r="A365" s="3484" t="s">
        <v>3165</v>
      </c>
      <c r="B365" s="3473" t="s">
        <v>1047</v>
      </c>
      <c r="C365" s="3474">
        <v>0.15</v>
      </c>
      <c r="D365" s="3474">
        <v>0.15</v>
      </c>
      <c r="E365" s="3474">
        <v>0.15</v>
      </c>
      <c r="F365" s="3474">
        <v>0.15</v>
      </c>
      <c r="G365" s="3475">
        <v>0.15</v>
      </c>
    </row>
    <row r="366" spans="1:7">
      <c r="A366" s="3484" t="s">
        <v>3165</v>
      </c>
      <c r="B366" s="3473" t="s">
        <v>3011</v>
      </c>
      <c r="C366" s="3474">
        <v>0.15</v>
      </c>
      <c r="D366" s="3474">
        <v>0.15</v>
      </c>
      <c r="E366" s="3474">
        <v>0.15</v>
      </c>
      <c r="F366" s="3474">
        <v>0.15</v>
      </c>
      <c r="G366" s="3475">
        <v>0.15</v>
      </c>
    </row>
    <row r="367" spans="1:7">
      <c r="A367" s="3484" t="s">
        <v>3165</v>
      </c>
      <c r="B367" s="3473" t="s">
        <v>3171</v>
      </c>
      <c r="C367" s="3474">
        <v>0.15</v>
      </c>
      <c r="D367" s="3474">
        <v>0.15</v>
      </c>
      <c r="E367" s="3474">
        <v>0.15</v>
      </c>
      <c r="F367" s="3474">
        <v>0.14699999999999999</v>
      </c>
      <c r="G367" s="3475">
        <v>0.15</v>
      </c>
    </row>
    <row r="368" spans="1:7">
      <c r="A368" s="3484" t="s">
        <v>3165</v>
      </c>
      <c r="B368" s="3473" t="s">
        <v>3172</v>
      </c>
      <c r="C368" s="3474">
        <v>0.15</v>
      </c>
      <c r="D368" s="3474">
        <v>0.15</v>
      </c>
      <c r="E368" s="3474">
        <v>0.15</v>
      </c>
      <c r="F368" s="3474">
        <v>0.13600000000000001</v>
      </c>
      <c r="G368" s="3475">
        <v>0.15</v>
      </c>
    </row>
    <row r="369" spans="1:7">
      <c r="A369" s="3484" t="s">
        <v>3165</v>
      </c>
      <c r="B369" s="3473" t="s">
        <v>1061</v>
      </c>
      <c r="C369" s="3474">
        <v>0.15</v>
      </c>
      <c r="D369" s="3474">
        <v>0.15</v>
      </c>
      <c r="E369" s="3474">
        <v>0.15</v>
      </c>
      <c r="F369" s="3474">
        <v>0.14399999999999999</v>
      </c>
      <c r="G369" s="3475">
        <v>0.15</v>
      </c>
    </row>
    <row r="370" spans="1:7">
      <c r="A370" s="3484" t="s">
        <v>3165</v>
      </c>
      <c r="B370" s="3473" t="s">
        <v>1069</v>
      </c>
      <c r="C370" s="3474">
        <v>0.15</v>
      </c>
      <c r="D370" s="3474">
        <v>0.15</v>
      </c>
      <c r="E370" s="3474">
        <v>0.15</v>
      </c>
      <c r="F370" s="3474">
        <v>0.14599999999999999</v>
      </c>
      <c r="G370" s="3475">
        <v>0.15</v>
      </c>
    </row>
    <row r="371" spans="1:7">
      <c r="A371" s="3484" t="s">
        <v>3165</v>
      </c>
      <c r="B371" s="3473" t="s">
        <v>1077</v>
      </c>
      <c r="C371" s="3474">
        <v>0.15</v>
      </c>
      <c r="D371" s="3474">
        <v>0.15</v>
      </c>
      <c r="E371" s="3474">
        <v>0.15</v>
      </c>
      <c r="F371" s="3474">
        <v>0.12</v>
      </c>
      <c r="G371" s="3475">
        <v>0.15</v>
      </c>
    </row>
    <row r="372" spans="1:7">
      <c r="A372" s="3484" t="s">
        <v>3165</v>
      </c>
      <c r="B372" s="3473" t="s">
        <v>3173</v>
      </c>
      <c r="C372" s="3474">
        <v>0.15</v>
      </c>
      <c r="D372" s="3474">
        <v>0.15</v>
      </c>
      <c r="E372" s="3474">
        <v>0.15</v>
      </c>
      <c r="F372" s="3474">
        <v>0.14299999999999999</v>
      </c>
      <c r="G372" s="3475">
        <v>0.15</v>
      </c>
    </row>
    <row r="373" spans="1:7">
      <c r="A373" s="3484" t="s">
        <v>3165</v>
      </c>
      <c r="B373" s="3473" t="s">
        <v>1106</v>
      </c>
      <c r="C373" s="3474">
        <v>0.15</v>
      </c>
      <c r="D373" s="3474">
        <v>0.15</v>
      </c>
      <c r="E373" s="3474">
        <v>0.15</v>
      </c>
      <c r="F373" s="3474">
        <v>0.14599999999999999</v>
      </c>
      <c r="G373" s="3475">
        <v>0.15</v>
      </c>
    </row>
    <row r="374" spans="1:7">
      <c r="A374" s="3484" t="s">
        <v>3165</v>
      </c>
      <c r="B374" s="3473" t="s">
        <v>1114</v>
      </c>
      <c r="C374" s="3474">
        <v>0.15</v>
      </c>
      <c r="D374" s="3474">
        <v>0.15</v>
      </c>
      <c r="E374" s="3474">
        <v>0.15</v>
      </c>
      <c r="F374" s="3474">
        <v>0.14399999999999999</v>
      </c>
      <c r="G374" s="3475">
        <v>0.15</v>
      </c>
    </row>
    <row r="375" spans="1:7">
      <c r="A375" s="3484" t="s">
        <v>3165</v>
      </c>
      <c r="B375" s="3473" t="s">
        <v>3174</v>
      </c>
      <c r="C375" s="3474">
        <v>0.15</v>
      </c>
      <c r="D375" s="3474">
        <v>0.15</v>
      </c>
      <c r="E375" s="3474">
        <v>0.15</v>
      </c>
      <c r="F375" s="3474">
        <v>0.13</v>
      </c>
      <c r="G375" s="3475">
        <v>0.15</v>
      </c>
    </row>
    <row r="376" spans="1:7">
      <c r="A376" s="3484" t="s">
        <v>3165</v>
      </c>
      <c r="B376" s="3473" t="s">
        <v>1126</v>
      </c>
      <c r="C376" s="3474">
        <v>0.15</v>
      </c>
      <c r="D376" s="3474">
        <v>0.15</v>
      </c>
      <c r="E376" s="3474">
        <v>0.15</v>
      </c>
      <c r="F376" s="3474">
        <v>0.14199999999999999</v>
      </c>
      <c r="G376" s="3475">
        <v>0.15</v>
      </c>
    </row>
    <row r="377" spans="1:7" ht="14.25" thickBot="1">
      <c r="A377" s="3487" t="s">
        <v>3165</v>
      </c>
      <c r="B377" s="3477" t="s">
        <v>3016</v>
      </c>
      <c r="C377" s="3478">
        <v>0.15</v>
      </c>
      <c r="D377" s="3478">
        <v>0.15</v>
      </c>
      <c r="E377" s="3478">
        <v>0.15</v>
      </c>
      <c r="F377" s="3478">
        <v>0.14000000000000001</v>
      </c>
      <c r="G377" s="3480">
        <v>0.15</v>
      </c>
    </row>
    <row r="378" spans="1:7">
      <c r="A378" s="3483" t="s">
        <v>3175</v>
      </c>
      <c r="B378" s="3469" t="s">
        <v>3176</v>
      </c>
      <c r="C378" s="3470">
        <v>0.15</v>
      </c>
      <c r="D378" s="3470">
        <v>0.15</v>
      </c>
      <c r="E378" s="3470">
        <v>0.15</v>
      </c>
      <c r="F378" s="3470">
        <v>0.107</v>
      </c>
      <c r="G378" s="3471">
        <v>0.15</v>
      </c>
    </row>
    <row r="379" spans="1:7">
      <c r="A379" s="3484" t="s">
        <v>3175</v>
      </c>
      <c r="B379" s="3473" t="s">
        <v>3177</v>
      </c>
      <c r="C379" s="3474">
        <v>0.15</v>
      </c>
      <c r="D379" s="3474">
        <v>0.15</v>
      </c>
      <c r="E379" s="3474">
        <v>0.15</v>
      </c>
      <c r="F379" s="3474">
        <v>0.115</v>
      </c>
      <c r="G379" s="3475">
        <v>0.14899999999999999</v>
      </c>
    </row>
    <row r="380" spans="1:7">
      <c r="A380" s="3484" t="s">
        <v>3178</v>
      </c>
      <c r="B380" s="3473" t="s">
        <v>3179</v>
      </c>
      <c r="C380" s="3474">
        <v>0.15</v>
      </c>
      <c r="D380" s="3474">
        <v>0.15</v>
      </c>
      <c r="E380" s="3474">
        <v>0.15</v>
      </c>
      <c r="F380" s="3474">
        <v>0.1</v>
      </c>
      <c r="G380" s="3475">
        <v>0.14799999999999999</v>
      </c>
    </row>
    <row r="381" spans="1:7">
      <c r="A381" s="3484" t="s">
        <v>3178</v>
      </c>
      <c r="B381" s="3473" t="s">
        <v>3180</v>
      </c>
      <c r="C381" s="3474">
        <v>0.15</v>
      </c>
      <c r="D381" s="3474">
        <v>0.15</v>
      </c>
      <c r="E381" s="3474">
        <v>0.15</v>
      </c>
      <c r="F381" s="3474">
        <v>0.126</v>
      </c>
      <c r="G381" s="3475">
        <v>0.15</v>
      </c>
    </row>
    <row r="382" spans="1:7">
      <c r="A382" s="3484" t="s">
        <v>3178</v>
      </c>
      <c r="B382" s="3473" t="s">
        <v>3181</v>
      </c>
      <c r="C382" s="3474">
        <v>0.15</v>
      </c>
      <c r="D382" s="3474">
        <v>0.15</v>
      </c>
      <c r="E382" s="3474">
        <v>0.15</v>
      </c>
      <c r="F382" s="3474">
        <v>0.15</v>
      </c>
      <c r="G382" s="3475">
        <v>0.15</v>
      </c>
    </row>
    <row r="383" spans="1:7">
      <c r="A383" s="3484" t="s">
        <v>3178</v>
      </c>
      <c r="B383" s="3473" t="s">
        <v>3182</v>
      </c>
      <c r="C383" s="3474">
        <v>0.15</v>
      </c>
      <c r="D383" s="3474">
        <v>0.15</v>
      </c>
      <c r="E383" s="3474">
        <v>0.15</v>
      </c>
      <c r="F383" s="3474">
        <v>0.14699999999999999</v>
      </c>
      <c r="G383" s="3475">
        <v>0.15</v>
      </c>
    </row>
    <row r="384" spans="1:7" ht="14.25" thickBot="1">
      <c r="A384" s="3494" t="s">
        <v>3178</v>
      </c>
      <c r="B384" s="3495" t="s">
        <v>3183</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61" t="s">
        <v>1858</v>
      </c>
      <c r="C1" s="3961"/>
      <c r="D1" s="3961"/>
      <c r="E1" s="3961"/>
      <c r="F1" s="3961"/>
      <c r="G1" s="3960" t="s">
        <v>1859</v>
      </c>
      <c r="H1" s="3960"/>
      <c r="I1" s="3960"/>
      <c r="J1" s="3960"/>
      <c r="K1" s="3960"/>
      <c r="L1" s="3960"/>
      <c r="N1" s="3960" t="s">
        <v>1860</v>
      </c>
      <c r="O1" s="3960"/>
      <c r="P1" s="3960"/>
      <c r="Q1" s="3960"/>
      <c r="S1" s="3960" t="s">
        <v>1861</v>
      </c>
      <c r="T1" s="3960"/>
      <c r="U1" s="3960"/>
      <c r="V1" s="3960"/>
      <c r="X1" s="3959" t="s">
        <v>1921</v>
      </c>
      <c r="Y1" s="3960"/>
      <c r="Z1" s="3960"/>
      <c r="AA1" s="3960"/>
      <c r="AB1" s="3960"/>
      <c r="AD1" s="3959" t="s">
        <v>1925</v>
      </c>
      <c r="AE1" s="3960"/>
      <c r="AF1" s="3960"/>
      <c r="AG1" s="3960"/>
      <c r="AH1" s="3960"/>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2446</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2445</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2444</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2443</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2442</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2291</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2290</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2289</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2288</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2285</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2284</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55">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55"/>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55"/>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56"/>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54">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55"/>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55"/>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56"/>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54">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55"/>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55"/>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58"/>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57">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55"/>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55"/>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58"/>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57">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55"/>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55"/>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58"/>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62">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63"/>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63"/>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64"/>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57">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55"/>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55"/>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58"/>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57">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55">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55">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58">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57">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55">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55">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58">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57">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55">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55">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58">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57">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55">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55">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58">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57">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55">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55">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58">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57">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55">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55">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58">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57">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55">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55">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58">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57">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55">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55">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58">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57">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55">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55">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58">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57">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55">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55">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58">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zoomScale="80" zoomScaleNormal="80" workbookViewId="0">
      <selection activeCell="AN52" sqref="AN52"/>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399">
        <f>基准地价!G23</f>
        <v>0</v>
      </c>
      <c r="B1" s="3347" t="s">
        <v>3264</v>
      </c>
      <c r="C1" s="3348"/>
      <c r="D1" s="3348"/>
      <c r="E1" s="3348"/>
      <c r="F1" s="3348"/>
      <c r="G1" s="3348"/>
      <c r="H1" s="3348"/>
      <c r="I1" s="3348"/>
      <c r="J1" s="3349"/>
      <c r="K1" s="3348" t="s">
        <v>2789</v>
      </c>
      <c r="L1" s="3348"/>
      <c r="M1" s="3348"/>
      <c r="N1" s="3348"/>
      <c r="O1" s="3348"/>
      <c r="P1" s="3348"/>
      <c r="Q1" s="3349"/>
      <c r="R1" s="3965" t="s">
        <v>2797</v>
      </c>
      <c r="S1" s="3966"/>
      <c r="T1" s="3966"/>
      <c r="U1" s="3966"/>
      <c r="V1" s="3966"/>
      <c r="W1" s="3966"/>
      <c r="X1" s="3349"/>
      <c r="Y1" s="3965" t="s">
        <v>2808</v>
      </c>
      <c r="Z1" s="3966"/>
      <c r="AA1" s="3966"/>
      <c r="AB1" s="3966"/>
      <c r="AC1" s="3966"/>
      <c r="AD1" s="3966"/>
    </row>
    <row r="2" spans="1:44" ht="14.25" thickBot="1">
      <c r="A2" s="3340"/>
      <c r="B2" s="3350"/>
      <c r="C2" s="3351"/>
      <c r="D2" s="3352" t="s">
        <v>2791</v>
      </c>
      <c r="E2" s="3353" t="s">
        <v>2792</v>
      </c>
      <c r="F2" s="3353" t="s">
        <v>2793</v>
      </c>
      <c r="G2" s="3353" t="s">
        <v>2794</v>
      </c>
      <c r="H2" s="3353" t="s">
        <v>2795</v>
      </c>
      <c r="I2" s="3353" t="s">
        <v>2737</v>
      </c>
      <c r="J2" s="3354"/>
      <c r="K2" s="3352" t="s">
        <v>2791</v>
      </c>
      <c r="L2" s="3353" t="s">
        <v>2792</v>
      </c>
      <c r="M2" s="3353" t="s">
        <v>2793</v>
      </c>
      <c r="N2" s="3353" t="s">
        <v>2794</v>
      </c>
      <c r="O2" s="3353" t="s">
        <v>2795</v>
      </c>
      <c r="P2" s="3353" t="s">
        <v>2737</v>
      </c>
      <c r="Q2" s="3354"/>
      <c r="R2" s="3352" t="s">
        <v>2798</v>
      </c>
      <c r="S2" s="3353" t="s">
        <v>2799</v>
      </c>
      <c r="T2" s="3353" t="s">
        <v>2800</v>
      </c>
      <c r="U2" s="3353" t="s">
        <v>2801</v>
      </c>
      <c r="V2" s="3353" t="s">
        <v>2802</v>
      </c>
      <c r="W2" s="3353" t="s">
        <v>2803</v>
      </c>
      <c r="X2" s="3354"/>
      <c r="Y2" s="3352" t="s">
        <v>2791</v>
      </c>
      <c r="Z2" s="3353" t="s">
        <v>1470</v>
      </c>
      <c r="AA2" s="3353" t="s">
        <v>2809</v>
      </c>
      <c r="AB2" s="3353" t="s">
        <v>1469</v>
      </c>
      <c r="AC2" s="3353" t="s">
        <v>2795</v>
      </c>
      <c r="AD2" s="3353" t="s">
        <v>2454</v>
      </c>
      <c r="AF2" t="s">
        <v>3312</v>
      </c>
      <c r="AG2" t="s">
        <v>2738</v>
      </c>
      <c r="AH2" t="s">
        <v>1212</v>
      </c>
      <c r="AI2" t="s">
        <v>851</v>
      </c>
      <c r="AJ2" t="s">
        <v>905</v>
      </c>
      <c r="AK2" t="s">
        <v>2736</v>
      </c>
      <c r="AM2" t="s">
        <v>3312</v>
      </c>
      <c r="AN2" t="s">
        <v>2738</v>
      </c>
      <c r="AO2" t="s">
        <v>1212</v>
      </c>
      <c r="AP2" t="s">
        <v>851</v>
      </c>
      <c r="AQ2" t="s">
        <v>905</v>
      </c>
      <c r="AR2" t="s">
        <v>2736</v>
      </c>
    </row>
    <row r="3" spans="1:44">
      <c r="A3" s="3341" t="s">
        <v>2780</v>
      </c>
      <c r="B3" s="3355"/>
      <c r="C3" s="3356"/>
      <c r="D3" s="3356">
        <f>ROUND(AVERAGEIF(D4:D24,"&lt;&gt;0"),2)</f>
        <v>0.33</v>
      </c>
      <c r="E3" s="3356">
        <f>ROUND(AVERAGEIF(E4:E24,"&lt;&gt;0"),2)</f>
        <v>0.13</v>
      </c>
      <c r="F3" s="3356">
        <f>ROUND(AVERAGEIF(F4:F24,"&lt;&gt;0"),2)</f>
        <v>-0.16</v>
      </c>
      <c r="G3" s="3356">
        <f>ROUND(AVERAGEIF(G4:G24,"&lt;&gt;0"),2)</f>
        <v>0.39</v>
      </c>
      <c r="H3" s="3356">
        <f>ROUND(AVERAGEIF(H4:H24,"&lt;&gt;0"),2)</f>
        <v>0.47</v>
      </c>
      <c r="I3" s="3356">
        <f>F3</f>
        <v>-0.16</v>
      </c>
      <c r="J3" s="3357"/>
      <c r="K3" s="3358">
        <f>ROUND(AVERAGEIF(K4:K24,"&lt;&gt;0"),4)</f>
        <v>3.3E-3</v>
      </c>
      <c r="L3" s="3359">
        <f>ROUND(AVERAGEIF(L4:L24,"&lt;&gt;0"),4)</f>
        <v>1.2999999999999999E-3</v>
      </c>
      <c r="M3" s="3359">
        <f>ROUND(AVERAGEIF(M4:M24,"&lt;&gt;0"),4)</f>
        <v>-1.6000000000000001E-3</v>
      </c>
      <c r="N3" s="3359">
        <f>ROUND(AVERAGEIF(N4:N24,"&lt;&gt;0"),4)</f>
        <v>3.8999999999999998E-3</v>
      </c>
      <c r="O3" s="3359">
        <f>ROUND(AVERAGEIF(O4:O24,"&lt;&gt;0"),4)</f>
        <v>4.7000000000000002E-3</v>
      </c>
      <c r="P3" s="3359">
        <f>M3</f>
        <v>-1.6000000000000001E-3</v>
      </c>
      <c r="Q3" s="3357"/>
      <c r="R3" s="3374">
        <f>ROUND(SUMPRODUCT(PRODUCT(1+K4:K24)),4)</f>
        <v>1.0631999999999999</v>
      </c>
      <c r="S3" s="3375">
        <f>ROUND(SUMPRODUCT(PRODUCT(1+L4:L24)),4)</f>
        <v>1.0245</v>
      </c>
      <c r="T3" s="3375">
        <f>ROUND(SUMPRODUCT(PRODUCT(1+M4:M24)),4)</f>
        <v>0.97040000000000004</v>
      </c>
      <c r="U3" s="3375">
        <f>ROUND(SUMPRODUCT(PRODUCT(1+N4:N24)),4)</f>
        <v>1.0765</v>
      </c>
      <c r="V3" s="3375">
        <f>ROUND(SUMPRODUCT(PRODUCT(1+O4:O24)),4)</f>
        <v>1.0933999999999999</v>
      </c>
      <c r="W3" s="3374">
        <f>T3</f>
        <v>0.97040000000000004</v>
      </c>
      <c r="X3" s="3357"/>
      <c r="Y3" s="3382">
        <f>ROUND(AVERAGEIF(Y11:Y24,"&lt;&gt;0"),4)</f>
        <v>8.0999999999999996E-3</v>
      </c>
      <c r="Z3" s="3383">
        <f>ROUND(AVERAGEIF(Z11:Z24,"&lt;&gt;0"),4)</f>
        <v>3.7000000000000002E-3</v>
      </c>
      <c r="AA3" s="3384">
        <f>ROUND(AVERAGEIF(AA11:AA24,"&lt;&gt;0"),4)</f>
        <v>1.2999999999999999E-3</v>
      </c>
      <c r="AB3" s="3382">
        <f>ROUND(AVERAGEIF(AB11:AB24,"&lt;&gt;0"),4)</f>
        <v>8.8000000000000005E-3</v>
      </c>
      <c r="AC3" s="3385">
        <f>ROUND(AVERAGEIF(AC11:AC24,"&lt;&gt;0"),4)</f>
        <v>6.1999999999999998E-3</v>
      </c>
      <c r="AD3" s="3382">
        <f>AA3</f>
        <v>1.2999999999999999E-3</v>
      </c>
    </row>
    <row r="4" spans="1:44">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44">
      <c r="A5" s="3662" t="s">
        <v>3313</v>
      </c>
      <c r="B5" s="3402">
        <v>2025</v>
      </c>
      <c r="C5" s="3403">
        <v>4</v>
      </c>
      <c r="D5" s="3403">
        <v>0</v>
      </c>
      <c r="E5" s="3403">
        <v>0</v>
      </c>
      <c r="F5" s="3403">
        <v>0</v>
      </c>
      <c r="G5" s="3403">
        <v>0</v>
      </c>
      <c r="H5" s="3403">
        <v>0</v>
      </c>
      <c r="I5" s="3404">
        <f t="shared" ref="I5" si="0">F5</f>
        <v>0</v>
      </c>
      <c r="J5" s="3364"/>
      <c r="K5" s="3365">
        <f t="shared" ref="K5" si="1">D5/100</f>
        <v>0</v>
      </c>
      <c r="L5" s="3366">
        <f t="shared" ref="L5" si="2">E5/100</f>
        <v>0</v>
      </c>
      <c r="M5" s="3366">
        <f t="shared" ref="M5" si="3">F5/100</f>
        <v>0</v>
      </c>
      <c r="N5" s="3366">
        <f t="shared" ref="N5" si="4">G5/100</f>
        <v>0</v>
      </c>
      <c r="O5" s="3366">
        <f t="shared" ref="O5" si="5">H5/100</f>
        <v>0</v>
      </c>
      <c r="P5" s="3366">
        <f t="shared" ref="P5:P11" si="6">M5</f>
        <v>0</v>
      </c>
      <c r="Q5" s="3364"/>
      <c r="R5" s="3380">
        <f>ROUND(IF(项目基本情况!$B$8="出让",SUMPRODUCT(PRODUCT(1+K5:$K$24)),SUMPRODUCT(PRODUCT(1+K5:$K$23))),4)</f>
        <v>1.0529999999999999</v>
      </c>
      <c r="S5" s="3380">
        <f>ROUND(IF(项目基本情况!$B$8="出让",SUMPRODUCT(PRODUCT(1+L5:$L$24)),SUMPRODUCT(PRODUCT(1+L5:$L$23))),4)</f>
        <v>1.0228999999999999</v>
      </c>
      <c r="T5" s="3380">
        <f>ROUND(IF(项目基本情况!$B$8="出让",SUMPRODUCT(PRODUCT(1+M5:$M$24)),SUMPRODUCT(PRODUCT(1+M5:$M$23))),4)</f>
        <v>0.97289999999999999</v>
      </c>
      <c r="U5" s="3380">
        <f>ROUND(IF(项目基本情况!$B$8="出让",SUMPRODUCT(PRODUCT(1+N5:$N$24)),SUMPRODUCT(PRODUCT(1+N5:$N$23))),4)</f>
        <v>1.0647</v>
      </c>
      <c r="V5" s="3380">
        <f>ROUND(IF(项目基本情况!$B$8="出让",SUMPRODUCT(PRODUCT(1+O5:$O$24)),SUMPRODUCT(PRODUCT(1+O5:$O$23))),4)</f>
        <v>1.0894999999999999</v>
      </c>
      <c r="W5" s="3380">
        <f t="shared" ref="W5:W11" si="7">T5</f>
        <v>0.97289999999999999</v>
      </c>
      <c r="X5" s="3364"/>
      <c r="Y5" s="3389">
        <f t="shared" ref="Y5" si="8">IF(D5=0,0,ROUND(AVERAGE(D5:D18)/100,4))</f>
        <v>0</v>
      </c>
      <c r="Z5" s="3389">
        <f t="shared" ref="Z5" si="9">IF(E5=0,0,ROUND(AVERAGE(E5:E18)/100,4))</f>
        <v>0</v>
      </c>
      <c r="AA5" s="3389">
        <f t="shared" ref="AA5" si="10">IF(F5=0,0,ROUND(AVERAGE(F5:F18)/100,4))</f>
        <v>0</v>
      </c>
      <c r="AB5" s="3389">
        <f t="shared" ref="AB5" si="11">IF(G5=0,0,ROUND(AVERAGE(G5:G18)/100,4))</f>
        <v>0</v>
      </c>
      <c r="AC5" s="3389">
        <f t="shared" ref="AC5" si="12">IF(H5=0,0,ROUND(AVERAGE(H5:H18)/100,4))</f>
        <v>0</v>
      </c>
      <c r="AD5" s="3389">
        <f t="shared" ref="AD5" si="13">AA5</f>
        <v>0</v>
      </c>
      <c r="AF5" s="3679">
        <f t="shared" ref="AF5" si="14">$AF$24*R5</f>
        <v>105.3</v>
      </c>
      <c r="AG5" s="3679">
        <f t="shared" ref="AG5" si="15">$AG$24*S5</f>
        <v>102.28999999999999</v>
      </c>
      <c r="AH5" s="3679">
        <f t="shared" ref="AH5" si="16">$AH$24*T5</f>
        <v>97.289999999999992</v>
      </c>
      <c r="AI5" s="3679">
        <f t="shared" ref="AI5" si="17">$AI$24*U5</f>
        <v>106.47</v>
      </c>
      <c r="AJ5" s="3679">
        <f t="shared" ref="AJ5" si="18">$AJ$24*V5</f>
        <v>108.94999999999999</v>
      </c>
      <c r="AK5" s="3679">
        <f t="shared" ref="AK5" si="19">$AK$24*W5</f>
        <v>97.289999999999992</v>
      </c>
      <c r="AM5" s="3678">
        <v>100</v>
      </c>
      <c r="AN5" s="3678">
        <v>100</v>
      </c>
      <c r="AO5" s="3678">
        <v>100</v>
      </c>
      <c r="AP5" s="3678">
        <v>100</v>
      </c>
      <c r="AQ5" s="3678">
        <v>100</v>
      </c>
      <c r="AR5" s="3678">
        <v>100</v>
      </c>
    </row>
    <row r="6" spans="1:44">
      <c r="A6" s="3344" t="s">
        <v>3326</v>
      </c>
      <c r="B6" s="3405">
        <v>2025</v>
      </c>
      <c r="C6" s="3406">
        <v>3</v>
      </c>
      <c r="D6" s="3406">
        <v>-0.45</v>
      </c>
      <c r="E6" s="3406">
        <v>-0.45</v>
      </c>
      <c r="F6" s="3406">
        <v>-0.82</v>
      </c>
      <c r="G6" s="3406">
        <v>-0.39</v>
      </c>
      <c r="H6" s="3407">
        <v>0.04</v>
      </c>
      <c r="I6" s="3408">
        <f t="shared" ref="I6" si="20">F6</f>
        <v>-0.82</v>
      </c>
      <c r="J6" s="3367"/>
      <c r="K6" s="3368">
        <f t="shared" ref="K6" si="21">D6/100</f>
        <v>-4.5000000000000005E-3</v>
      </c>
      <c r="L6" s="3369">
        <f t="shared" ref="L6" si="22">E6/100</f>
        <v>-4.5000000000000005E-3</v>
      </c>
      <c r="M6" s="3369">
        <f t="shared" ref="M6" si="23">F6/100</f>
        <v>-8.199999999999999E-3</v>
      </c>
      <c r="N6" s="3369">
        <f t="shared" ref="N6" si="24">G6/100</f>
        <v>-3.9000000000000003E-3</v>
      </c>
      <c r="O6" s="3369">
        <f t="shared" ref="O6" si="25">H6/100</f>
        <v>4.0000000000000002E-4</v>
      </c>
      <c r="P6" s="3369">
        <f t="shared" si="6"/>
        <v>-8.199999999999999E-3</v>
      </c>
      <c r="Q6" s="3367"/>
      <c r="R6" s="3367">
        <f>ROUND(IF(项目基本情况!$B$8="出让",SUMPRODUCT(PRODUCT(1+K6:$K$24)),SUMPRODUCT(PRODUCT(1+K6:$K$23))),4)</f>
        <v>1.0529999999999999</v>
      </c>
      <c r="S6" s="3367">
        <f>ROUND(IF(项目基本情况!$B$8="出让",SUMPRODUCT(PRODUCT(1+L6:$L$24)),SUMPRODUCT(PRODUCT(1+L6:$L$23))),4)</f>
        <v>1.0228999999999999</v>
      </c>
      <c r="T6" s="3367">
        <f>ROUND(IF(项目基本情况!$B$8="出让",SUMPRODUCT(PRODUCT(1+M6:$M$24)),SUMPRODUCT(PRODUCT(1+M6:$M$23))),4)</f>
        <v>0.97289999999999999</v>
      </c>
      <c r="U6" s="3367">
        <f>ROUND(IF(项目基本情况!$B$8="出让",SUMPRODUCT(PRODUCT(1+N6:$N$24)),SUMPRODUCT(PRODUCT(1+N6:$N$23))),4)</f>
        <v>1.0647</v>
      </c>
      <c r="V6" s="3367">
        <f>ROUND(IF(项目基本情况!$B$8="出让",SUMPRODUCT(PRODUCT(1+O6:$O$24)),SUMPRODUCT(PRODUCT(1+O6:$O$23))),4)</f>
        <v>1.0894999999999999</v>
      </c>
      <c r="W6" s="3367">
        <f t="shared" si="7"/>
        <v>0.97289999999999999</v>
      </c>
      <c r="X6" s="3364"/>
      <c r="Y6" s="3389">
        <f t="shared" ref="Y6" si="26">IF(D6=0,0,ROUND(AVERAGE(D6:D19)/100,4))</f>
        <v>1.4E-3</v>
      </c>
      <c r="Z6" s="3389">
        <f t="shared" ref="Z6" si="27">IF(E6=0,0,ROUND(AVERAGE(E6:E19)/100,4))</f>
        <v>2.9999999999999997E-4</v>
      </c>
      <c r="AA6" s="3389">
        <f t="shared" ref="AA6" si="28">IF(F6=0,0,ROUND(AVERAGE(F6:F19)/100,4))</f>
        <v>-2.7000000000000001E-3</v>
      </c>
      <c r="AB6" s="3389">
        <f t="shared" ref="AB6" si="29">IF(G6=0,0,ROUND(AVERAGE(G6:G19)/100,4))</f>
        <v>2E-3</v>
      </c>
      <c r="AC6" s="3389">
        <f t="shared" ref="AC6" si="30">IF(H6=0,0,ROUND(AVERAGE(H6:H19)/100,4))</f>
        <v>4.1999999999999997E-3</v>
      </c>
      <c r="AD6" s="3389">
        <f t="shared" ref="AD6" si="31">AA6</f>
        <v>-2.7000000000000001E-3</v>
      </c>
      <c r="AF6" s="3679">
        <f t="shared" ref="AF6" si="32">$AF$24*R6</f>
        <v>105.3</v>
      </c>
      <c r="AG6" s="3679">
        <f t="shared" ref="AG6" si="33">$AG$24*S6</f>
        <v>102.28999999999999</v>
      </c>
      <c r="AH6" s="3679">
        <f t="shared" ref="AH6" si="34">$AH$24*T6</f>
        <v>97.289999999999992</v>
      </c>
      <c r="AI6" s="3679">
        <f t="shared" ref="AI6" si="35">$AI$24*U6</f>
        <v>106.47</v>
      </c>
      <c r="AJ6" s="3679">
        <f t="shared" ref="AJ6" si="36">$AJ$24*V6</f>
        <v>108.94999999999999</v>
      </c>
      <c r="AK6" s="3679">
        <f t="shared" ref="AK6" si="37">$AK$24*W6</f>
        <v>97.289999999999992</v>
      </c>
      <c r="AM6" s="3679">
        <f>AM5/(1+D5/100)</f>
        <v>100</v>
      </c>
      <c r="AN6" s="3679">
        <f t="shared" ref="AN6:AR6" si="38">AN5/(1+E5/100)</f>
        <v>100</v>
      </c>
      <c r="AO6" s="3679">
        <f t="shared" si="38"/>
        <v>100</v>
      </c>
      <c r="AP6" s="3679">
        <f t="shared" si="38"/>
        <v>100</v>
      </c>
      <c r="AQ6" s="3679">
        <f t="shared" si="38"/>
        <v>100</v>
      </c>
      <c r="AR6" s="3679">
        <f t="shared" si="38"/>
        <v>100</v>
      </c>
    </row>
    <row r="7" spans="1:44">
      <c r="A7" s="3662" t="s">
        <v>3327</v>
      </c>
      <c r="B7" s="3402">
        <v>2025</v>
      </c>
      <c r="C7" s="3403">
        <v>2</v>
      </c>
      <c r="D7" s="3403">
        <v>0.05</v>
      </c>
      <c r="E7" s="3403">
        <v>-0.62</v>
      </c>
      <c r="F7" s="3403">
        <v>-1.05</v>
      </c>
      <c r="G7" s="3403">
        <v>0.09</v>
      </c>
      <c r="H7" s="3403">
        <v>0.17</v>
      </c>
      <c r="I7" s="3404">
        <f t="shared" ref="I7" si="39">F7</f>
        <v>-1.05</v>
      </c>
      <c r="J7" s="3364"/>
      <c r="K7" s="3365">
        <f t="shared" ref="K7" si="40">D7/100</f>
        <v>5.0000000000000001E-4</v>
      </c>
      <c r="L7" s="3366">
        <f t="shared" ref="L7" si="41">E7/100</f>
        <v>-6.1999999999999998E-3</v>
      </c>
      <c r="M7" s="3366">
        <f t="shared" ref="M7" si="42">F7/100</f>
        <v>-1.0500000000000001E-2</v>
      </c>
      <c r="N7" s="3366">
        <f t="shared" ref="N7" si="43">G7/100</f>
        <v>8.9999999999999998E-4</v>
      </c>
      <c r="O7" s="3366">
        <f t="shared" ref="O7" si="44">H7/100</f>
        <v>1.7000000000000001E-3</v>
      </c>
      <c r="P7" s="3366">
        <f t="shared" si="6"/>
        <v>-1.0500000000000001E-2</v>
      </c>
      <c r="Q7" s="3364"/>
      <c r="R7" s="3380">
        <f>ROUND(IF(项目基本情况!$B$8="出让",SUMPRODUCT(PRODUCT(1+K7:$K$24)),SUMPRODUCT(PRODUCT(1+K7:$K$23))),4)</f>
        <v>1.0577000000000001</v>
      </c>
      <c r="S7" s="3380">
        <f>ROUND(IF(项目基本情况!$B$8="出让",SUMPRODUCT(PRODUCT(1+L7:$L$24)),SUMPRODUCT(PRODUCT(1+L7:$L$23))),4)</f>
        <v>1.0275000000000001</v>
      </c>
      <c r="T7" s="3380">
        <f>ROUND(IF(项目基本情况!$B$8="出让",SUMPRODUCT(PRODUCT(1+M7:$M$24)),SUMPRODUCT(PRODUCT(1+M7:$M$23))),4)</f>
        <v>0.98089999999999999</v>
      </c>
      <c r="U7" s="3380">
        <f>ROUND(IF(项目基本情况!$B$8="出让",SUMPRODUCT(PRODUCT(1+N7:$N$24)),SUMPRODUCT(PRODUCT(1+N7:$N$23))),4)</f>
        <v>1.0689</v>
      </c>
      <c r="V7" s="3380">
        <f>ROUND(IF(项目基本情况!$B$8="出让",SUMPRODUCT(PRODUCT(1+O7:$O$24)),SUMPRODUCT(PRODUCT(1+O7:$O$23))),4)</f>
        <v>1.0891</v>
      </c>
      <c r="W7" s="3380">
        <f t="shared" si="7"/>
        <v>0.98089999999999999</v>
      </c>
      <c r="X7" s="3364"/>
      <c r="Y7" s="3389">
        <f t="shared" ref="Y7" si="45">IF(D7=0,0,ROUND(AVERAGE(D7:D20)/100,4))</f>
        <v>2.3E-3</v>
      </c>
      <c r="Z7" s="3389">
        <f t="shared" ref="Z7" si="46">IF(E7=0,0,ROUND(AVERAGE(E7:E20)/100,4))</f>
        <v>1E-3</v>
      </c>
      <c r="AA7" s="3389">
        <f t="shared" ref="AA7" si="47">IF(F7=0,0,ROUND(AVERAGE(F7:F20)/100,4))</f>
        <v>-1.9E-3</v>
      </c>
      <c r="AB7" s="3389">
        <f t="shared" ref="AB7" si="48">IF(G7=0,0,ROUND(AVERAGE(G7:G20)/100,4))</f>
        <v>2.8999999999999998E-3</v>
      </c>
      <c r="AC7" s="3389">
        <f t="shared" ref="AC7" si="49">IF(H7=0,0,ROUND(AVERAGE(H7:H20)/100,4))</f>
        <v>4.7000000000000002E-3</v>
      </c>
      <c r="AD7" s="3389">
        <f t="shared" ref="AD7" si="50">AA7</f>
        <v>-1.9E-3</v>
      </c>
      <c r="AF7" s="3679">
        <f t="shared" ref="AF7" si="51">$AF$24*R7</f>
        <v>105.77000000000001</v>
      </c>
      <c r="AG7" s="3679">
        <f t="shared" ref="AG7" si="52">$AG$24*S7</f>
        <v>102.75000000000001</v>
      </c>
      <c r="AH7" s="3679">
        <f t="shared" ref="AH7" si="53">$AH$24*T7</f>
        <v>98.09</v>
      </c>
      <c r="AI7" s="3679">
        <f t="shared" ref="AI7" si="54">$AI$24*U7</f>
        <v>106.89</v>
      </c>
      <c r="AJ7" s="3679">
        <f t="shared" ref="AJ7" si="55">$AJ$24*V7</f>
        <v>108.91</v>
      </c>
      <c r="AK7" s="3679">
        <f t="shared" ref="AK7" si="56">$AK$24*W7</f>
        <v>98.09</v>
      </c>
      <c r="AM7" s="3679">
        <f t="shared" ref="AM7:AM24" si="57">AM6/(1+D6/100)</f>
        <v>100.45203415369161</v>
      </c>
      <c r="AN7" s="3679">
        <f t="shared" ref="AN7:AN24" si="58">AN6/(1+E6/100)</f>
        <v>100.45203415369161</v>
      </c>
      <c r="AO7" s="3679">
        <f t="shared" ref="AO7:AO24" si="59">AO6/(1+F6/100)</f>
        <v>100.8267795926598</v>
      </c>
      <c r="AP7" s="3679">
        <f t="shared" ref="AP7:AP24" si="60">AP6/(1+G6/100)</f>
        <v>100.39152695512499</v>
      </c>
      <c r="AQ7" s="3679">
        <f t="shared" ref="AQ7:AQ24" si="61">AQ6/(1+H6/100)</f>
        <v>99.960015993602568</v>
      </c>
      <c r="AR7" s="3679">
        <f t="shared" ref="AR7:AR24" si="62">AR6/(1+I6/100)</f>
        <v>100.8267795926598</v>
      </c>
    </row>
    <row r="8" spans="1:44">
      <c r="A8" s="3662" t="s">
        <v>3261</v>
      </c>
      <c r="B8" s="3402">
        <v>2025</v>
      </c>
      <c r="C8" s="3403">
        <v>1</v>
      </c>
      <c r="D8" s="3403">
        <v>0.56999999999999995</v>
      </c>
      <c r="E8" s="3403">
        <v>-0.56999999999999995</v>
      </c>
      <c r="F8" s="3403">
        <v>-0.9</v>
      </c>
      <c r="G8" s="3403">
        <v>1.1200000000000001</v>
      </c>
      <c r="H8" s="3403">
        <v>0.42</v>
      </c>
      <c r="I8" s="3404">
        <f t="shared" ref="I8" si="63">F8</f>
        <v>-0.9</v>
      </c>
      <c r="J8" s="3364"/>
      <c r="K8" s="3365">
        <f t="shared" ref="K8" si="64">D8/100</f>
        <v>5.6999999999999993E-3</v>
      </c>
      <c r="L8" s="3366">
        <f t="shared" ref="L8" si="65">E8/100</f>
        <v>-5.6999999999999993E-3</v>
      </c>
      <c r="M8" s="3366">
        <f t="shared" ref="M8" si="66">F8/100</f>
        <v>-9.0000000000000011E-3</v>
      </c>
      <c r="N8" s="3366">
        <f t="shared" ref="N8" si="67">G8/100</f>
        <v>1.1200000000000002E-2</v>
      </c>
      <c r="O8" s="3366">
        <f t="shared" ref="O8" si="68">H8/100</f>
        <v>4.1999999999999997E-3</v>
      </c>
      <c r="P8" s="3366">
        <f t="shared" si="6"/>
        <v>-9.0000000000000011E-3</v>
      </c>
      <c r="Q8" s="3364"/>
      <c r="R8" s="3380">
        <f>ROUND(IF(项目基本情况!$B$8="出让",SUMPRODUCT(PRODUCT(1+K8:$K$24)),SUMPRODUCT(PRODUCT(1+K8:$K$23))),4)</f>
        <v>1.0571999999999999</v>
      </c>
      <c r="S8" s="3380">
        <f>ROUND(IF(项目基本情况!$B$8="出让",SUMPRODUCT(PRODUCT(1+L8:$L$24)),SUMPRODUCT(PRODUCT(1+L8:$L$23))),4)</f>
        <v>1.0339</v>
      </c>
      <c r="T8" s="3380">
        <f>ROUND(IF(项目基本情况!$B$8="出让",SUMPRODUCT(PRODUCT(1+M8:$M$24)),SUMPRODUCT(PRODUCT(1+M8:$M$23))),4)</f>
        <v>0.99129999999999996</v>
      </c>
      <c r="U8" s="3380">
        <f>ROUND(IF(项目基本情况!$B$8="出让",SUMPRODUCT(PRODUCT(1+N8:$N$24)),SUMPRODUCT(PRODUCT(1+N8:$N$23))),4)</f>
        <v>1.0679000000000001</v>
      </c>
      <c r="V8" s="3380">
        <f>ROUND(IF(项目基本情况!$B$8="出让",SUMPRODUCT(PRODUCT(1+O8:$O$24)),SUMPRODUCT(PRODUCT(1+O8:$O$23))),4)</f>
        <v>1.0871999999999999</v>
      </c>
      <c r="W8" s="3380">
        <f t="shared" si="7"/>
        <v>0.99129999999999996</v>
      </c>
      <c r="X8" s="3364"/>
      <c r="Y8" s="3389">
        <f t="shared" ref="Y8" si="69">IF(D8=0,0,ROUND(AVERAGE(D8:D21)/100,4))</f>
        <v>3.0000000000000001E-3</v>
      </c>
      <c r="Z8" s="3389">
        <f t="shared" ref="Z8" si="70">IF(E8=0,0,ROUND(AVERAGE(E8:E21)/100,4))</f>
        <v>1.6000000000000001E-3</v>
      </c>
      <c r="AA8" s="3389">
        <f t="shared" ref="AA8" si="71">IF(F8=0,0,ROUND(AVERAGE(F8:F21)/100,4))</f>
        <v>-1.1000000000000001E-3</v>
      </c>
      <c r="AB8" s="3389">
        <f t="shared" ref="AB8" si="72">IF(G8=0,0,ROUND(AVERAGE(G8:G21)/100,4))</f>
        <v>3.7000000000000002E-3</v>
      </c>
      <c r="AC8" s="3389">
        <f t="shared" ref="AC8" si="73">IF(H8=0,0,ROUND(AVERAGE(H8:H21)/100,4))</f>
        <v>4.8999999999999998E-3</v>
      </c>
      <c r="AD8" s="3389">
        <f t="shared" ref="AD8" si="74">AA8</f>
        <v>-1.1000000000000001E-3</v>
      </c>
      <c r="AF8" s="3679">
        <f t="shared" ref="AF8:AF22" si="75">$AF$24*R8</f>
        <v>105.72</v>
      </c>
      <c r="AG8" s="3679">
        <f t="shared" ref="AG8:AG22" si="76">$AG$24*S8</f>
        <v>103.39</v>
      </c>
      <c r="AH8" s="3679">
        <f t="shared" ref="AH8:AH22" si="77">$AH$24*T8</f>
        <v>99.13</v>
      </c>
      <c r="AI8" s="3679">
        <f t="shared" ref="AI8:AI22" si="78">$AI$24*U8</f>
        <v>106.79</v>
      </c>
      <c r="AJ8" s="3679">
        <f t="shared" ref="AJ8:AJ22" si="79">$AJ$24*V8</f>
        <v>108.72</v>
      </c>
      <c r="AK8" s="3679">
        <f t="shared" ref="AK8:AK22" si="80">$AK$24*W8</f>
        <v>99.13</v>
      </c>
      <c r="AM8" s="3679">
        <f t="shared" si="57"/>
        <v>100.40183323707308</v>
      </c>
      <c r="AN8" s="3679">
        <f t="shared" si="58"/>
        <v>101.07872223152708</v>
      </c>
      <c r="AO8" s="3679">
        <f t="shared" si="59"/>
        <v>101.89669488899423</v>
      </c>
      <c r="AP8" s="3679">
        <f t="shared" si="60"/>
        <v>100.3012558248826</v>
      </c>
      <c r="AQ8" s="3679">
        <f t="shared" si="61"/>
        <v>99.790372360589558</v>
      </c>
      <c r="AR8" s="3679">
        <f t="shared" si="62"/>
        <v>101.89669488899423</v>
      </c>
    </row>
    <row r="9" spans="1:44">
      <c r="A9" s="3662" t="s">
        <v>3314</v>
      </c>
      <c r="B9" s="3402">
        <v>2024</v>
      </c>
      <c r="C9" s="3403">
        <v>4</v>
      </c>
      <c r="D9" s="3403">
        <v>-1.02</v>
      </c>
      <c r="E9" s="3403">
        <v>-0.48</v>
      </c>
      <c r="F9" s="3403">
        <v>-0.75</v>
      </c>
      <c r="G9" s="3403">
        <v>-1.05</v>
      </c>
      <c r="H9" s="3403">
        <v>0.08</v>
      </c>
      <c r="I9" s="3404">
        <f t="shared" ref="I9" si="81">F9</f>
        <v>-0.75</v>
      </c>
      <c r="J9" s="3364"/>
      <c r="K9" s="3365">
        <f t="shared" ref="K9" si="82">D9/100</f>
        <v>-1.0200000000000001E-2</v>
      </c>
      <c r="L9" s="3366">
        <f t="shared" ref="L9" si="83">E9/100</f>
        <v>-4.7999999999999996E-3</v>
      </c>
      <c r="M9" s="3366">
        <f t="shared" ref="M9" si="84">F9/100</f>
        <v>-7.4999999999999997E-3</v>
      </c>
      <c r="N9" s="3366">
        <f t="shared" ref="N9" si="85">G9/100</f>
        <v>-1.0500000000000001E-2</v>
      </c>
      <c r="O9" s="3366">
        <f t="shared" ref="O9" si="86">H9/100</f>
        <v>8.0000000000000004E-4</v>
      </c>
      <c r="P9" s="3366">
        <f t="shared" si="6"/>
        <v>-7.4999999999999997E-3</v>
      </c>
      <c r="Q9" s="3364"/>
      <c r="R9" s="3380">
        <f>ROUND(IF(项目基本情况!$B$8="出让",SUMPRODUCT(PRODUCT(1+K9:$K$24)),SUMPRODUCT(PRODUCT(1+K9:$K$23))),4)</f>
        <v>1.0511999999999999</v>
      </c>
      <c r="S9" s="3380">
        <f>ROUND(IF(项目基本情况!$B$8="出让",SUMPRODUCT(PRODUCT(1+L9:$L$24)),SUMPRODUCT(PRODUCT(1+L9:$L$23))),4)</f>
        <v>1.0398000000000001</v>
      </c>
      <c r="T9" s="3380">
        <f>ROUND(IF(项目基本情况!$B$8="出让",SUMPRODUCT(PRODUCT(1+M9:$M$24)),SUMPRODUCT(PRODUCT(1+M9:$M$23))),4)</f>
        <v>1.0003</v>
      </c>
      <c r="U9" s="3380">
        <f>ROUND(IF(项目基本情况!$B$8="出让",SUMPRODUCT(PRODUCT(1+N9:$N$24)),SUMPRODUCT(PRODUCT(1+N9:$N$23))),4)</f>
        <v>1.0561</v>
      </c>
      <c r="V9" s="3380">
        <f>ROUND(IF(项目基本情况!$B$8="出让",SUMPRODUCT(PRODUCT(1+O9:$O$24)),SUMPRODUCT(PRODUCT(1+O9:$O$23))),4)</f>
        <v>1.0827</v>
      </c>
      <c r="W9" s="3380">
        <f t="shared" si="7"/>
        <v>1.0003</v>
      </c>
      <c r="X9" s="3367"/>
      <c r="Y9" s="3369">
        <f t="shared" ref="Y9" si="87">IF(D9=0,0,ROUND(AVERAGE(D9:D22)/100,4))</f>
        <v>2.8999999999999998E-3</v>
      </c>
      <c r="Z9" s="3369">
        <f t="shared" ref="Z9" si="88">IF(E9=0,0,ROUND(AVERAGE(E9:E22)/100,4))</f>
        <v>2.3E-3</v>
      </c>
      <c r="AA9" s="3369">
        <f t="shared" ref="AA9" si="89">IF(F9=0,0,ROUND(AVERAGE(F9:F22)/100,4))</f>
        <v>-2.9999999999999997E-4</v>
      </c>
      <c r="AB9" s="3369">
        <f t="shared" ref="AB9" si="90">IF(G9=0,0,ROUND(AVERAGE(G9:G22)/100,4))</f>
        <v>3.3E-3</v>
      </c>
      <c r="AC9" s="3369">
        <f t="shared" ref="AC9" si="91">IF(H9=0,0,ROUND(AVERAGE(H9:H22)/100,4))</f>
        <v>5.0000000000000001E-3</v>
      </c>
      <c r="AD9" s="3369">
        <f t="shared" ref="AD9" si="92">AA9</f>
        <v>-2.9999999999999997E-4</v>
      </c>
      <c r="AF9" s="3679">
        <f t="shared" si="75"/>
        <v>105.11999999999999</v>
      </c>
      <c r="AG9" s="3679">
        <f t="shared" si="76"/>
        <v>103.98</v>
      </c>
      <c r="AH9" s="3679">
        <f t="shared" si="77"/>
        <v>100.03</v>
      </c>
      <c r="AI9" s="3679">
        <f t="shared" si="78"/>
        <v>105.61</v>
      </c>
      <c r="AJ9" s="3679">
        <f t="shared" si="79"/>
        <v>108.27</v>
      </c>
      <c r="AK9" s="3679">
        <f t="shared" si="80"/>
        <v>100.03</v>
      </c>
      <c r="AM9" s="3679">
        <f t="shared" si="57"/>
        <v>99.832786354850427</v>
      </c>
      <c r="AN9" s="3679">
        <f t="shared" si="58"/>
        <v>101.65817382231428</v>
      </c>
      <c r="AO9" s="3679">
        <f t="shared" si="59"/>
        <v>102.82209373258752</v>
      </c>
      <c r="AP9" s="3679">
        <f t="shared" si="60"/>
        <v>99.190324193910797</v>
      </c>
      <c r="AQ9" s="3679">
        <f t="shared" si="61"/>
        <v>99.373005736496282</v>
      </c>
      <c r="AR9" s="3679">
        <f t="shared" si="62"/>
        <v>102.82209373258752</v>
      </c>
    </row>
    <row r="10" spans="1:44">
      <c r="A10" s="3662" t="s">
        <v>3256</v>
      </c>
      <c r="B10" s="3402">
        <v>2024</v>
      </c>
      <c r="C10" s="3403">
        <v>3</v>
      </c>
      <c r="D10" s="3403">
        <v>-1.19</v>
      </c>
      <c r="E10" s="3403">
        <v>-0.47</v>
      </c>
      <c r="F10" s="3403">
        <v>-0.28999999999999998</v>
      </c>
      <c r="G10" s="3403">
        <v>-0.74</v>
      </c>
      <c r="H10" s="3403">
        <v>-0.21</v>
      </c>
      <c r="I10" s="3404">
        <f t="shared" ref="I10" si="93">F10</f>
        <v>-0.28999999999999998</v>
      </c>
      <c r="J10" s="3364"/>
      <c r="K10" s="3365">
        <f t="shared" ref="K10" si="94">D10/100</f>
        <v>-1.1899999999999999E-2</v>
      </c>
      <c r="L10" s="3366">
        <f t="shared" ref="L10" si="95">E10/100</f>
        <v>-4.6999999999999993E-3</v>
      </c>
      <c r="M10" s="3366">
        <f t="shared" ref="M10" si="96">F10/100</f>
        <v>-2.8999999999999998E-3</v>
      </c>
      <c r="N10" s="3366">
        <f t="shared" ref="N10" si="97">G10/100</f>
        <v>-7.4000000000000003E-3</v>
      </c>
      <c r="O10" s="3366">
        <f t="shared" ref="O10" si="98">H10/100</f>
        <v>-2.0999999999999999E-3</v>
      </c>
      <c r="P10" s="3366">
        <f t="shared" si="6"/>
        <v>-2.8999999999999998E-3</v>
      </c>
      <c r="Q10" s="3364"/>
      <c r="R10" s="3380">
        <f>ROUND(IF(项目基本情况!$B$8="出让",SUMPRODUCT(PRODUCT(1+K10:$K$24)),SUMPRODUCT(PRODUCT(1+K10:$K$23))),4)</f>
        <v>1.0620000000000001</v>
      </c>
      <c r="S10" s="3380">
        <f>ROUND(IF(项目基本情况!$B$8="出让",SUMPRODUCT(PRODUCT(1+L10:$L$24)),SUMPRODUCT(PRODUCT(1+L10:$L$23))),4)</f>
        <v>1.0448</v>
      </c>
      <c r="T10" s="3380">
        <f>ROUND(IF(项目基本情况!$B$8="出让",SUMPRODUCT(PRODUCT(1+M10:$M$24)),SUMPRODUCT(PRODUCT(1+M10:$M$23))),4)</f>
        <v>1.0079</v>
      </c>
      <c r="U10" s="3380">
        <f>ROUND(IF(项目基本情况!$B$8="出让",SUMPRODUCT(PRODUCT(1+N10:$N$24)),SUMPRODUCT(PRODUCT(1+N10:$N$23))),4)</f>
        <v>1.0672999999999999</v>
      </c>
      <c r="V10" s="3380">
        <f>ROUND(IF(项目基本情况!$B$8="出让",SUMPRODUCT(PRODUCT(1+O10:$O$24)),SUMPRODUCT(PRODUCT(1+O10:$O$23))),4)</f>
        <v>1.0818000000000001</v>
      </c>
      <c r="W10" s="3380">
        <f t="shared" si="7"/>
        <v>1.0079</v>
      </c>
      <c r="X10" s="3364"/>
      <c r="Y10" s="3389">
        <f t="shared" ref="Y10:AC11" si="99">IF(D10=0,0,ROUND(AVERAGE(D10:D23)/100,4))</f>
        <v>4.3E-3</v>
      </c>
      <c r="Z10" s="3389">
        <f t="shared" si="99"/>
        <v>3.0999999999999999E-3</v>
      </c>
      <c r="AA10" s="3389">
        <f t="shared" si="99"/>
        <v>5.9999999999999995E-4</v>
      </c>
      <c r="AB10" s="3389">
        <f t="shared" si="99"/>
        <v>4.7000000000000002E-3</v>
      </c>
      <c r="AC10" s="3389">
        <f t="shared" si="99"/>
        <v>5.5999999999999999E-3</v>
      </c>
      <c r="AD10" s="3389">
        <f t="shared" ref="AD10" si="100">AA10</f>
        <v>5.9999999999999995E-4</v>
      </c>
      <c r="AF10" s="3679">
        <f t="shared" si="75"/>
        <v>106.2</v>
      </c>
      <c r="AG10" s="3679">
        <f t="shared" si="76"/>
        <v>104.47999999999999</v>
      </c>
      <c r="AH10" s="3679">
        <f t="shared" si="77"/>
        <v>100.79</v>
      </c>
      <c r="AI10" s="3679">
        <f t="shared" si="78"/>
        <v>106.72999999999999</v>
      </c>
      <c r="AJ10" s="3679">
        <f t="shared" si="79"/>
        <v>108.18</v>
      </c>
      <c r="AK10" s="3679">
        <f t="shared" si="80"/>
        <v>100.79</v>
      </c>
      <c r="AM10" s="3679">
        <f t="shared" si="57"/>
        <v>100.86157441387192</v>
      </c>
      <c r="AN10" s="3679">
        <f t="shared" si="58"/>
        <v>102.14848655779168</v>
      </c>
      <c r="AO10" s="3679">
        <f t="shared" si="59"/>
        <v>103.59908688421916</v>
      </c>
      <c r="AP10" s="3679">
        <f t="shared" si="60"/>
        <v>100.24287437484668</v>
      </c>
      <c r="AQ10" s="3679">
        <f t="shared" si="61"/>
        <v>99.293570879792455</v>
      </c>
      <c r="AR10" s="3679">
        <f t="shared" si="62"/>
        <v>103.59908688421916</v>
      </c>
    </row>
    <row r="11" spans="1:44">
      <c r="A11" s="3343" t="s">
        <v>3262</v>
      </c>
      <c r="B11" s="3402">
        <v>2024</v>
      </c>
      <c r="C11" s="3403">
        <v>2</v>
      </c>
      <c r="D11" s="3403">
        <v>-0.59</v>
      </c>
      <c r="E11" s="3403">
        <v>-0.21</v>
      </c>
      <c r="F11" s="3403">
        <v>-1.38</v>
      </c>
      <c r="G11" s="3403">
        <v>-1.24</v>
      </c>
      <c r="H11" s="3409">
        <v>0.34</v>
      </c>
      <c r="I11" s="3404">
        <f t="shared" ref="I11:I24" si="101">F11</f>
        <v>-1.38</v>
      </c>
      <c r="J11" s="3364"/>
      <c r="K11" s="3365">
        <f t="shared" ref="K11:O24" si="102">D11/100</f>
        <v>-5.8999999999999999E-3</v>
      </c>
      <c r="L11" s="3366">
        <f t="shared" si="102"/>
        <v>-2.0999999999999999E-3</v>
      </c>
      <c r="M11" s="3366">
        <f t="shared" si="102"/>
        <v>-1.38E-2</v>
      </c>
      <c r="N11" s="3366">
        <f t="shared" si="102"/>
        <v>-1.24E-2</v>
      </c>
      <c r="O11" s="3366">
        <f t="shared" si="102"/>
        <v>3.4000000000000002E-3</v>
      </c>
      <c r="P11" s="3366">
        <f t="shared" si="6"/>
        <v>-1.38E-2</v>
      </c>
      <c r="Q11" s="3364"/>
      <c r="R11" s="3380">
        <f>ROUND(IF(项目基本情况!$B$8="出让",SUMPRODUCT(PRODUCT(1+K11:$K$24)),SUMPRODUCT(PRODUCT(1+K11:$K$23))),4)</f>
        <v>1.0748</v>
      </c>
      <c r="S11" s="3380">
        <f>ROUND(IF(项目基本情况!$B$8="出让",SUMPRODUCT(PRODUCT(1+L11:$L$24)),SUMPRODUCT(PRODUCT(1+L11:$L$23))),4)</f>
        <v>1.0498000000000001</v>
      </c>
      <c r="T11" s="3380">
        <f>ROUND(IF(项目基本情况!$B$8="出让",SUMPRODUCT(PRODUCT(1+M11:$M$24)),SUMPRODUCT(PRODUCT(1+M11:$M$23))),4)</f>
        <v>1.0107999999999999</v>
      </c>
      <c r="U11" s="3380">
        <f>ROUND(IF(项目基本情况!$B$8="出让",SUMPRODUCT(PRODUCT(1+N11:$N$24)),SUMPRODUCT(PRODUCT(1+N11:$N$23))),4)</f>
        <v>1.0752999999999999</v>
      </c>
      <c r="V11" s="3380">
        <f>ROUND(IF(项目基本情况!$B$8="出让",SUMPRODUCT(PRODUCT(1+O11:$O$24)),SUMPRODUCT(PRODUCT(1+O11:$O$23))),4)</f>
        <v>1.0841000000000001</v>
      </c>
      <c r="W11" s="3380">
        <f t="shared" si="7"/>
        <v>1.0107999999999999</v>
      </c>
      <c r="X11" s="3364"/>
      <c r="Y11" s="3389">
        <f t="shared" si="99"/>
        <v>5.8999999999999999E-3</v>
      </c>
      <c r="Z11" s="3389">
        <f t="shared" si="99"/>
        <v>3.5999999999999999E-3</v>
      </c>
      <c r="AA11" s="3389">
        <f t="shared" si="99"/>
        <v>5.9999999999999995E-4</v>
      </c>
      <c r="AB11" s="3389">
        <f t="shared" si="99"/>
        <v>6.0000000000000001E-3</v>
      </c>
      <c r="AC11" s="3389">
        <f t="shared" si="99"/>
        <v>6.0000000000000001E-3</v>
      </c>
      <c r="AD11" s="3389">
        <f t="shared" ref="AD11:AD23" si="103">AA11</f>
        <v>5.9999999999999995E-4</v>
      </c>
      <c r="AF11" s="3679">
        <f t="shared" si="75"/>
        <v>107.48</v>
      </c>
      <c r="AG11" s="3679">
        <f t="shared" si="76"/>
        <v>104.98</v>
      </c>
      <c r="AH11" s="3679">
        <f t="shared" si="77"/>
        <v>101.08</v>
      </c>
      <c r="AI11" s="3679">
        <f t="shared" si="78"/>
        <v>107.52999999999999</v>
      </c>
      <c r="AJ11" s="3679">
        <f t="shared" si="79"/>
        <v>108.41000000000001</v>
      </c>
      <c r="AK11" s="3679">
        <f t="shared" si="80"/>
        <v>101.08</v>
      </c>
      <c r="AM11" s="3679">
        <f t="shared" si="57"/>
        <v>102.07628217171533</v>
      </c>
      <c r="AN11" s="3679">
        <f t="shared" si="58"/>
        <v>102.63085156012427</v>
      </c>
      <c r="AO11" s="3679">
        <f t="shared" si="59"/>
        <v>103.90039803853091</v>
      </c>
      <c r="AP11" s="3679">
        <f t="shared" si="60"/>
        <v>100.99020186867487</v>
      </c>
      <c r="AQ11" s="3679">
        <f t="shared" si="61"/>
        <v>99.502526184780493</v>
      </c>
      <c r="AR11" s="3679">
        <f t="shared" si="62"/>
        <v>103.90039803853091</v>
      </c>
    </row>
    <row r="12" spans="1:44">
      <c r="A12" s="3343" t="s">
        <v>3259</v>
      </c>
      <c r="B12" s="3402">
        <v>2024</v>
      </c>
      <c r="C12" s="3403">
        <v>1</v>
      </c>
      <c r="D12" s="3403">
        <v>0.08</v>
      </c>
      <c r="E12" s="3403">
        <v>0.46</v>
      </c>
      <c r="F12" s="3403">
        <v>-0.16</v>
      </c>
      <c r="G12" s="3403">
        <v>0.26</v>
      </c>
      <c r="H12" s="3409">
        <v>0.59</v>
      </c>
      <c r="I12" s="3404">
        <f t="shared" si="101"/>
        <v>-0.16</v>
      </c>
      <c r="J12" s="3364"/>
      <c r="K12" s="3365">
        <f t="shared" ref="K12" si="104">D12/100</f>
        <v>8.0000000000000004E-4</v>
      </c>
      <c r="L12" s="3366">
        <f t="shared" ref="L12" si="105">E12/100</f>
        <v>4.5999999999999999E-3</v>
      </c>
      <c r="M12" s="3366">
        <f t="shared" ref="M12" si="106">F12/100</f>
        <v>-1.6000000000000001E-3</v>
      </c>
      <c r="N12" s="3366">
        <f t="shared" ref="N12" si="107">G12/100</f>
        <v>2.5999999999999999E-3</v>
      </c>
      <c r="O12" s="3366">
        <f t="shared" ref="O12" si="108">H12/100</f>
        <v>5.8999999999999999E-3</v>
      </c>
      <c r="P12" s="3366">
        <f t="shared" ref="P12" si="109">M12</f>
        <v>-1.6000000000000001E-3</v>
      </c>
      <c r="Q12" s="3364"/>
      <c r="R12" s="3380">
        <f>ROUND(IF(项目基本情况!$B$8="出让",SUMPRODUCT(PRODUCT(1+K12:$K$24)),SUMPRODUCT(PRODUCT(1+K12:$K$23))),4)</f>
        <v>1.0811999999999999</v>
      </c>
      <c r="S12" s="3380">
        <f>ROUND(IF(项目基本情况!$B$8="出让",SUMPRODUCT(PRODUCT(1+L12:$L$24)),SUMPRODUCT(PRODUCT(1+L12:$L$23))),4)</f>
        <v>1.052</v>
      </c>
      <c r="T12" s="3380">
        <f>ROUND(IF(项目基本情况!$B$8="出让",SUMPRODUCT(PRODUCT(1+M12:$M$24)),SUMPRODUCT(PRODUCT(1+M12:$M$23))),4)</f>
        <v>1.0249999999999999</v>
      </c>
      <c r="U12" s="3380">
        <f>ROUND(IF(项目基本情况!$B$8="出让",SUMPRODUCT(PRODUCT(1+N12:$N$24)),SUMPRODUCT(PRODUCT(1+N12:$N$23))),4)</f>
        <v>1.0888</v>
      </c>
      <c r="V12" s="3380">
        <f>ROUND(IF(项目基本情况!$B$8="出让",SUMPRODUCT(PRODUCT(1+O12:$O$24)),SUMPRODUCT(PRODUCT(1+O12:$O$23))),4)</f>
        <v>1.0804</v>
      </c>
      <c r="W12" s="3380">
        <f t="shared" ref="W12" si="110">T12</f>
        <v>1.0249999999999999</v>
      </c>
      <c r="X12" s="3364"/>
      <c r="Y12" s="3389">
        <f t="shared" ref="Y12" si="111">IF(D12=0,0,ROUND(AVERAGE(D12:D23)/100,4))</f>
        <v>6.4999999999999997E-3</v>
      </c>
      <c r="Z12" s="3389">
        <f t="shared" ref="Z12" si="112">IF(E12=0,0,ROUND(AVERAGE(E12:E23)/100,4))</f>
        <v>4.1999999999999997E-3</v>
      </c>
      <c r="AA12" s="3389">
        <f t="shared" ref="AA12" si="113">IF(F12=0,0,ROUND(AVERAGE(F12:F23)/100,4))</f>
        <v>2.0999999999999999E-3</v>
      </c>
      <c r="AB12" s="3389">
        <f t="shared" ref="AB12" si="114">IF(G12=0,0,ROUND(AVERAGE(G12:G23)/100,4))</f>
        <v>7.1000000000000004E-3</v>
      </c>
      <c r="AC12" s="3389">
        <f t="shared" ref="AC12" si="115">IF(H12=0,0,ROUND(AVERAGE(H12:H23)/100,4))</f>
        <v>6.4999999999999997E-3</v>
      </c>
      <c r="AD12" s="3389">
        <f t="shared" ref="AD12" si="116">AA12</f>
        <v>2.0999999999999999E-3</v>
      </c>
      <c r="AF12" s="3679">
        <f t="shared" si="75"/>
        <v>108.11999999999999</v>
      </c>
      <c r="AG12" s="3679">
        <f t="shared" si="76"/>
        <v>105.2</v>
      </c>
      <c r="AH12" s="3679">
        <f t="shared" si="77"/>
        <v>102.49999999999999</v>
      </c>
      <c r="AI12" s="3679">
        <f t="shared" si="78"/>
        <v>108.88</v>
      </c>
      <c r="AJ12" s="3679">
        <f t="shared" si="79"/>
        <v>108.04</v>
      </c>
      <c r="AK12" s="3679">
        <f t="shared" si="80"/>
        <v>102.49999999999999</v>
      </c>
      <c r="AM12" s="3679">
        <f t="shared" si="57"/>
        <v>102.68210660065922</v>
      </c>
      <c r="AN12" s="3679">
        <f t="shared" si="58"/>
        <v>102.8468299029204</v>
      </c>
      <c r="AO12" s="3679">
        <f t="shared" si="59"/>
        <v>105.35428720191737</v>
      </c>
      <c r="AP12" s="3679">
        <f t="shared" si="60"/>
        <v>102.25820359323093</v>
      </c>
      <c r="AQ12" s="3679">
        <f t="shared" si="61"/>
        <v>99.165363947359467</v>
      </c>
      <c r="AR12" s="3679">
        <f t="shared" si="62"/>
        <v>105.35428720191737</v>
      </c>
    </row>
    <row r="13" spans="1:44">
      <c r="A13" s="3343" t="s">
        <v>3254</v>
      </c>
      <c r="B13" s="3402">
        <v>2023</v>
      </c>
      <c r="C13" s="3403">
        <v>4</v>
      </c>
      <c r="D13" s="3403">
        <v>0.19</v>
      </c>
      <c r="E13" s="3403">
        <v>0.24</v>
      </c>
      <c r="F13" s="3403">
        <v>-0.16</v>
      </c>
      <c r="G13" s="3403">
        <v>0.17</v>
      </c>
      <c r="H13" s="3409">
        <v>0.61</v>
      </c>
      <c r="I13" s="3404">
        <f t="shared" ref="I13" si="117">F13</f>
        <v>-0.16</v>
      </c>
      <c r="J13" s="3364"/>
      <c r="K13" s="3365">
        <f t="shared" si="102"/>
        <v>1.9E-3</v>
      </c>
      <c r="L13" s="3366">
        <f t="shared" si="102"/>
        <v>2.3999999999999998E-3</v>
      </c>
      <c r="M13" s="3366">
        <f t="shared" si="102"/>
        <v>-1.6000000000000001E-3</v>
      </c>
      <c r="N13" s="3366">
        <f t="shared" si="102"/>
        <v>1.7000000000000001E-3</v>
      </c>
      <c r="O13" s="3366">
        <f t="shared" si="102"/>
        <v>6.0999999999999995E-3</v>
      </c>
      <c r="P13" s="3366">
        <f t="shared" ref="P13" si="118">M13</f>
        <v>-1.6000000000000001E-3</v>
      </c>
      <c r="Q13" s="3364"/>
      <c r="R13" s="3380">
        <f>ROUND(IF(项目基本情况!$B$8="出让",SUMPRODUCT(PRODUCT(1+K13:$K$24)),SUMPRODUCT(PRODUCT(1+K13:$K$23))),4)</f>
        <v>1.0804</v>
      </c>
      <c r="S13" s="3380">
        <f>ROUND(IF(项目基本情况!$B$8="出让",SUMPRODUCT(PRODUCT(1+L13:$L$24)),SUMPRODUCT(PRODUCT(1+L13:$L$23))),4)</f>
        <v>1.0471999999999999</v>
      </c>
      <c r="T13" s="3380">
        <f>ROUND(IF(项目基本情况!$B$8="出让",SUMPRODUCT(PRODUCT(1+M13:$M$24)),SUMPRODUCT(PRODUCT(1+M13:$M$23))),4)</f>
        <v>1.0266</v>
      </c>
      <c r="U13" s="3380">
        <f>ROUND(IF(项目基本情况!$B$8="出让",SUMPRODUCT(PRODUCT(1+N13:$N$24)),SUMPRODUCT(PRODUCT(1+N13:$N$23))),4)</f>
        <v>1.0859000000000001</v>
      </c>
      <c r="V13" s="3380">
        <f>ROUND(IF(项目基本情况!$B$8="出让",SUMPRODUCT(PRODUCT(1+O13:$O$24)),SUMPRODUCT(PRODUCT(1+O13:$O$23))),4)</f>
        <v>1.0741000000000001</v>
      </c>
      <c r="W13" s="3380">
        <f t="shared" ref="W13" si="119">T13</f>
        <v>1.0266</v>
      </c>
      <c r="X13" s="3364"/>
      <c r="Y13" s="3389">
        <f t="shared" ref="Y13" si="120">IF(D13=0,0,ROUND(AVERAGE(D13:D24)/100,4))</f>
        <v>7.3000000000000001E-3</v>
      </c>
      <c r="Z13" s="3389">
        <f t="shared" ref="Z13" si="121">IF(E13=0,0,ROUND(AVERAGE(E13:E24)/100,4))</f>
        <v>4.0000000000000001E-3</v>
      </c>
      <c r="AA13" s="3389">
        <f t="shared" ref="AA13" si="122">IF(F13=0,0,ROUND(AVERAGE(F13:F24)/100,4))</f>
        <v>2E-3</v>
      </c>
      <c r="AB13" s="3389">
        <f t="shared" ref="AB13" si="123">IF(G13=0,0,ROUND(AVERAGE(G13:G24)/100,4))</f>
        <v>7.7999999999999996E-3</v>
      </c>
      <c r="AC13" s="3389">
        <f t="shared" ref="AC13" si="124">IF(H13=0,0,ROUND(AVERAGE(H13:H24)/100,4))</f>
        <v>6.3E-3</v>
      </c>
      <c r="AD13" s="3389">
        <f t="shared" si="103"/>
        <v>2E-3</v>
      </c>
      <c r="AF13" s="3679">
        <f t="shared" si="75"/>
        <v>108.04</v>
      </c>
      <c r="AG13" s="3679">
        <f t="shared" si="76"/>
        <v>104.71999999999998</v>
      </c>
      <c r="AH13" s="3679">
        <f t="shared" si="77"/>
        <v>102.66</v>
      </c>
      <c r="AI13" s="3679">
        <f t="shared" si="78"/>
        <v>108.59</v>
      </c>
      <c r="AJ13" s="3679">
        <f t="shared" si="79"/>
        <v>107.41000000000001</v>
      </c>
      <c r="AK13" s="3679">
        <f t="shared" si="80"/>
        <v>102.66</v>
      </c>
      <c r="AM13" s="3679">
        <f t="shared" si="57"/>
        <v>102.60002657939572</v>
      </c>
      <c r="AN13" s="3679">
        <f t="shared" si="58"/>
        <v>102.37590075942704</v>
      </c>
      <c r="AO13" s="3679">
        <f t="shared" si="59"/>
        <v>105.52312420063839</v>
      </c>
      <c r="AP13" s="3679">
        <f t="shared" si="60"/>
        <v>101.99302173671548</v>
      </c>
      <c r="AQ13" s="3679">
        <f t="shared" si="61"/>
        <v>98.583719999363225</v>
      </c>
      <c r="AR13" s="3679">
        <f t="shared" si="62"/>
        <v>105.52312420063839</v>
      </c>
    </row>
    <row r="14" spans="1:44">
      <c r="A14" s="3343" t="s">
        <v>3253</v>
      </c>
      <c r="B14" s="3402">
        <v>2023</v>
      </c>
      <c r="C14" s="3403">
        <v>3</v>
      </c>
      <c r="D14" s="3403">
        <v>0.25</v>
      </c>
      <c r="E14" s="3403">
        <v>0.5</v>
      </c>
      <c r="F14" s="3403">
        <v>0.31</v>
      </c>
      <c r="G14" s="3403">
        <v>0.21</v>
      </c>
      <c r="H14" s="3409">
        <v>0.43</v>
      </c>
      <c r="I14" s="3404">
        <f t="shared" si="101"/>
        <v>0.31</v>
      </c>
      <c r="J14" s="3364"/>
      <c r="K14" s="3365">
        <f t="shared" ref="K14:K16" si="125">D14/100</f>
        <v>2.5000000000000001E-3</v>
      </c>
      <c r="L14" s="3366">
        <f t="shared" ref="L14:L16" si="126">E14/100</f>
        <v>5.0000000000000001E-3</v>
      </c>
      <c r="M14" s="3366">
        <f t="shared" ref="M14:M16" si="127">F14/100</f>
        <v>3.0999999999999999E-3</v>
      </c>
      <c r="N14" s="3366">
        <f t="shared" ref="N14:N16" si="128">G14/100</f>
        <v>2.0999999999999999E-3</v>
      </c>
      <c r="O14" s="3366">
        <f t="shared" ref="O14:O16" si="129">H14/100</f>
        <v>4.3E-3</v>
      </c>
      <c r="P14" s="3366">
        <f t="shared" ref="P14:P16" si="130">M14</f>
        <v>3.0999999999999999E-3</v>
      </c>
      <c r="Q14" s="3364"/>
      <c r="R14" s="3380">
        <f>ROUND(IF(项目基本情况!$B$8="出让",SUMPRODUCT(PRODUCT(1+K14:$K$24)),SUMPRODUCT(PRODUCT(1+K14:$K$23))),4)</f>
        <v>1.0783</v>
      </c>
      <c r="S14" s="3380">
        <f>ROUND(IF(项目基本情况!$B$8="出让",SUMPRODUCT(PRODUCT(1+L14:$L$24)),SUMPRODUCT(PRODUCT(1+L14:$L$23))),4)</f>
        <v>1.0447</v>
      </c>
      <c r="T14" s="3380">
        <f>ROUND(IF(项目基本情况!$B$8="出让",SUMPRODUCT(PRODUCT(1+M14:$M$24)),SUMPRODUCT(PRODUCT(1+M14:$M$23))),4)</f>
        <v>1.0282</v>
      </c>
      <c r="U14" s="3380">
        <f>ROUND(IF(项目基本情况!$B$8="出让",SUMPRODUCT(PRODUCT(1+N14:$N$24)),SUMPRODUCT(PRODUCT(1+N14:$N$23))),4)</f>
        <v>1.0841000000000001</v>
      </c>
      <c r="V14" s="3380">
        <f>ROUND(IF(项目基本情况!$B$8="出让",SUMPRODUCT(PRODUCT(1+O14:$O$24)),SUMPRODUCT(PRODUCT(1+O14:$O$23))),4)</f>
        <v>1.0674999999999999</v>
      </c>
      <c r="W14" s="3380">
        <f t="shared" ref="W14:W16" si="131">T14</f>
        <v>1.0282</v>
      </c>
      <c r="X14" s="3364"/>
      <c r="Y14" s="3389">
        <f t="shared" ref="Y14:AC14" si="132">IF(D14=0,0,ROUND(AVERAGE(D14:D25)/100,4))</f>
        <v>7.7999999999999996E-3</v>
      </c>
      <c r="Z14" s="3389">
        <f t="shared" si="132"/>
        <v>4.1000000000000003E-3</v>
      </c>
      <c r="AA14" s="3389">
        <f t="shared" si="132"/>
        <v>2.3E-3</v>
      </c>
      <c r="AB14" s="3389">
        <f t="shared" si="132"/>
        <v>8.3999999999999995E-3</v>
      </c>
      <c r="AC14" s="3389">
        <f t="shared" si="132"/>
        <v>6.3E-3</v>
      </c>
      <c r="AD14" s="3389">
        <f t="shared" ref="AD14:AD16" si="133">AA14</f>
        <v>2.3E-3</v>
      </c>
      <c r="AF14" s="3679">
        <f t="shared" si="75"/>
        <v>107.83</v>
      </c>
      <c r="AG14" s="3679">
        <f t="shared" si="76"/>
        <v>104.47</v>
      </c>
      <c r="AH14" s="3679">
        <f t="shared" si="77"/>
        <v>102.82</v>
      </c>
      <c r="AI14" s="3679">
        <f t="shared" si="78"/>
        <v>108.41000000000001</v>
      </c>
      <c r="AJ14" s="3679">
        <f t="shared" si="79"/>
        <v>106.74999999999999</v>
      </c>
      <c r="AK14" s="3679">
        <f t="shared" si="80"/>
        <v>102.82</v>
      </c>
      <c r="AM14" s="3679">
        <f t="shared" si="57"/>
        <v>102.40545621259179</v>
      </c>
      <c r="AN14" s="3679">
        <f t="shared" si="58"/>
        <v>102.1307868709368</v>
      </c>
      <c r="AO14" s="3679">
        <f t="shared" si="59"/>
        <v>105.69223177147275</v>
      </c>
      <c r="AP14" s="3679">
        <f t="shared" si="60"/>
        <v>101.81992785935456</v>
      </c>
      <c r="AQ14" s="3679">
        <f t="shared" si="61"/>
        <v>97.986005366626799</v>
      </c>
      <c r="AR14" s="3679">
        <f t="shared" si="62"/>
        <v>105.69223177147275</v>
      </c>
    </row>
    <row r="15" spans="1:44">
      <c r="A15" s="3343" t="s">
        <v>3251</v>
      </c>
      <c r="B15" s="3402">
        <v>2023</v>
      </c>
      <c r="C15" s="3403">
        <v>2</v>
      </c>
      <c r="D15" s="3403">
        <v>0.91</v>
      </c>
      <c r="E15" s="3403">
        <v>0.66</v>
      </c>
      <c r="F15" s="3403">
        <v>0.47</v>
      </c>
      <c r="G15" s="3403">
        <v>0.96</v>
      </c>
      <c r="H15" s="3409">
        <v>0.71</v>
      </c>
      <c r="I15" s="3404">
        <f t="shared" si="101"/>
        <v>0.47</v>
      </c>
      <c r="J15" s="3364"/>
      <c r="K15" s="3365">
        <f t="shared" si="125"/>
        <v>9.1000000000000004E-3</v>
      </c>
      <c r="L15" s="3366">
        <f t="shared" si="126"/>
        <v>6.6E-3</v>
      </c>
      <c r="M15" s="3366">
        <f t="shared" si="127"/>
        <v>4.6999999999999993E-3</v>
      </c>
      <c r="N15" s="3366">
        <f t="shared" si="128"/>
        <v>9.5999999999999992E-3</v>
      </c>
      <c r="O15" s="3366">
        <f t="shared" si="129"/>
        <v>7.0999999999999995E-3</v>
      </c>
      <c r="P15" s="3366">
        <f t="shared" si="130"/>
        <v>4.6999999999999993E-3</v>
      </c>
      <c r="Q15" s="3364"/>
      <c r="R15" s="3380">
        <f>ROUND(IF(项目基本情况!$B$8="出让",SUMPRODUCT(PRODUCT(1+K15:$K$24)),SUMPRODUCT(PRODUCT(1+K15:$K$23))),4)</f>
        <v>1.0755999999999999</v>
      </c>
      <c r="S15" s="3380">
        <f>ROUND(IF(项目基本情况!$B$8="出让",SUMPRODUCT(PRODUCT(1+L15:$L$24)),SUMPRODUCT(PRODUCT(1+L15:$L$23))),4)</f>
        <v>1.0395000000000001</v>
      </c>
      <c r="T15" s="3380">
        <f>ROUND(IF(项目基本情况!$B$8="出让",SUMPRODUCT(PRODUCT(1+M15:$M$24)),SUMPRODUCT(PRODUCT(1+M15:$M$23))),4)</f>
        <v>1.0250999999999999</v>
      </c>
      <c r="U15" s="3380">
        <f>ROUND(IF(项目基本情况!$B$8="出让",SUMPRODUCT(PRODUCT(1+N15:$N$24)),SUMPRODUCT(PRODUCT(1+N15:$N$23))),4)</f>
        <v>1.0818000000000001</v>
      </c>
      <c r="V15" s="3380">
        <f>ROUND(IF(项目基本情况!$B$8="出让",SUMPRODUCT(PRODUCT(1+O15:$O$24)),SUMPRODUCT(PRODUCT(1+O15:$O$23))),4)</f>
        <v>1.0629999999999999</v>
      </c>
      <c r="W15" s="3380">
        <f t="shared" si="131"/>
        <v>1.0250999999999999</v>
      </c>
      <c r="X15" s="3364"/>
      <c r="Y15" s="3389">
        <f t="shared" ref="Y15:AC15" si="134">IF(D15=0,0,ROUND(AVERAGE(D15:D26)/100,4))</f>
        <v>8.3000000000000001E-3</v>
      </c>
      <c r="Z15" s="3389">
        <f t="shared" si="134"/>
        <v>4.0000000000000001E-3</v>
      </c>
      <c r="AA15" s="3389">
        <f t="shared" si="134"/>
        <v>2.2000000000000001E-3</v>
      </c>
      <c r="AB15" s="3389">
        <f t="shared" si="134"/>
        <v>8.9999999999999993E-3</v>
      </c>
      <c r="AC15" s="3389">
        <f t="shared" si="134"/>
        <v>6.4999999999999997E-3</v>
      </c>
      <c r="AD15" s="3389">
        <f t="shared" si="133"/>
        <v>2.2000000000000001E-3</v>
      </c>
      <c r="AF15" s="3679">
        <f t="shared" si="75"/>
        <v>107.55999999999999</v>
      </c>
      <c r="AG15" s="3679">
        <f t="shared" si="76"/>
        <v>103.95</v>
      </c>
      <c r="AH15" s="3679">
        <f t="shared" si="77"/>
        <v>102.50999999999999</v>
      </c>
      <c r="AI15" s="3679">
        <f t="shared" si="78"/>
        <v>108.18</v>
      </c>
      <c r="AJ15" s="3679">
        <f t="shared" si="79"/>
        <v>106.3</v>
      </c>
      <c r="AK15" s="3679">
        <f t="shared" si="80"/>
        <v>102.50999999999999</v>
      </c>
      <c r="AM15" s="3679">
        <f t="shared" si="57"/>
        <v>102.15008101006663</v>
      </c>
      <c r="AN15" s="3679">
        <f t="shared" si="58"/>
        <v>101.62267350341972</v>
      </c>
      <c r="AO15" s="3679">
        <f t="shared" si="59"/>
        <v>105.36559841638196</v>
      </c>
      <c r="AP15" s="3679">
        <f t="shared" si="60"/>
        <v>101.60655409575348</v>
      </c>
      <c r="AQ15" s="3679">
        <f t="shared" si="61"/>
        <v>97.56646954757224</v>
      </c>
      <c r="AR15" s="3679">
        <f t="shared" si="62"/>
        <v>105.36559841638196</v>
      </c>
    </row>
    <row r="16" spans="1:44">
      <c r="A16" s="3343" t="s">
        <v>3249</v>
      </c>
      <c r="B16" s="3402">
        <v>2023</v>
      </c>
      <c r="C16" s="3403">
        <v>1</v>
      </c>
      <c r="D16" s="3403">
        <v>0.89</v>
      </c>
      <c r="E16" s="3403">
        <v>0.74</v>
      </c>
      <c r="F16" s="3403">
        <v>0.56999999999999995</v>
      </c>
      <c r="G16" s="3403">
        <v>0.92</v>
      </c>
      <c r="H16" s="3409">
        <v>0.5</v>
      </c>
      <c r="I16" s="3404">
        <f t="shared" si="101"/>
        <v>0.56999999999999995</v>
      </c>
      <c r="J16" s="3364"/>
      <c r="K16" s="3365">
        <f t="shared" si="125"/>
        <v>8.8999999999999999E-3</v>
      </c>
      <c r="L16" s="3366">
        <f t="shared" si="126"/>
        <v>7.4000000000000003E-3</v>
      </c>
      <c r="M16" s="3366">
        <f t="shared" si="127"/>
        <v>5.6999999999999993E-3</v>
      </c>
      <c r="N16" s="3366">
        <f t="shared" si="128"/>
        <v>9.1999999999999998E-3</v>
      </c>
      <c r="O16" s="3366">
        <f t="shared" si="129"/>
        <v>5.0000000000000001E-3</v>
      </c>
      <c r="P16" s="3366">
        <f t="shared" si="130"/>
        <v>5.6999999999999993E-3</v>
      </c>
      <c r="Q16" s="3364"/>
      <c r="R16" s="3380">
        <f>ROUND(IF(项目基本情况!$B$8="出让",SUMPRODUCT(PRODUCT(1+K16:$K$24)),SUMPRODUCT(PRODUCT(1+K16:$K$23))),4)</f>
        <v>1.0659000000000001</v>
      </c>
      <c r="S16" s="3380">
        <f>ROUND(IF(项目基本情况!$B$8="出让",SUMPRODUCT(PRODUCT(1+L16:$L$24)),SUMPRODUCT(PRODUCT(1+L16:$L$23))),4)</f>
        <v>1.0326</v>
      </c>
      <c r="T16" s="3380">
        <f>ROUND(IF(项目基本情况!$B$8="出让",SUMPRODUCT(PRODUCT(1+M16:$M$24)),SUMPRODUCT(PRODUCT(1+M16:$M$23))),4)</f>
        <v>1.0203</v>
      </c>
      <c r="U16" s="3380">
        <f>ROUND(IF(项目基本情况!$B$8="出让",SUMPRODUCT(PRODUCT(1+N16:$N$24)),SUMPRODUCT(PRODUCT(1+N16:$N$23))),4)</f>
        <v>1.0714999999999999</v>
      </c>
      <c r="V16" s="3380">
        <f>ROUND(IF(项目基本情况!$B$8="出让",SUMPRODUCT(PRODUCT(1+O16:$O$24)),SUMPRODUCT(PRODUCT(1+O16:$O$23))),4)</f>
        <v>1.0555000000000001</v>
      </c>
      <c r="W16" s="3380">
        <f t="shared" si="131"/>
        <v>1.0203</v>
      </c>
      <c r="X16" s="3364"/>
      <c r="Y16" s="3389">
        <f t="shared" ref="Y16:AC16" si="135">IF(D16=0,0,ROUND(AVERAGE(D16:D27)/100,4))</f>
        <v>8.2000000000000007E-3</v>
      </c>
      <c r="Z16" s="3389">
        <f t="shared" si="135"/>
        <v>3.8E-3</v>
      </c>
      <c r="AA16" s="3389">
        <f t="shared" si="135"/>
        <v>2E-3</v>
      </c>
      <c r="AB16" s="3389">
        <f t="shared" si="135"/>
        <v>8.8999999999999999E-3</v>
      </c>
      <c r="AC16" s="3389">
        <f t="shared" si="135"/>
        <v>6.4000000000000003E-3</v>
      </c>
      <c r="AD16" s="3389">
        <f t="shared" si="133"/>
        <v>2E-3</v>
      </c>
      <c r="AF16" s="3679">
        <f t="shared" si="75"/>
        <v>106.59</v>
      </c>
      <c r="AG16" s="3679">
        <f t="shared" si="76"/>
        <v>103.25999999999999</v>
      </c>
      <c r="AH16" s="3679">
        <f t="shared" si="77"/>
        <v>102.03</v>
      </c>
      <c r="AI16" s="3679">
        <f t="shared" si="78"/>
        <v>107.14999999999999</v>
      </c>
      <c r="AJ16" s="3679">
        <f t="shared" si="79"/>
        <v>105.55000000000001</v>
      </c>
      <c r="AK16" s="3679">
        <f t="shared" si="80"/>
        <v>102.03</v>
      </c>
      <c r="AM16" s="3679">
        <f t="shared" si="57"/>
        <v>101.22889803792152</v>
      </c>
      <c r="AN16" s="3679">
        <f t="shared" si="58"/>
        <v>100.95636151740486</v>
      </c>
      <c r="AO16" s="3679">
        <f t="shared" si="59"/>
        <v>104.87269674169599</v>
      </c>
      <c r="AP16" s="3679">
        <f t="shared" si="60"/>
        <v>100.6404061962693</v>
      </c>
      <c r="AQ16" s="3679">
        <f t="shared" si="61"/>
        <v>96.878631265586563</v>
      </c>
      <c r="AR16" s="3679">
        <f t="shared" si="62"/>
        <v>104.87269674169599</v>
      </c>
    </row>
    <row r="17" spans="1:44">
      <c r="A17" s="3343" t="s">
        <v>3247</v>
      </c>
      <c r="B17" s="3402">
        <v>2022</v>
      </c>
      <c r="C17" s="3403">
        <v>4</v>
      </c>
      <c r="D17" s="3403">
        <v>0.62</v>
      </c>
      <c r="E17" s="3403">
        <v>0.2</v>
      </c>
      <c r="F17" s="3403">
        <v>0.11</v>
      </c>
      <c r="G17" s="3403">
        <v>0.69</v>
      </c>
      <c r="H17" s="3409">
        <v>0.53</v>
      </c>
      <c r="I17" s="3404">
        <f t="shared" si="101"/>
        <v>0.11</v>
      </c>
      <c r="J17" s="3364"/>
      <c r="K17" s="3365">
        <f t="shared" si="102"/>
        <v>6.1999999999999998E-3</v>
      </c>
      <c r="L17" s="3366">
        <f t="shared" si="102"/>
        <v>2E-3</v>
      </c>
      <c r="M17" s="3366">
        <f t="shared" si="102"/>
        <v>1.1000000000000001E-3</v>
      </c>
      <c r="N17" s="3366">
        <f t="shared" si="102"/>
        <v>6.8999999999999999E-3</v>
      </c>
      <c r="O17" s="3366">
        <f t="shared" si="102"/>
        <v>5.3E-3</v>
      </c>
      <c r="P17" s="3366">
        <f t="shared" ref="P17:P24" si="136">M17</f>
        <v>1.1000000000000001E-3</v>
      </c>
      <c r="Q17" s="3364"/>
      <c r="R17" s="3380">
        <f>ROUND(IF(项目基本情况!B8="出让",SUMPRODUCT(PRODUCT(1+K17:K24)),SUMPRODUCT(PRODUCT(1+K17:K23))),4)</f>
        <v>1.0565</v>
      </c>
      <c r="S17" s="3380">
        <f>ROUND(IF(项目基本情况!B8="出让",SUMPRODUCT(PRODUCT(1+L17:L24)),SUMPRODUCT(PRODUCT(1+L17:L23))),4)</f>
        <v>1.0250999999999999</v>
      </c>
      <c r="T17" s="3380">
        <f>ROUND(IF(项目基本情况!B8="出让",SUMPRODUCT(PRODUCT(1+M17:M24)),SUMPRODUCT(PRODUCT(1+M17:M23))),4)</f>
        <v>1.0145</v>
      </c>
      <c r="U17" s="3380">
        <f>ROUND(IF(项目基本情况!B8="出让",SUMPRODUCT(PRODUCT(1+N17:N24)),SUMPRODUCT(PRODUCT(1+N17:N23))),4)</f>
        <v>1.0618000000000001</v>
      </c>
      <c r="V17" s="3380">
        <f>ROUND(IF(项目基本情况!B8="出让",SUMPRODUCT(PRODUCT(1+O17:O24)),SUMPRODUCT(PRODUCT(1+O17:O23))),4)</f>
        <v>1.0502</v>
      </c>
      <c r="W17" s="3380">
        <f t="shared" ref="W17:W24" si="137">T17</f>
        <v>1.0145</v>
      </c>
      <c r="X17" s="3364"/>
      <c r="Y17" s="3389">
        <f>IF(D17=0,0,ROUND(AVERAGE(D17:D25)/100,4))</f>
        <v>8.0999999999999996E-3</v>
      </c>
      <c r="Z17" s="3389">
        <f>IF(E17=0,0,ROUND(AVERAGE(E17:E24)/100,4))</f>
        <v>3.3E-3</v>
      </c>
      <c r="AA17" s="3389">
        <f>IF(F17=0,0,ROUND(AVERAGE(F17:F24)/100,4))</f>
        <v>1.5E-3</v>
      </c>
      <c r="AB17" s="3389">
        <f>IF(G17=0,0,ROUND(AVERAGE(G17:G24)/100,4))</f>
        <v>8.8999999999999999E-3</v>
      </c>
      <c r="AC17" s="3389">
        <f>IF(H17=0,0,ROUND(AVERAGE(H17:H24)/100,4))</f>
        <v>6.6E-3</v>
      </c>
      <c r="AD17" s="3389">
        <f t="shared" si="103"/>
        <v>1.5E-3</v>
      </c>
      <c r="AF17" s="3679">
        <f t="shared" si="75"/>
        <v>105.65</v>
      </c>
      <c r="AG17" s="3679">
        <f t="shared" si="76"/>
        <v>102.50999999999999</v>
      </c>
      <c r="AH17" s="3679">
        <f t="shared" si="77"/>
        <v>101.44999999999999</v>
      </c>
      <c r="AI17" s="3679">
        <f t="shared" si="78"/>
        <v>106.18</v>
      </c>
      <c r="AJ17" s="3679">
        <f t="shared" si="79"/>
        <v>105.02</v>
      </c>
      <c r="AK17" s="3679">
        <f t="shared" si="80"/>
        <v>101.44999999999999</v>
      </c>
      <c r="AM17" s="3679">
        <f t="shared" si="57"/>
        <v>100.33590845269256</v>
      </c>
      <c r="AN17" s="3679">
        <f t="shared" si="58"/>
        <v>100.2147722031019</v>
      </c>
      <c r="AO17" s="3679">
        <f t="shared" si="59"/>
        <v>104.27831037257232</v>
      </c>
      <c r="AP17" s="3679">
        <f t="shared" si="60"/>
        <v>99.722955010175667</v>
      </c>
      <c r="AQ17" s="3679">
        <f t="shared" si="61"/>
        <v>96.396648025459271</v>
      </c>
      <c r="AR17" s="3679">
        <f t="shared" si="62"/>
        <v>104.27831037257232</v>
      </c>
    </row>
    <row r="18" spans="1:44">
      <c r="A18" s="3343" t="s">
        <v>3244</v>
      </c>
      <c r="B18" s="3402">
        <v>2022</v>
      </c>
      <c r="C18" s="3403">
        <v>3</v>
      </c>
      <c r="D18" s="3403">
        <v>0.66</v>
      </c>
      <c r="E18" s="3403">
        <v>0.32</v>
      </c>
      <c r="F18" s="3403">
        <v>0.23</v>
      </c>
      <c r="G18" s="3403">
        <v>0.72</v>
      </c>
      <c r="H18" s="3409">
        <v>0.63</v>
      </c>
      <c r="I18" s="3404">
        <f t="shared" si="101"/>
        <v>0.23</v>
      </c>
      <c r="J18" s="3364"/>
      <c r="K18" s="3365">
        <f t="shared" si="102"/>
        <v>6.6E-3</v>
      </c>
      <c r="L18" s="3366">
        <f t="shared" si="102"/>
        <v>3.2000000000000002E-3</v>
      </c>
      <c r="M18" s="3366">
        <f t="shared" si="102"/>
        <v>2.3E-3</v>
      </c>
      <c r="N18" s="3366">
        <f t="shared" si="102"/>
        <v>7.1999999999999998E-3</v>
      </c>
      <c r="O18" s="3366">
        <f t="shared" si="102"/>
        <v>6.3E-3</v>
      </c>
      <c r="P18" s="3366">
        <f t="shared" si="136"/>
        <v>2.3E-3</v>
      </c>
      <c r="Q18" s="3364"/>
      <c r="R18" s="3380">
        <f>ROUND(IF(项目基本情况!B8="出让",SUMPRODUCT(PRODUCT(1+K18:K24)),SUMPRODUCT(PRODUCT(1+K18:K23))),4)</f>
        <v>1.05</v>
      </c>
      <c r="S18" s="3380">
        <f>ROUND(IF(项目基本情况!B8="出让",SUMPRODUCT(PRODUCT(1+L18:L24)),SUMPRODUCT(PRODUCT(1+L18:L23))),4)</f>
        <v>1.0229999999999999</v>
      </c>
      <c r="T18" s="3380">
        <f>ROUND(IF(项目基本情况!B8="出让",SUMPRODUCT(PRODUCT(1+M18:M24)),SUMPRODUCT(PRODUCT(1+M18:M23))),4)</f>
        <v>1.0134000000000001</v>
      </c>
      <c r="U18" s="3380">
        <f>ROUND(IF(项目基本情况!B8="出让",SUMPRODUCT(PRODUCT(1+N18:N24)),SUMPRODUCT(PRODUCT(1+N18:N23))),4)</f>
        <v>1.0545</v>
      </c>
      <c r="V18" s="3380">
        <f>ROUND(IF(项目基本情况!B8="出让",SUMPRODUCT(PRODUCT(1+O18:O24)),SUMPRODUCT(PRODUCT(1+O18:O23))),4)</f>
        <v>1.0447</v>
      </c>
      <c r="W18" s="3380">
        <f t="shared" si="137"/>
        <v>1.0134000000000001</v>
      </c>
      <c r="X18" s="3364"/>
      <c r="Y18" s="3389">
        <f>IF(D18=0,0,ROUND(AVERAGE(D18:D24)/100,4))</f>
        <v>8.3999999999999995E-3</v>
      </c>
      <c r="Z18" s="3389">
        <f>IF(E18=0,0,ROUND(AVERAGE(E18:E24)/100,4))</f>
        <v>3.5000000000000001E-3</v>
      </c>
      <c r="AA18" s="3389">
        <f>IF(F18=0,0,ROUND(AVERAGE(F18:F24)/100,4))</f>
        <v>1.5E-3</v>
      </c>
      <c r="AB18" s="3389">
        <f>IF(G18=0,0,ROUND(AVERAGE(G18:G24)/100,4))</f>
        <v>9.1999999999999998E-3</v>
      </c>
      <c r="AC18" s="3389">
        <f>IF(H18=0,0,ROUND(AVERAGE(H18:H24)/100,4))</f>
        <v>6.7999999999999996E-3</v>
      </c>
      <c r="AD18" s="3389">
        <f t="shared" si="103"/>
        <v>1.5E-3</v>
      </c>
      <c r="AF18" s="3679">
        <f t="shared" si="75"/>
        <v>105</v>
      </c>
      <c r="AG18" s="3679">
        <f t="shared" si="76"/>
        <v>102.3</v>
      </c>
      <c r="AH18" s="3679">
        <f t="shared" si="77"/>
        <v>101.34</v>
      </c>
      <c r="AI18" s="3679">
        <f t="shared" si="78"/>
        <v>105.45</v>
      </c>
      <c r="AJ18" s="3679">
        <f t="shared" si="79"/>
        <v>104.47</v>
      </c>
      <c r="AK18" s="3679">
        <f t="shared" si="80"/>
        <v>101.34</v>
      </c>
      <c r="AM18" s="3679">
        <f t="shared" si="57"/>
        <v>99.717658967096568</v>
      </c>
      <c r="AN18" s="3679">
        <f t="shared" si="58"/>
        <v>100.01474271766656</v>
      </c>
      <c r="AO18" s="3679">
        <f t="shared" si="59"/>
        <v>104.1637302692761</v>
      </c>
      <c r="AP18" s="3679">
        <f t="shared" si="60"/>
        <v>99.039581895099488</v>
      </c>
      <c r="AQ18" s="3679">
        <f t="shared" si="61"/>
        <v>95.888439297184192</v>
      </c>
      <c r="AR18" s="3679">
        <f t="shared" si="62"/>
        <v>104.1637302692761</v>
      </c>
    </row>
    <row r="19" spans="1:44">
      <c r="A19" s="3343" t="s">
        <v>3245</v>
      </c>
      <c r="B19" s="3402">
        <v>2022</v>
      </c>
      <c r="C19" s="3403">
        <v>2</v>
      </c>
      <c r="D19" s="3403">
        <v>0.93</v>
      </c>
      <c r="E19" s="3403">
        <v>0.15</v>
      </c>
      <c r="F19" s="3403">
        <v>0.01</v>
      </c>
      <c r="G19" s="3403">
        <v>1.05</v>
      </c>
      <c r="H19" s="3409">
        <v>1.08</v>
      </c>
      <c r="I19" s="3404">
        <f t="shared" si="101"/>
        <v>0.01</v>
      </c>
      <c r="J19" s="3364"/>
      <c r="K19" s="3365">
        <f t="shared" si="102"/>
        <v>9.300000000000001E-3</v>
      </c>
      <c r="L19" s="3366">
        <f t="shared" si="102"/>
        <v>1.5E-3</v>
      </c>
      <c r="M19" s="3366">
        <f t="shared" si="102"/>
        <v>1E-4</v>
      </c>
      <c r="N19" s="3366">
        <f t="shared" si="102"/>
        <v>1.0500000000000001E-2</v>
      </c>
      <c r="O19" s="3366">
        <f t="shared" si="102"/>
        <v>1.0800000000000001E-2</v>
      </c>
      <c r="P19" s="3366">
        <f t="shared" si="136"/>
        <v>1E-4</v>
      </c>
      <c r="Q19" s="3364"/>
      <c r="R19" s="3380">
        <f>ROUND(IF(项目基本情况!B8="出让",SUMPRODUCT(PRODUCT(1+K19:K24)),SUMPRODUCT(PRODUCT(1+K19:K23))),4)</f>
        <v>1.0430999999999999</v>
      </c>
      <c r="S19" s="3380">
        <f>ROUND(IF(项目基本情况!B8="出让",SUMPRODUCT(PRODUCT(1+L19:L24)),SUMPRODUCT(PRODUCT(1+L19:L23))),4)</f>
        <v>1.0197000000000001</v>
      </c>
      <c r="T19" s="3380">
        <f>ROUND(IF(项目基本情况!B8="出让",SUMPRODUCT(PRODUCT(1+M19:M24)),SUMPRODUCT(PRODUCT(1+M19:M23))),4)</f>
        <v>1.0109999999999999</v>
      </c>
      <c r="U19" s="3380">
        <f>ROUND(IF(项目基本情况!B8="出让",SUMPRODUCT(PRODUCT(1+N19:N24)),SUMPRODUCT(PRODUCT(1+N19:N23))),4)</f>
        <v>1.0468999999999999</v>
      </c>
      <c r="V19" s="3380">
        <f>ROUND(IF(项目基本情况!B8="出让",SUMPRODUCT(PRODUCT(1+O19:O24)),SUMPRODUCT(PRODUCT(1+O19:O23))),4)</f>
        <v>1.0382</v>
      </c>
      <c r="W19" s="3380">
        <f t="shared" si="137"/>
        <v>1.0109999999999999</v>
      </c>
      <c r="X19" s="3364"/>
      <c r="Y19" s="3389">
        <f>IF(D19=0,0,ROUND(AVERAGE(D19:D24)/100,4))</f>
        <v>8.6999999999999994E-3</v>
      </c>
      <c r="Z19" s="3389">
        <f>IF(E19=0,0,ROUND(AVERAGE(E19:E24)/100,4))</f>
        <v>3.5000000000000001E-3</v>
      </c>
      <c r="AA19" s="3389">
        <f>IF(F19=0,0,ROUND(AVERAGE(F19:F24)/100,4))</f>
        <v>1.4E-3</v>
      </c>
      <c r="AB19" s="3389">
        <f>IF(G19=0,0,ROUND(AVERAGE(G19:G24)/100,4))</f>
        <v>9.4999999999999998E-3</v>
      </c>
      <c r="AC19" s="3389">
        <f>IF(H19=0,0,ROUND(AVERAGE(H19:H24)/100,4))</f>
        <v>6.8999999999999999E-3</v>
      </c>
      <c r="AD19" s="3389">
        <f t="shared" si="103"/>
        <v>1.4E-3</v>
      </c>
      <c r="AF19" s="3679">
        <f t="shared" si="75"/>
        <v>104.30999999999999</v>
      </c>
      <c r="AG19" s="3679">
        <f t="shared" si="76"/>
        <v>101.97</v>
      </c>
      <c r="AH19" s="3679">
        <f t="shared" si="77"/>
        <v>101.1</v>
      </c>
      <c r="AI19" s="3679">
        <f t="shared" si="78"/>
        <v>104.69</v>
      </c>
      <c r="AJ19" s="3679">
        <f t="shared" si="79"/>
        <v>103.82000000000001</v>
      </c>
      <c r="AK19" s="3679">
        <f t="shared" si="80"/>
        <v>101.1</v>
      </c>
      <c r="AM19" s="3679">
        <f t="shared" si="57"/>
        <v>99.063837638681278</v>
      </c>
      <c r="AN19" s="3679">
        <f t="shared" si="58"/>
        <v>99.695716425106212</v>
      </c>
      <c r="AO19" s="3679">
        <f t="shared" si="59"/>
        <v>103.92470345133803</v>
      </c>
      <c r="AP19" s="3679">
        <f t="shared" si="60"/>
        <v>98.331594415309254</v>
      </c>
      <c r="AQ19" s="3679">
        <f t="shared" si="61"/>
        <v>95.288124115258071</v>
      </c>
      <c r="AR19" s="3679">
        <f t="shared" si="62"/>
        <v>103.92470345133803</v>
      </c>
    </row>
    <row r="20" spans="1:44">
      <c r="A20" s="3343" t="s">
        <v>2781</v>
      </c>
      <c r="B20" s="3402">
        <v>2022</v>
      </c>
      <c r="C20" s="3403">
        <v>1</v>
      </c>
      <c r="D20" s="3403">
        <v>0.89</v>
      </c>
      <c r="E20" s="3403">
        <v>0.44</v>
      </c>
      <c r="F20" s="3403">
        <v>0.37</v>
      </c>
      <c r="G20" s="3403">
        <v>0.96</v>
      </c>
      <c r="H20" s="3409">
        <v>0.64</v>
      </c>
      <c r="I20" s="3404">
        <f t="shared" si="101"/>
        <v>0.37</v>
      </c>
      <c r="J20" s="3364"/>
      <c r="K20" s="3365">
        <f t="shared" si="102"/>
        <v>8.8999999999999999E-3</v>
      </c>
      <c r="L20" s="3366">
        <f t="shared" si="102"/>
        <v>4.4000000000000003E-3</v>
      </c>
      <c r="M20" s="3366">
        <f t="shared" si="102"/>
        <v>3.7000000000000002E-3</v>
      </c>
      <c r="N20" s="3366">
        <f t="shared" si="102"/>
        <v>9.5999999999999992E-3</v>
      </c>
      <c r="O20" s="3366">
        <f t="shared" si="102"/>
        <v>6.4000000000000003E-3</v>
      </c>
      <c r="P20" s="3366">
        <f t="shared" si="136"/>
        <v>3.7000000000000002E-3</v>
      </c>
      <c r="Q20" s="3364"/>
      <c r="R20" s="3380">
        <f>ROUND(IF(项目基本情况!B8="出让",SUMPRODUCT(PRODUCT(1+K20:K24)),SUMPRODUCT(PRODUCT(1+K20:K23))),4)</f>
        <v>1.0335000000000001</v>
      </c>
      <c r="S20" s="3380">
        <f>ROUND(IF(项目基本情况!B8="出让",SUMPRODUCT(PRODUCT(1+L20:L24)),SUMPRODUCT(PRODUCT(1+L20:L23))),4)</f>
        <v>1.0182</v>
      </c>
      <c r="T20" s="3380">
        <f>ROUND(IF(项目基本情况!B8="出让",SUMPRODUCT(PRODUCT(1+M20:M24)),SUMPRODUCT(PRODUCT(1+M20:M23))),4)</f>
        <v>1.0108999999999999</v>
      </c>
      <c r="U20" s="3380">
        <f>ROUND(IF(项目基本情况!B8="出让",SUMPRODUCT(PRODUCT(1+N20:N24)),SUMPRODUCT(PRODUCT(1+N20:N23))),4)</f>
        <v>1.0361</v>
      </c>
      <c r="V20" s="3380">
        <f>ROUND(IF(项目基本情况!B8="出让",SUMPRODUCT(PRODUCT(1+O20:O24)),SUMPRODUCT(PRODUCT(1+O20:O23))),4)</f>
        <v>1.0270999999999999</v>
      </c>
      <c r="W20" s="3380">
        <f t="shared" si="137"/>
        <v>1.0108999999999999</v>
      </c>
      <c r="X20" s="3364"/>
      <c r="Y20" s="3389">
        <f>IF(D20=0,0,ROUND(AVERAGE(D20:D24)/100,4))</f>
        <v>8.6E-3</v>
      </c>
      <c r="Z20" s="3389">
        <f>IF(E20=0,0,ROUND(AVERAGE(E20:E24)/100,4))</f>
        <v>3.8999999999999998E-3</v>
      </c>
      <c r="AA20" s="3389">
        <f>IF(F20=0,0,ROUND(AVERAGE(F20:F24)/100,4))</f>
        <v>1.6999999999999999E-3</v>
      </c>
      <c r="AB20" s="3389">
        <f>IF(G20=0,0,ROUND(AVERAGE(G20:G24)/100,4))</f>
        <v>9.2999999999999992E-3</v>
      </c>
      <c r="AC20" s="3389">
        <f>IF(H20=0,0,ROUND(AVERAGE(H20:H24)/100,4))</f>
        <v>6.1000000000000004E-3</v>
      </c>
      <c r="AD20" s="3389">
        <f t="shared" si="103"/>
        <v>1.6999999999999999E-3</v>
      </c>
      <c r="AF20" s="3679">
        <f t="shared" si="75"/>
        <v>103.35000000000001</v>
      </c>
      <c r="AG20" s="3679">
        <f t="shared" si="76"/>
        <v>101.82</v>
      </c>
      <c r="AH20" s="3679">
        <f t="shared" si="77"/>
        <v>101.08999999999999</v>
      </c>
      <c r="AI20" s="3679">
        <f t="shared" si="78"/>
        <v>103.61</v>
      </c>
      <c r="AJ20" s="3679">
        <f t="shared" si="79"/>
        <v>102.71</v>
      </c>
      <c r="AK20" s="3679">
        <f t="shared" si="80"/>
        <v>101.08999999999999</v>
      </c>
      <c r="AM20" s="3679">
        <f t="shared" si="57"/>
        <v>98.151033031488424</v>
      </c>
      <c r="AN20" s="3679">
        <f t="shared" si="58"/>
        <v>99.546396829861408</v>
      </c>
      <c r="AO20" s="3679">
        <f t="shared" si="59"/>
        <v>103.91431202013602</v>
      </c>
      <c r="AP20" s="3679">
        <f t="shared" si="60"/>
        <v>97.309841083928021</v>
      </c>
      <c r="AQ20" s="3679">
        <f t="shared" si="61"/>
        <v>94.270008028549739</v>
      </c>
      <c r="AR20" s="3679">
        <f t="shared" si="62"/>
        <v>103.91431202013602</v>
      </c>
    </row>
    <row r="21" spans="1:44">
      <c r="A21" s="3343" t="s">
        <v>2782</v>
      </c>
      <c r="B21" s="3402">
        <v>2021</v>
      </c>
      <c r="C21" s="3403">
        <v>4</v>
      </c>
      <c r="D21" s="3403">
        <v>1.03</v>
      </c>
      <c r="E21" s="3403">
        <v>0.24</v>
      </c>
      <c r="F21" s="3403">
        <v>7.0000000000000007E-2</v>
      </c>
      <c r="G21" s="3403">
        <v>1.17</v>
      </c>
      <c r="H21" s="3409">
        <v>0.55000000000000004</v>
      </c>
      <c r="I21" s="3404">
        <f t="shared" si="101"/>
        <v>7.0000000000000007E-2</v>
      </c>
      <c r="J21" s="3364"/>
      <c r="K21" s="3365">
        <f t="shared" si="102"/>
        <v>1.03E-2</v>
      </c>
      <c r="L21" s="3366">
        <f t="shared" si="102"/>
        <v>2.3999999999999998E-3</v>
      </c>
      <c r="M21" s="3366">
        <f t="shared" si="102"/>
        <v>7.000000000000001E-4</v>
      </c>
      <c r="N21" s="3366">
        <f t="shared" si="102"/>
        <v>1.1699999999999999E-2</v>
      </c>
      <c r="O21" s="3366">
        <f t="shared" si="102"/>
        <v>5.5000000000000005E-3</v>
      </c>
      <c r="P21" s="3366">
        <f t="shared" si="136"/>
        <v>7.000000000000001E-4</v>
      </c>
      <c r="Q21" s="3364"/>
      <c r="R21" s="3380">
        <f>ROUND(IF(项目基本情况!B8="出让",SUMPRODUCT(PRODUCT(1+K21:K24)),SUMPRODUCT(PRODUCT(1+K21:K23))),4)</f>
        <v>1.0244</v>
      </c>
      <c r="S21" s="3380">
        <f>ROUND(IF(项目基本情况!B8="出让",SUMPRODUCT(PRODUCT(1+L21:L24)),SUMPRODUCT(PRODUCT(1+L21:L23))),4)</f>
        <v>1.0138</v>
      </c>
      <c r="T21" s="3380">
        <f>ROUND(IF(项目基本情况!B8="出让",SUMPRODUCT(PRODUCT(1+M21:M24)),SUMPRODUCT(PRODUCT(1+M21:M23))),4)</f>
        <v>1.0072000000000001</v>
      </c>
      <c r="U21" s="3380">
        <f>ROUND(IF(项目基本情况!B8="出让",SUMPRODUCT(PRODUCT(1+N21:N24)),SUMPRODUCT(PRODUCT(1+N21:N23))),4)</f>
        <v>1.0262</v>
      </c>
      <c r="V21" s="3380">
        <f>ROUND(IF(项目基本情况!B8="出让",SUMPRODUCT(PRODUCT(1+O21:O24)),SUMPRODUCT(PRODUCT(1+O21:O23))),4)</f>
        <v>1.0205</v>
      </c>
      <c r="W21" s="3380">
        <f t="shared" si="137"/>
        <v>1.0072000000000001</v>
      </c>
      <c r="X21" s="3364"/>
      <c r="Y21" s="3389">
        <f>IF(D21=0,0,ROUND(AVERAGE(D21:D24)/100,4))</f>
        <v>8.5000000000000006E-3</v>
      </c>
      <c r="Z21" s="3389">
        <f>IF(E21=0,0,ROUND(AVERAGE(E21:E24)/100,4))</f>
        <v>3.8E-3</v>
      </c>
      <c r="AA21" s="3389">
        <f>IF(F21=0,0,ROUND(AVERAGE(F21:F24)/100,4))</f>
        <v>1.1999999999999999E-3</v>
      </c>
      <c r="AB21" s="3389">
        <f>IF(G21=0,0,ROUND(AVERAGE(G21:G24)/100,4))</f>
        <v>9.2999999999999992E-3</v>
      </c>
      <c r="AC21" s="3389">
        <f>IF(H21=0,0,ROUND(AVERAGE(H21:H24)/100,4))</f>
        <v>6.0000000000000001E-3</v>
      </c>
      <c r="AD21" s="3389">
        <f t="shared" si="103"/>
        <v>1.1999999999999999E-3</v>
      </c>
      <c r="AF21" s="3679">
        <f t="shared" si="75"/>
        <v>102.44</v>
      </c>
      <c r="AG21" s="3679">
        <f t="shared" si="76"/>
        <v>101.38000000000001</v>
      </c>
      <c r="AH21" s="3679">
        <f t="shared" si="77"/>
        <v>100.72000000000001</v>
      </c>
      <c r="AI21" s="3679">
        <f t="shared" si="78"/>
        <v>102.62</v>
      </c>
      <c r="AJ21" s="3679">
        <f t="shared" si="79"/>
        <v>102.05</v>
      </c>
      <c r="AK21" s="3679">
        <f t="shared" si="80"/>
        <v>100.72000000000001</v>
      </c>
      <c r="AM21" s="3679">
        <f t="shared" si="57"/>
        <v>97.285194797788122</v>
      </c>
      <c r="AN21" s="3679">
        <f t="shared" si="58"/>
        <v>99.11031145943987</v>
      </c>
      <c r="AO21" s="3679">
        <f t="shared" si="59"/>
        <v>103.53124640842485</v>
      </c>
      <c r="AP21" s="3679">
        <f t="shared" si="60"/>
        <v>96.384549409595891</v>
      </c>
      <c r="AQ21" s="3679">
        <f t="shared" si="61"/>
        <v>93.670516721531939</v>
      </c>
      <c r="AR21" s="3679">
        <f t="shared" si="62"/>
        <v>103.53124640842485</v>
      </c>
    </row>
    <row r="22" spans="1:44">
      <c r="A22" s="3343" t="s">
        <v>2783</v>
      </c>
      <c r="B22" s="3402">
        <v>2021</v>
      </c>
      <c r="C22" s="3403">
        <v>3</v>
      </c>
      <c r="D22" s="3403">
        <v>0.47</v>
      </c>
      <c r="E22" s="3403">
        <v>0.41</v>
      </c>
      <c r="F22" s="3403">
        <v>0.24</v>
      </c>
      <c r="G22" s="3403">
        <v>0.48</v>
      </c>
      <c r="H22" s="3409">
        <v>0.48</v>
      </c>
      <c r="I22" s="3404">
        <f t="shared" si="101"/>
        <v>0.24</v>
      </c>
      <c r="J22" s="3364"/>
      <c r="K22" s="3365">
        <f t="shared" si="102"/>
        <v>4.6999999999999993E-3</v>
      </c>
      <c r="L22" s="3366">
        <f t="shared" si="102"/>
        <v>4.0999999999999995E-3</v>
      </c>
      <c r="M22" s="3366">
        <f t="shared" si="102"/>
        <v>2.3999999999999998E-3</v>
      </c>
      <c r="N22" s="3366">
        <f t="shared" si="102"/>
        <v>4.7999999999999996E-3</v>
      </c>
      <c r="O22" s="3366">
        <f t="shared" si="102"/>
        <v>4.7999999999999996E-3</v>
      </c>
      <c r="P22" s="3366">
        <f t="shared" si="136"/>
        <v>2.3999999999999998E-3</v>
      </c>
      <c r="Q22" s="3364"/>
      <c r="R22" s="3380">
        <f>ROUND(IF(项目基本情况!B8="出让",SUMPRODUCT(PRODUCT(1+K22:K24)),SUMPRODUCT(PRODUCT(1+K22:K23))),4)</f>
        <v>1.0139</v>
      </c>
      <c r="S22" s="3380">
        <f>ROUND(IF(项目基本情况!B8="出让",SUMPRODUCT(PRODUCT(1+L22:L24)),SUMPRODUCT(PRODUCT(1+L22:L23))),4)</f>
        <v>1.0113000000000001</v>
      </c>
      <c r="T22" s="3380">
        <f>ROUND(IF(项目基本情况!B8="出让",SUMPRODUCT(PRODUCT(1+M22:M24)),SUMPRODUCT(PRODUCT(1+M22:M23))),4)</f>
        <v>1.0065</v>
      </c>
      <c r="U22" s="3380">
        <f>ROUND(IF(项目基本情况!B8="出让",SUMPRODUCT(PRODUCT(1+N22:N24)),SUMPRODUCT(PRODUCT(1+N22:N23))),4)</f>
        <v>1.0143</v>
      </c>
      <c r="V22" s="3380">
        <f>ROUND(IF(项目基本情况!B8="出让",SUMPRODUCT(PRODUCT(1+O22:O24)),SUMPRODUCT(PRODUCT(1+O22:O23))),4)</f>
        <v>1.0148999999999999</v>
      </c>
      <c r="W22" s="3380">
        <f t="shared" si="137"/>
        <v>1.0065</v>
      </c>
      <c r="X22" s="3364"/>
      <c r="Y22" s="3389">
        <f>IF(D22=0,0,ROUND(AVERAGE(D22:D24)/100,4))</f>
        <v>7.9000000000000008E-3</v>
      </c>
      <c r="Z22" s="3389">
        <f>IF(E22=0,0,ROUND(AVERAGE(E22:E24)/100,4))</f>
        <v>4.3E-3</v>
      </c>
      <c r="AA22" s="3389">
        <f>IF(F22=0,0,ROUND(AVERAGE(F22:F24)/100,4))</f>
        <v>1.2999999999999999E-3</v>
      </c>
      <c r="AB22" s="3389">
        <f>IF(G22=0,0,ROUND(AVERAGE(G22:G24)/100,4))</f>
        <v>8.5000000000000006E-3</v>
      </c>
      <c r="AC22" s="3389">
        <f>IF(H22=0,0,ROUND(AVERAGE(H22:H24)/100,4))</f>
        <v>6.1999999999999998E-3</v>
      </c>
      <c r="AD22" s="3389">
        <f t="shared" si="103"/>
        <v>1.2999999999999999E-3</v>
      </c>
      <c r="AF22" s="3679">
        <f t="shared" si="75"/>
        <v>101.39</v>
      </c>
      <c r="AG22" s="3679">
        <f t="shared" si="76"/>
        <v>101.13000000000001</v>
      </c>
      <c r="AH22" s="3679">
        <f t="shared" si="77"/>
        <v>100.64999999999999</v>
      </c>
      <c r="AI22" s="3679">
        <f t="shared" si="78"/>
        <v>101.42999999999999</v>
      </c>
      <c r="AJ22" s="3679">
        <f t="shared" si="79"/>
        <v>101.49</v>
      </c>
      <c r="AK22" s="3679">
        <f t="shared" si="80"/>
        <v>100.64999999999999</v>
      </c>
      <c r="AM22" s="3679">
        <f t="shared" si="57"/>
        <v>96.293373055318341</v>
      </c>
      <c r="AN22" s="3679">
        <f t="shared" si="58"/>
        <v>98.87301622051065</v>
      </c>
      <c r="AO22" s="3679">
        <f t="shared" si="59"/>
        <v>103.45882523076332</v>
      </c>
      <c r="AP22" s="3679">
        <f t="shared" si="60"/>
        <v>95.269891676975277</v>
      </c>
      <c r="AQ22" s="3679">
        <f t="shared" si="61"/>
        <v>93.158146913507636</v>
      </c>
      <c r="AR22" s="3679">
        <f t="shared" si="62"/>
        <v>103.45882523076332</v>
      </c>
    </row>
    <row r="23" spans="1:44">
      <c r="A23" s="3343" t="s">
        <v>2784</v>
      </c>
      <c r="B23" s="3402">
        <v>2021</v>
      </c>
      <c r="C23" s="3403">
        <v>2</v>
      </c>
      <c r="D23" s="3403">
        <v>0.92</v>
      </c>
      <c r="E23" s="3403">
        <v>0.72</v>
      </c>
      <c r="F23" s="3403">
        <v>0.41</v>
      </c>
      <c r="G23" s="3403">
        <v>0.95</v>
      </c>
      <c r="H23" s="3409">
        <v>1.01</v>
      </c>
      <c r="I23" s="3404">
        <f t="shared" si="101"/>
        <v>0.41</v>
      </c>
      <c r="J23" s="3364"/>
      <c r="K23" s="3365">
        <f t="shared" si="102"/>
        <v>9.1999999999999998E-3</v>
      </c>
      <c r="L23" s="3366">
        <f t="shared" si="102"/>
        <v>7.1999999999999998E-3</v>
      </c>
      <c r="M23" s="3366">
        <f t="shared" si="102"/>
        <v>4.0999999999999995E-3</v>
      </c>
      <c r="N23" s="3366">
        <f t="shared" si="102"/>
        <v>9.4999999999999998E-3</v>
      </c>
      <c r="O23" s="3366">
        <f t="shared" si="102"/>
        <v>1.01E-2</v>
      </c>
      <c r="P23" s="3366">
        <f t="shared" si="136"/>
        <v>4.0999999999999995E-3</v>
      </c>
      <c r="Q23" s="3364"/>
      <c r="R23" s="3380">
        <f>ROUND(IF(项目基本情况!B8="出让",SUMPRODUCT(PRODUCT(1+K23:K24)),SUMPRODUCT(PRODUCT(1+K23:K23))),4)</f>
        <v>1.0092000000000001</v>
      </c>
      <c r="S23" s="3380">
        <f>ROUND(IF(项目基本情况!B8="出让",SUMPRODUCT(PRODUCT(1+L23:L24)),SUMPRODUCT(PRODUCT(1+L23:L23))),4)</f>
        <v>1.0072000000000001</v>
      </c>
      <c r="T23" s="3380">
        <f>ROUND(IF(项目基本情况!B8="出让",SUMPRODUCT(PRODUCT(1+M23:M24)),SUMPRODUCT(PRODUCT(1+M23:M23))),4)</f>
        <v>1.0041</v>
      </c>
      <c r="U23" s="3380">
        <f>ROUND(IF(项目基本情况!B8="出让",SUMPRODUCT(PRODUCT(1+N23:N24)),SUMPRODUCT(PRODUCT(1+N23:N23))),4)</f>
        <v>1.0095000000000001</v>
      </c>
      <c r="V23" s="3380">
        <f>ROUND(IF(项目基本情况!B8="出让",SUMPRODUCT(PRODUCT(1+O23:O24)),SUMPRODUCT(PRODUCT(1+O23:O23))),4)</f>
        <v>1.0101</v>
      </c>
      <c r="W23" s="3380">
        <f t="shared" si="137"/>
        <v>1.0041</v>
      </c>
      <c r="X23" s="3364"/>
      <c r="Y23" s="3389">
        <f>IF(D23=0,0,ROUND(AVERAGE(D23:D24)/100,4))</f>
        <v>9.4999999999999998E-3</v>
      </c>
      <c r="Z23" s="3389">
        <f>IF(E23=0,0,ROUND(AVERAGE(E23:E24)/100,4))</f>
        <v>4.4000000000000003E-3</v>
      </c>
      <c r="AA23" s="3389">
        <f>IF(F23=0,0,ROUND(AVERAGE(F23:F24)/100,4))</f>
        <v>8.0000000000000004E-4</v>
      </c>
      <c r="AB23" s="3389">
        <f>IF(G23=0,0,ROUND(AVERAGE(G23:G24)/100,4))</f>
        <v>1.03E-2</v>
      </c>
      <c r="AC23" s="3389">
        <f>IF(H23=0,0,ROUND(AVERAGE(H23:H24)/100,4))</f>
        <v>6.8999999999999999E-3</v>
      </c>
      <c r="AD23" s="3389">
        <f t="shared" si="103"/>
        <v>8.0000000000000004E-4</v>
      </c>
      <c r="AF23" s="3679">
        <f>$AF$24*R23</f>
        <v>100.92000000000002</v>
      </c>
      <c r="AG23" s="3679">
        <f>$AG$24*S23</f>
        <v>100.72000000000001</v>
      </c>
      <c r="AH23" s="3679">
        <f>$AH$24*T23</f>
        <v>100.41</v>
      </c>
      <c r="AI23" s="3679">
        <f>$AI$24*U23</f>
        <v>100.95</v>
      </c>
      <c r="AJ23" s="3679">
        <f>$AJ$24*V23</f>
        <v>101.01</v>
      </c>
      <c r="AK23" s="3679">
        <f>$AK$24*W23</f>
        <v>100.41</v>
      </c>
      <c r="AM23" s="3679">
        <f t="shared" si="57"/>
        <v>95.842911371870557</v>
      </c>
      <c r="AN23" s="3679">
        <f t="shared" si="58"/>
        <v>98.469292122807147</v>
      </c>
      <c r="AO23" s="3679">
        <f t="shared" si="59"/>
        <v>103.21111854625232</v>
      </c>
      <c r="AP23" s="3679">
        <f t="shared" si="60"/>
        <v>94.81478072947381</v>
      </c>
      <c r="AQ23" s="3679">
        <f t="shared" si="61"/>
        <v>92.713123918697889</v>
      </c>
      <c r="AR23" s="3679">
        <f t="shared" si="62"/>
        <v>103.21111854625232</v>
      </c>
    </row>
    <row r="24" spans="1:44" ht="14.25" thickBot="1">
      <c r="A24" s="3345" t="s">
        <v>2785</v>
      </c>
      <c r="B24" s="3410">
        <v>2021</v>
      </c>
      <c r="C24" s="3411">
        <v>1</v>
      </c>
      <c r="D24" s="3411">
        <v>0.97</v>
      </c>
      <c r="E24" s="3411">
        <v>0.16</v>
      </c>
      <c r="F24" s="3411">
        <v>-0.25</v>
      </c>
      <c r="G24" s="3411">
        <v>1.1100000000000001</v>
      </c>
      <c r="H24" s="3412">
        <v>0.36</v>
      </c>
      <c r="I24" s="3413">
        <f t="shared" si="101"/>
        <v>-0.25</v>
      </c>
      <c r="J24" s="3370"/>
      <c r="K24" s="3371">
        <f t="shared" si="102"/>
        <v>9.7000000000000003E-3</v>
      </c>
      <c r="L24" s="3372">
        <f t="shared" si="102"/>
        <v>1.6000000000000001E-3</v>
      </c>
      <c r="M24" s="3372">
        <f>F24/100</f>
        <v>-2.5000000000000001E-3</v>
      </c>
      <c r="N24" s="3372">
        <f t="shared" si="102"/>
        <v>1.11E-2</v>
      </c>
      <c r="O24" s="3372">
        <f t="shared" si="102"/>
        <v>3.5999999999999999E-3</v>
      </c>
      <c r="P24" s="3372">
        <f t="shared" si="136"/>
        <v>-2.5000000000000001E-3</v>
      </c>
      <c r="Q24" s="3370"/>
      <c r="R24" s="3381">
        <v>1</v>
      </c>
      <c r="S24" s="3381">
        <v>1</v>
      </c>
      <c r="T24" s="3381">
        <v>1</v>
      </c>
      <c r="U24" s="3381">
        <v>1</v>
      </c>
      <c r="V24" s="3381">
        <v>1</v>
      </c>
      <c r="W24" s="3381">
        <f t="shared" si="137"/>
        <v>1</v>
      </c>
      <c r="X24" s="3370"/>
      <c r="Y24" s="3372">
        <f>IF(D24=0,0,ROUND(AVERAGE(D24:D24)/100,4))</f>
        <v>9.7000000000000003E-3</v>
      </c>
      <c r="Z24" s="3372">
        <f>IF(E24=0,0,ROUND(AVERAGE(E24:E24)/100,4))</f>
        <v>1.6000000000000001E-3</v>
      </c>
      <c r="AA24" s="3372">
        <f>IF(F24=0,0,ROUND(AVERAGE(F24:F24)/100,4))</f>
        <v>-2.5000000000000001E-3</v>
      </c>
      <c r="AB24" s="3372">
        <f>IF(G24=0,0,ROUND(AVERAGE(G24:G24)/100,4))</f>
        <v>1.11E-2</v>
      </c>
      <c r="AC24" s="3372">
        <f>IF(H24=0,0,ROUND(AVERAGE(H24:H24)/100,4))</f>
        <v>3.5999999999999999E-3</v>
      </c>
      <c r="AD24" s="3372">
        <f>AA24</f>
        <v>-2.5000000000000001E-3</v>
      </c>
      <c r="AF24" s="3680">
        <v>100</v>
      </c>
      <c r="AG24" s="3680">
        <v>100</v>
      </c>
      <c r="AH24" s="3680">
        <v>100</v>
      </c>
      <c r="AI24" s="3680">
        <v>100</v>
      </c>
      <c r="AJ24" s="3680">
        <v>100</v>
      </c>
      <c r="AK24" s="3680">
        <v>100</v>
      </c>
      <c r="AM24" s="3679">
        <f t="shared" si="57"/>
        <v>94.969194779895503</v>
      </c>
      <c r="AN24" s="3679">
        <f t="shared" si="58"/>
        <v>97.765381376893501</v>
      </c>
      <c r="AO24" s="3679">
        <f t="shared" si="59"/>
        <v>102.78968085474786</v>
      </c>
      <c r="AP24" s="3679">
        <f t="shared" si="60"/>
        <v>93.922516819686777</v>
      </c>
      <c r="AQ24" s="3679">
        <f t="shared" si="61"/>
        <v>91.78608446559538</v>
      </c>
      <c r="AR24" s="3679">
        <f t="shared" si="62"/>
        <v>102.78968085474786</v>
      </c>
    </row>
    <row r="25" spans="1:44" ht="14.25" thickTop="1">
      <c r="A25" s="3280"/>
      <c r="B25" s="3280"/>
      <c r="C25" s="3280"/>
      <c r="D25" s="3280"/>
      <c r="E25" s="3280"/>
      <c r="F25" s="3280"/>
      <c r="G25" s="3280"/>
      <c r="H25" s="3280"/>
      <c r="I25" s="3280"/>
      <c r="J25" s="3280"/>
      <c r="K25" s="3280"/>
      <c r="L25" s="3280"/>
      <c r="M25" s="3280"/>
      <c r="N25" s="3280"/>
      <c r="O25" s="3280"/>
      <c r="P25" s="3280"/>
      <c r="Q25" s="3280"/>
      <c r="R25" s="3280"/>
      <c r="S25" s="3280"/>
      <c r="T25" s="3280"/>
      <c r="U25" s="3280"/>
      <c r="V25" s="3280"/>
      <c r="W25" s="3280"/>
      <c r="X25" s="3280"/>
      <c r="Y25" s="3280"/>
      <c r="Z25" s="3280"/>
      <c r="AA25" s="3280"/>
      <c r="AB25" s="3280"/>
      <c r="AC25" s="3280"/>
      <c r="AD25" s="3280"/>
    </row>
    <row r="26" spans="1:44">
      <c r="A26" s="3661" t="s">
        <v>3266</v>
      </c>
      <c r="B26" s="3280"/>
      <c r="C26" s="3280"/>
      <c r="D26" s="3280"/>
      <c r="E26" s="3280"/>
      <c r="F26" s="3280"/>
      <c r="G26" s="3280"/>
      <c r="H26" s="3280"/>
      <c r="I26" s="3280"/>
      <c r="J26" s="3280"/>
      <c r="K26" s="3280"/>
      <c r="L26" s="3280"/>
      <c r="M26" s="3280"/>
      <c r="N26" s="3280"/>
      <c r="O26" s="3280"/>
      <c r="P26" s="3280"/>
      <c r="Q26" s="3280"/>
      <c r="R26" s="3280"/>
      <c r="S26" s="3280"/>
      <c r="T26" s="3280"/>
      <c r="U26" s="3280"/>
      <c r="V26" s="3280"/>
      <c r="W26" s="3280"/>
      <c r="X26" s="3280"/>
      <c r="Y26" s="3280"/>
      <c r="Z26" s="3280"/>
      <c r="AA26" s="3280"/>
      <c r="AB26" s="3280"/>
      <c r="AC26" s="3280"/>
      <c r="AD26" s="3280"/>
    </row>
    <row r="27" spans="1:44">
      <c r="A27" s="3280"/>
      <c r="B27" s="3280"/>
      <c r="C27" s="3280"/>
      <c r="D27" s="3280"/>
      <c r="E27" s="3280"/>
      <c r="F27" s="3280"/>
      <c r="G27" s="3280"/>
      <c r="H27" s="3280"/>
      <c r="I27" s="3373" t="s">
        <v>2796</v>
      </c>
      <c r="J27" s="3280"/>
      <c r="K27" s="3280"/>
      <c r="L27" s="3280"/>
      <c r="M27" s="3280"/>
      <c r="N27" s="3280"/>
      <c r="O27" s="3280"/>
      <c r="P27" s="3280"/>
      <c r="Q27" s="3280"/>
      <c r="R27" s="3280"/>
      <c r="S27" s="3280"/>
      <c r="T27" s="3280"/>
      <c r="U27" s="3280"/>
      <c r="V27" s="3280"/>
      <c r="W27" s="3280"/>
      <c r="X27" s="3280"/>
      <c r="Y27" s="3280"/>
      <c r="Z27" s="3280"/>
      <c r="AA27" s="3280"/>
      <c r="AB27" s="3280"/>
      <c r="AC27" s="3280"/>
      <c r="AD27" s="3280"/>
    </row>
    <row r="28" spans="1:44">
      <c r="A28" s="3280"/>
      <c r="B28" s="3280"/>
      <c r="C28" s="3280"/>
      <c r="D28" s="3280"/>
      <c r="E28" s="3280"/>
      <c r="F28" s="3280"/>
      <c r="G28" s="3280"/>
      <c r="H28" s="3280"/>
      <c r="I28" s="3280"/>
      <c r="J28" s="3280"/>
      <c r="K28" s="3280"/>
      <c r="L28" s="3280"/>
      <c r="M28" s="3280"/>
      <c r="N28" s="3280"/>
      <c r="O28" s="3280"/>
      <c r="P28" s="3280"/>
      <c r="Q28" s="3280"/>
      <c r="R28" s="3280"/>
      <c r="S28" s="3280"/>
      <c r="T28" s="3280"/>
      <c r="U28" s="3280"/>
      <c r="V28" s="3280"/>
      <c r="W28" s="3280"/>
      <c r="X28" s="3280"/>
      <c r="Y28" s="3280"/>
      <c r="Z28" s="3280"/>
      <c r="AA28" s="3280"/>
      <c r="AB28" s="3280"/>
      <c r="AC28" s="3280"/>
      <c r="AD28" s="3280"/>
    </row>
    <row r="29" spans="1:44">
      <c r="A29" s="3346"/>
      <c r="B29" s="3347" t="s">
        <v>3265</v>
      </c>
      <c r="C29" s="3348"/>
      <c r="D29" s="3348"/>
      <c r="E29" s="3348"/>
      <c r="F29" s="3348"/>
      <c r="G29" s="3348"/>
      <c r="H29" s="3348"/>
      <c r="I29" s="3348"/>
      <c r="J29" s="3349"/>
      <c r="K29" s="3348" t="s">
        <v>2789</v>
      </c>
      <c r="L29" s="3348"/>
      <c r="M29" s="3348"/>
      <c r="N29" s="3348"/>
      <c r="O29" s="3348"/>
      <c r="P29" s="3348"/>
      <c r="Q29" s="3349"/>
      <c r="R29" s="3965" t="s">
        <v>2804</v>
      </c>
      <c r="S29" s="3966"/>
      <c r="T29" s="3966"/>
      <c r="U29" s="3966"/>
      <c r="V29" s="3966"/>
      <c r="W29" s="3966"/>
      <c r="X29" s="3349"/>
      <c r="Y29" s="3965" t="s">
        <v>1925</v>
      </c>
      <c r="Z29" s="3966"/>
      <c r="AA29" s="3966"/>
      <c r="AB29" s="3966"/>
      <c r="AC29" s="3966"/>
      <c r="AD29" s="3966"/>
    </row>
    <row r="30" spans="1:44" ht="14.25" thickBot="1">
      <c r="A30" s="3340"/>
      <c r="B30" s="3350"/>
      <c r="C30" s="3351"/>
      <c r="D30" s="3352" t="s">
        <v>2791</v>
      </c>
      <c r="E30" s="3353" t="s">
        <v>2792</v>
      </c>
      <c r="F30" s="3353" t="s">
        <v>2793</v>
      </c>
      <c r="G30" s="3353" t="s">
        <v>1469</v>
      </c>
      <c r="H30" s="3353"/>
      <c r="I30" s="3353" t="s">
        <v>2737</v>
      </c>
      <c r="J30" s="3354"/>
      <c r="K30" s="3352" t="s">
        <v>2791</v>
      </c>
      <c r="L30" s="3353" t="s">
        <v>2792</v>
      </c>
      <c r="M30" s="3353" t="s">
        <v>2793</v>
      </c>
      <c r="N30" s="3353" t="s">
        <v>2794</v>
      </c>
      <c r="O30" s="3353"/>
      <c r="P30" s="3353" t="s">
        <v>2737</v>
      </c>
      <c r="Q30" s="3354"/>
      <c r="R30" s="3352" t="s">
        <v>2805</v>
      </c>
      <c r="S30" s="3353" t="s">
        <v>2806</v>
      </c>
      <c r="T30" s="3353" t="s">
        <v>2793</v>
      </c>
      <c r="U30" s="3353" t="s">
        <v>1469</v>
      </c>
      <c r="V30" s="3353"/>
      <c r="W30" s="3353" t="s">
        <v>2807</v>
      </c>
      <c r="X30" s="3354"/>
      <c r="Y30" s="3352" t="s">
        <v>2790</v>
      </c>
      <c r="Z30" s="3353" t="s">
        <v>2792</v>
      </c>
      <c r="AA30" s="3353" t="s">
        <v>2793</v>
      </c>
      <c r="AB30" s="3353" t="s">
        <v>1469</v>
      </c>
      <c r="AC30" s="3353"/>
      <c r="AD30" s="3353" t="s">
        <v>2810</v>
      </c>
      <c r="AG30" t="s">
        <v>2738</v>
      </c>
      <c r="AH30" t="s">
        <v>1212</v>
      </c>
      <c r="AI30" t="s">
        <v>851</v>
      </c>
      <c r="AK30" t="s">
        <v>2736</v>
      </c>
      <c r="AN30" t="s">
        <v>2738</v>
      </c>
      <c r="AO30" t="s">
        <v>1212</v>
      </c>
      <c r="AP30" t="s">
        <v>851</v>
      </c>
      <c r="AR30" t="s">
        <v>2736</v>
      </c>
    </row>
    <row r="31" spans="1:44">
      <c r="A31" s="3341" t="s">
        <v>2786</v>
      </c>
      <c r="B31" s="3355"/>
      <c r="C31" s="3356"/>
      <c r="D31" s="3356"/>
      <c r="E31" s="3356">
        <f>ROUND(AVERAGEIF(E32:E52,"&lt;&gt;0"),2)</f>
        <v>0.04</v>
      </c>
      <c r="F31" s="3356">
        <f>ROUND(AVERAGEIF(F32:F52,"&lt;&gt;0"),2)</f>
        <v>-7.0000000000000007E-2</v>
      </c>
      <c r="G31" s="3356">
        <f>ROUND(AVERAGEIF(G32:G52,"&lt;&gt;0"),2)</f>
        <v>0.2</v>
      </c>
      <c r="H31" s="3356"/>
      <c r="I31" s="3356">
        <f>F31</f>
        <v>-7.0000000000000007E-2</v>
      </c>
      <c r="J31" s="3357"/>
      <c r="K31" s="3358"/>
      <c r="L31" s="3359">
        <f>ROUND(AVERAGEIF(L32:L52,"&lt;&gt;0"),4)</f>
        <v>4.0000000000000002E-4</v>
      </c>
      <c r="M31" s="3359">
        <f>ROUND(AVERAGEIF(M32:M52,"&lt;&gt;0"),4)</f>
        <v>-6.9999999999999999E-4</v>
      </c>
      <c r="N31" s="3359">
        <f>ROUND(AVERAGEIF(N32:N52,"&lt;&gt;0"),4)</f>
        <v>2E-3</v>
      </c>
      <c r="O31" s="3359"/>
      <c r="P31" s="3359">
        <f>M31</f>
        <v>-6.9999999999999999E-4</v>
      </c>
      <c r="Q31" s="3357"/>
      <c r="R31" s="3374"/>
      <c r="S31" s="3375">
        <f>ROUND(SUMPRODUCT(PRODUCT(1+L32:L52)),4)</f>
        <v>1.0072000000000001</v>
      </c>
      <c r="T31" s="3375">
        <f>ROUND(SUMPRODUCT(PRODUCT(1+M32:M52)),4)</f>
        <v>0.98699999999999999</v>
      </c>
      <c r="U31" s="3375">
        <f>ROUND(SUMPRODUCT(PRODUCT(1+N32:N52)),4)</f>
        <v>1.0375000000000001</v>
      </c>
      <c r="V31" s="3375"/>
      <c r="W31" s="3374">
        <f>T31</f>
        <v>0.98699999999999999</v>
      </c>
      <c r="X31" s="3357"/>
      <c r="Y31" s="3382"/>
      <c r="Z31" s="3383">
        <f>ROUND(AVERAGEIF(Z32:Z52,"&lt;&gt;0"),4)</f>
        <v>3.2000000000000002E-3</v>
      </c>
      <c r="AA31" s="3384">
        <f>ROUND(AVERAGEIF(AA32:AA52,"&lt;&gt;0"),4)</f>
        <v>2.5000000000000001E-3</v>
      </c>
      <c r="AB31" s="3382">
        <f>ROUND(AVERAGEIF(AB32:AB52,"&lt;&gt;0"),4)</f>
        <v>6.1999999999999998E-3</v>
      </c>
      <c r="AC31" s="3385"/>
      <c r="AD31" s="3382">
        <f>AA31</f>
        <v>2.5000000000000001E-3</v>
      </c>
    </row>
    <row r="32" spans="1:44">
      <c r="A32" s="3342"/>
      <c r="B32" s="3360"/>
      <c r="C32" s="3361"/>
      <c r="D32" s="3361"/>
      <c r="E32" s="3361"/>
      <c r="F32" s="3361"/>
      <c r="G32" s="3361"/>
      <c r="H32" s="3361"/>
      <c r="I32" s="3361"/>
      <c r="J32" s="3349"/>
      <c r="K32" s="3362"/>
      <c r="L32" s="3363"/>
      <c r="M32" s="3363"/>
      <c r="N32" s="3363"/>
      <c r="O32" s="3363"/>
      <c r="P32" s="3363"/>
      <c r="Q32" s="3349"/>
      <c r="R32" s="3376"/>
      <c r="S32" s="3377"/>
      <c r="T32" s="3378"/>
      <c r="U32" s="3376"/>
      <c r="V32" s="3379"/>
      <c r="W32" s="3376"/>
      <c r="X32" s="3349"/>
      <c r="Y32" s="3366"/>
      <c r="Z32" s="3386"/>
      <c r="AA32" s="3387"/>
      <c r="AB32" s="3366"/>
      <c r="AC32" s="3388"/>
      <c r="AD32" s="3366"/>
    </row>
    <row r="33" spans="1:44">
      <c r="A33" s="3662" t="s">
        <v>3313</v>
      </c>
      <c r="B33" s="3402">
        <v>2025</v>
      </c>
      <c r="C33" s="3403">
        <v>4</v>
      </c>
      <c r="D33" s="3403"/>
      <c r="E33" s="3403">
        <v>0</v>
      </c>
      <c r="F33" s="3403">
        <v>0</v>
      </c>
      <c r="G33" s="3403">
        <v>0</v>
      </c>
      <c r="H33" s="3403"/>
      <c r="I33" s="3404">
        <f t="shared" ref="I33" si="138">F33</f>
        <v>0</v>
      </c>
      <c r="J33" s="3364"/>
      <c r="K33" s="3365"/>
      <c r="L33" s="3366">
        <f t="shared" ref="L33" si="139">E33/100</f>
        <v>0</v>
      </c>
      <c r="M33" s="3366">
        <f t="shared" ref="M33" si="140">F33/100</f>
        <v>0</v>
      </c>
      <c r="N33" s="3366">
        <f t="shared" ref="N33" si="141">G33/100</f>
        <v>0</v>
      </c>
      <c r="O33" s="3366"/>
      <c r="P33" s="3366">
        <f t="shared" ref="P33:P39" si="142">M33</f>
        <v>0</v>
      </c>
      <c r="Q33" s="3364"/>
      <c r="R33" s="3380"/>
      <c r="S33" s="3380">
        <f>ROUND(IF(项目基本情况!$B$8="出让",SUMPRODUCT(PRODUCT(1+L33:L$52)),SUMPRODUCT(PRODUCT(1+L33:L$51))),4)</f>
        <v>1.0037</v>
      </c>
      <c r="T33" s="3380">
        <f>ROUND(IF(项目基本情况!$B$8="出让",SUMPRODUCT(PRODUCT(1+M33:M$52)),SUMPRODUCT(PRODUCT(1+M33:M$51))),4)</f>
        <v>0.98229999999999995</v>
      </c>
      <c r="U33" s="3380">
        <f>ROUND(IF(项目基本情况!$B$8="出让",SUMPRODUCT(PRODUCT(1+N33:N$52)),SUMPRODUCT(PRODUCT(1+N33:N$51))),4)</f>
        <v>1.0274000000000001</v>
      </c>
      <c r="V33" s="3380"/>
      <c r="W33" s="3380">
        <f t="shared" ref="W33:W39" si="143">T33</f>
        <v>0.98229999999999995</v>
      </c>
      <c r="X33" s="3364"/>
      <c r="Y33" s="3389"/>
      <c r="Z33" s="3390">
        <f t="shared" ref="Z33" si="144">IF(E33=0,0,ROUND(AVERAGE(E33:E46)/100,4))</f>
        <v>0</v>
      </c>
      <c r="AA33" s="3390">
        <f t="shared" ref="AA33" si="145">IF(F33=0,0,ROUND(AVERAGE(F33:F46)/100,4))</f>
        <v>0</v>
      </c>
      <c r="AB33" s="3390">
        <f t="shared" ref="AB33" si="146">IF(G33=0,0,ROUND(AVERAGE(G33:G46)/100,4))</f>
        <v>0</v>
      </c>
      <c r="AC33" s="3391"/>
      <c r="AD33" s="3389">
        <f t="shared" ref="AD33:AD39" si="147">IF(I33=0,0,ROUND(AVERAGE(I33:I46)/100,4))</f>
        <v>0</v>
      </c>
      <c r="AG33" s="3679">
        <f t="shared" ref="AG33:AG36" si="148">$AG$52*S33</f>
        <v>100.37</v>
      </c>
      <c r="AH33" s="3679">
        <f t="shared" ref="AH33:AH36" si="149">$AH$52*T33</f>
        <v>98.22999999999999</v>
      </c>
      <c r="AI33" s="3679">
        <f t="shared" ref="AI33:AI36" si="150">$AI$52*U33</f>
        <v>102.74000000000001</v>
      </c>
      <c r="AJ33" s="3679"/>
      <c r="AK33" s="3679">
        <f t="shared" ref="AK33:AK36" si="151">$AK$52*W33</f>
        <v>98.22999999999999</v>
      </c>
      <c r="AN33" s="3678">
        <v>100</v>
      </c>
      <c r="AO33" s="3678">
        <v>100</v>
      </c>
      <c r="AP33" s="3678">
        <v>100</v>
      </c>
      <c r="AQ33" s="3678"/>
      <c r="AR33" s="3678">
        <v>100</v>
      </c>
    </row>
    <row r="34" spans="1:44">
      <c r="A34" s="3344" t="s">
        <v>3328</v>
      </c>
      <c r="B34" s="3405">
        <v>2025</v>
      </c>
      <c r="C34" s="3406">
        <v>3</v>
      </c>
      <c r="D34" s="3406"/>
      <c r="E34" s="3406">
        <v>-0.8</v>
      </c>
      <c r="F34" s="3406">
        <v>-1.45</v>
      </c>
      <c r="G34" s="3406">
        <v>-0.62</v>
      </c>
      <c r="H34" s="3407"/>
      <c r="I34" s="3408">
        <f t="shared" ref="I34" si="152">F34</f>
        <v>-1.45</v>
      </c>
      <c r="J34" s="3367"/>
      <c r="K34" s="3368"/>
      <c r="L34" s="3369">
        <f t="shared" ref="L34" si="153">E34/100</f>
        <v>-8.0000000000000002E-3</v>
      </c>
      <c r="M34" s="3369">
        <f t="shared" ref="M34" si="154">F34/100</f>
        <v>-1.4499999999999999E-2</v>
      </c>
      <c r="N34" s="3369">
        <f t="shared" ref="N34" si="155">G34/100</f>
        <v>-6.1999999999999998E-3</v>
      </c>
      <c r="O34" s="3369"/>
      <c r="P34" s="3369">
        <f t="shared" si="142"/>
        <v>-1.4499999999999999E-2</v>
      </c>
      <c r="Q34" s="3367"/>
      <c r="R34" s="3367"/>
      <c r="S34" s="3367">
        <f>ROUND(IF(项目基本情况!$B$8="出让",SUMPRODUCT(PRODUCT(1+L34:L$52)),SUMPRODUCT(PRODUCT(1+L34:L$51))),4)</f>
        <v>1.0037</v>
      </c>
      <c r="T34" s="3367">
        <f>ROUND(IF(项目基本情况!$B$8="出让",SUMPRODUCT(PRODUCT(1+M34:M$52)),SUMPRODUCT(PRODUCT(1+M34:M$51))),4)</f>
        <v>0.98229999999999995</v>
      </c>
      <c r="U34" s="3367">
        <f>ROUND(IF(项目基本情况!$B$8="出让",SUMPRODUCT(PRODUCT(1+N34:N$52)),SUMPRODUCT(PRODUCT(1+N34:N$51))),4)</f>
        <v>1.0274000000000001</v>
      </c>
      <c r="V34" s="3367"/>
      <c r="W34" s="3367">
        <f t="shared" si="143"/>
        <v>0.98229999999999995</v>
      </c>
      <c r="X34" s="3364"/>
      <c r="Y34" s="3389"/>
      <c r="Z34" s="3390">
        <f t="shared" ref="Z34" si="156">IF(E34=0,0,ROUND(AVERAGE(E34:E47)/100,4))</f>
        <v>-1.2999999999999999E-3</v>
      </c>
      <c r="AA34" s="3390">
        <f t="shared" ref="AA34" si="157">IF(F34=0,0,ROUND(AVERAGE(F34:F47)/100,4))</f>
        <v>-2.2000000000000001E-3</v>
      </c>
      <c r="AB34" s="3390">
        <f t="shared" ref="AB34" si="158">IF(G34=0,0,ROUND(AVERAGE(G34:G47)/100,4))</f>
        <v>-2.9999999999999997E-4</v>
      </c>
      <c r="AC34" s="3391"/>
      <c r="AD34" s="3389">
        <f t="shared" si="147"/>
        <v>-2.2000000000000001E-3</v>
      </c>
      <c r="AG34" s="3679">
        <f t="shared" si="148"/>
        <v>100.37</v>
      </c>
      <c r="AH34" s="3679">
        <f t="shared" si="149"/>
        <v>98.22999999999999</v>
      </c>
      <c r="AI34" s="3679">
        <f t="shared" si="150"/>
        <v>102.74000000000001</v>
      </c>
      <c r="AJ34" s="3679"/>
      <c r="AK34" s="3679">
        <f t="shared" si="151"/>
        <v>98.22999999999999</v>
      </c>
      <c r="AN34" s="3679">
        <f>AN33/(1+E33/100)</f>
        <v>100</v>
      </c>
      <c r="AO34" s="3679">
        <f t="shared" ref="AO34:AR34" si="159">AO33/(1+F33/100)</f>
        <v>100</v>
      </c>
      <c r="AP34" s="3679">
        <f t="shared" si="159"/>
        <v>100</v>
      </c>
      <c r="AQ34" s="3679"/>
      <c r="AR34" s="3679">
        <f t="shared" si="159"/>
        <v>100</v>
      </c>
    </row>
    <row r="35" spans="1:44">
      <c r="A35" s="3662" t="s">
        <v>3327</v>
      </c>
      <c r="B35" s="3402">
        <v>2025</v>
      </c>
      <c r="C35" s="3403">
        <v>2</v>
      </c>
      <c r="D35" s="3403"/>
      <c r="E35" s="3403">
        <v>-0.31</v>
      </c>
      <c r="F35" s="3403">
        <v>-1.03</v>
      </c>
      <c r="G35" s="3403">
        <v>0.03</v>
      </c>
      <c r="H35" s="3403"/>
      <c r="I35" s="3404">
        <f t="shared" ref="I35" si="160">F35</f>
        <v>-1.03</v>
      </c>
      <c r="J35" s="3364"/>
      <c r="K35" s="3365"/>
      <c r="L35" s="3366">
        <f t="shared" ref="L35" si="161">E35/100</f>
        <v>-3.0999999999999999E-3</v>
      </c>
      <c r="M35" s="3366">
        <f t="shared" ref="M35" si="162">F35/100</f>
        <v>-1.03E-2</v>
      </c>
      <c r="N35" s="3366">
        <f t="shared" ref="N35" si="163">G35/100</f>
        <v>2.9999999999999997E-4</v>
      </c>
      <c r="O35" s="3366"/>
      <c r="P35" s="3366">
        <f t="shared" si="142"/>
        <v>-1.03E-2</v>
      </c>
      <c r="Q35" s="3364"/>
      <c r="R35" s="3380"/>
      <c r="S35" s="3380">
        <f>ROUND(IF(项目基本情况!$B$8="出让",SUMPRODUCT(PRODUCT(1+L35:L$52)),SUMPRODUCT(PRODUCT(1+L35:L$51))),4)</f>
        <v>1.0118</v>
      </c>
      <c r="T35" s="3380">
        <f>ROUND(IF(项目基本情况!$B$8="出让",SUMPRODUCT(PRODUCT(1+M35:M$52)),SUMPRODUCT(PRODUCT(1+M35:M$51))),4)</f>
        <v>0.99680000000000002</v>
      </c>
      <c r="U35" s="3380">
        <f>ROUND(IF(项目基本情况!$B$8="出让",SUMPRODUCT(PRODUCT(1+N35:N$52)),SUMPRODUCT(PRODUCT(1+N35:N$51))),4)</f>
        <v>1.0338000000000001</v>
      </c>
      <c r="V35" s="3380"/>
      <c r="W35" s="3380">
        <f t="shared" si="143"/>
        <v>0.99680000000000002</v>
      </c>
      <c r="X35" s="3364"/>
      <c r="Y35" s="3389"/>
      <c r="Z35" s="3390">
        <f t="shared" ref="Z35" si="164">IF(E35=0,0,ROUND(AVERAGE(E35:E48)/100,4))</f>
        <v>-2.9999999999999997E-4</v>
      </c>
      <c r="AA35" s="3390">
        <f t="shared" ref="AA35" si="165">IF(F35=0,0,ROUND(AVERAGE(F35:F48)/100,4))</f>
        <v>-8.0000000000000004E-4</v>
      </c>
      <c r="AB35" s="3390">
        <f t="shared" ref="AB35" si="166">IF(G35=0,0,ROUND(AVERAGE(G35:G48)/100,4))</f>
        <v>5.0000000000000001E-4</v>
      </c>
      <c r="AC35" s="3391"/>
      <c r="AD35" s="3389">
        <f t="shared" si="147"/>
        <v>-8.0000000000000004E-4</v>
      </c>
      <c r="AG35" s="3679">
        <f t="shared" si="148"/>
        <v>101.18</v>
      </c>
      <c r="AH35" s="3679">
        <f t="shared" si="149"/>
        <v>99.68</v>
      </c>
      <c r="AI35" s="3679">
        <f t="shared" si="150"/>
        <v>103.38000000000001</v>
      </c>
      <c r="AJ35" s="3679"/>
      <c r="AK35" s="3679">
        <f t="shared" si="151"/>
        <v>99.68</v>
      </c>
      <c r="AN35" s="3679">
        <f t="shared" ref="AN35:AN52" si="167">AN34/(1+E34/100)</f>
        <v>100.80645161290323</v>
      </c>
      <c r="AO35" s="3679">
        <f t="shared" ref="AO35:AO52" si="168">AO34/(1+F34/100)</f>
        <v>101.47133434804667</v>
      </c>
      <c r="AP35" s="3679">
        <f t="shared" ref="AP35:AP52" si="169">AP34/(1+G34/100)</f>
        <v>100.6238679814852</v>
      </c>
      <c r="AQ35" s="3679"/>
      <c r="AR35" s="3679">
        <f t="shared" ref="AR35:AR52" si="170">AR34/(1+I34/100)</f>
        <v>101.47133434804667</v>
      </c>
    </row>
    <row r="36" spans="1:44">
      <c r="A36" s="3662" t="s">
        <v>3261</v>
      </c>
      <c r="B36" s="3402">
        <v>2025</v>
      </c>
      <c r="C36" s="3403">
        <v>1</v>
      </c>
      <c r="D36" s="3403"/>
      <c r="E36" s="3403">
        <v>-1.47</v>
      </c>
      <c r="F36" s="3403">
        <v>-0.98</v>
      </c>
      <c r="G36" s="3403">
        <v>-0.51</v>
      </c>
      <c r="H36" s="3403"/>
      <c r="I36" s="3404">
        <f t="shared" ref="I36" si="171">F36</f>
        <v>-0.98</v>
      </c>
      <c r="J36" s="3364"/>
      <c r="K36" s="3365"/>
      <c r="L36" s="3366">
        <f t="shared" ref="L36" si="172">E36/100</f>
        <v>-1.47E-2</v>
      </c>
      <c r="M36" s="3366">
        <f t="shared" ref="M36" si="173">F36/100</f>
        <v>-9.7999999999999997E-3</v>
      </c>
      <c r="N36" s="3366">
        <f t="shared" ref="N36" si="174">G36/100</f>
        <v>-5.1000000000000004E-3</v>
      </c>
      <c r="O36" s="3366"/>
      <c r="P36" s="3366">
        <f t="shared" si="142"/>
        <v>-9.7999999999999997E-3</v>
      </c>
      <c r="Q36" s="3364"/>
      <c r="R36" s="3380"/>
      <c r="S36" s="3380">
        <f>ROUND(IF(项目基本情况!$B$8="出让",SUMPRODUCT(PRODUCT(1+L36:L$52)),SUMPRODUCT(PRODUCT(1+L36:L$51))),4)</f>
        <v>1.0148999999999999</v>
      </c>
      <c r="T36" s="3380">
        <f>ROUND(IF(项目基本情况!$B$8="出让",SUMPRODUCT(PRODUCT(1+M36:M$52)),SUMPRODUCT(PRODUCT(1+M36:M$51))),4)</f>
        <v>1.0072000000000001</v>
      </c>
      <c r="U36" s="3380">
        <f>ROUND(IF(项目基本情况!$B$8="出让",SUMPRODUCT(PRODUCT(1+N36:N$52)),SUMPRODUCT(PRODUCT(1+N36:N$51))),4)</f>
        <v>1.0335000000000001</v>
      </c>
      <c r="V36" s="3380"/>
      <c r="W36" s="3380">
        <f t="shared" si="143"/>
        <v>1.0072000000000001</v>
      </c>
      <c r="X36" s="3364"/>
      <c r="Y36" s="3389"/>
      <c r="Z36" s="3390">
        <f t="shared" ref="Z36" si="175">IF(E36=0,0,ROUND(AVERAGE(E36:E49)/100,4))</f>
        <v>4.0000000000000002E-4</v>
      </c>
      <c r="AA36" s="3390">
        <f t="shared" ref="AA36" si="176">IF(F36=0,0,ROUND(AVERAGE(F36:F49)/100,4))</f>
        <v>0</v>
      </c>
      <c r="AB36" s="3390">
        <f t="shared" ref="AB36" si="177">IF(G36=0,0,ROUND(AVERAGE(G36:G49)/100,4))</f>
        <v>1E-3</v>
      </c>
      <c r="AC36" s="3391"/>
      <c r="AD36" s="3389">
        <f t="shared" si="147"/>
        <v>0</v>
      </c>
      <c r="AG36" s="3679">
        <f t="shared" si="148"/>
        <v>101.49</v>
      </c>
      <c r="AH36" s="3679">
        <f t="shared" si="149"/>
        <v>100.72000000000001</v>
      </c>
      <c r="AI36" s="3679">
        <f t="shared" si="150"/>
        <v>103.35000000000001</v>
      </c>
      <c r="AJ36" s="3679"/>
      <c r="AK36" s="3679">
        <f t="shared" si="151"/>
        <v>100.72000000000001</v>
      </c>
      <c r="AN36" s="3679">
        <f t="shared" si="167"/>
        <v>101.11992337536687</v>
      </c>
      <c r="AO36" s="3679">
        <f t="shared" si="168"/>
        <v>102.52736622011383</v>
      </c>
      <c r="AP36" s="3679">
        <f t="shared" si="169"/>
        <v>100.59368987452285</v>
      </c>
      <c r="AQ36" s="3679"/>
      <c r="AR36" s="3679">
        <f t="shared" si="170"/>
        <v>102.52736622011383</v>
      </c>
    </row>
    <row r="37" spans="1:44">
      <c r="A37" s="3662" t="s">
        <v>3314</v>
      </c>
      <c r="B37" s="3402">
        <v>2024</v>
      </c>
      <c r="C37" s="3403">
        <v>4</v>
      </c>
      <c r="D37" s="3403"/>
      <c r="E37" s="3403">
        <v>-0.61</v>
      </c>
      <c r="F37" s="3403">
        <v>-0.71</v>
      </c>
      <c r="G37" s="3403">
        <v>-0.88</v>
      </c>
      <c r="H37" s="3403"/>
      <c r="I37" s="3404">
        <f t="shared" ref="I37" si="178">F37</f>
        <v>-0.71</v>
      </c>
      <c r="J37" s="3364"/>
      <c r="K37" s="3365"/>
      <c r="L37" s="3366">
        <f t="shared" ref="L37" si="179">E37/100</f>
        <v>-6.0999999999999995E-3</v>
      </c>
      <c r="M37" s="3366">
        <f t="shared" ref="M37" si="180">F37/100</f>
        <v>-7.0999999999999995E-3</v>
      </c>
      <c r="N37" s="3366">
        <f t="shared" ref="N37" si="181">G37/100</f>
        <v>-8.8000000000000005E-3</v>
      </c>
      <c r="O37" s="3366"/>
      <c r="P37" s="3366">
        <f t="shared" si="142"/>
        <v>-7.0999999999999995E-3</v>
      </c>
      <c r="Q37" s="3364"/>
      <c r="R37" s="3380"/>
      <c r="S37" s="3380">
        <f>ROUND(IF(项目基本情况!$B$8="出让",SUMPRODUCT(PRODUCT(1+L37:L$52)),SUMPRODUCT(PRODUCT(1+L37:L$51))),4)</f>
        <v>1.0301</v>
      </c>
      <c r="T37" s="3380">
        <f>ROUND(IF(项目基本情况!$B$8="出让",SUMPRODUCT(PRODUCT(1+M37:M$52)),SUMPRODUCT(PRODUCT(1+M37:M$51))),4)</f>
        <v>1.0170999999999999</v>
      </c>
      <c r="U37" s="3380">
        <f>ROUND(IF(项目基本情况!$B$8="出让",SUMPRODUCT(PRODUCT(1+N37:N$52)),SUMPRODUCT(PRODUCT(1+N37:N$51))),4)</f>
        <v>1.0387999999999999</v>
      </c>
      <c r="V37" s="3380"/>
      <c r="W37" s="3380">
        <f t="shared" si="143"/>
        <v>1.0170999999999999</v>
      </c>
      <c r="X37" s="3367"/>
      <c r="Y37" s="3369"/>
      <c r="Z37" s="3393">
        <f t="shared" ref="Z37" si="182">IF(E37=0,0,ROUND(AVERAGE(E37:E50)/100,4))</f>
        <v>1.6999999999999999E-3</v>
      </c>
      <c r="AA37" s="3394">
        <f t="shared" ref="AA37" si="183">IF(F37=0,0,ROUND(AVERAGE(F37:F50)/100,4))</f>
        <v>8.9999999999999998E-4</v>
      </c>
      <c r="AB37" s="3369">
        <f t="shared" ref="AB37" si="184">IF(G37=0,0,ROUND(AVERAGE(G37:G50)/100,4))</f>
        <v>2E-3</v>
      </c>
      <c r="AC37" s="3395"/>
      <c r="AD37" s="3369">
        <f t="shared" si="147"/>
        <v>8.9999999999999998E-4</v>
      </c>
      <c r="AG37" s="3679">
        <f t="shared" ref="AG37:AG51" si="185">$AG$52*S37</f>
        <v>103.01</v>
      </c>
      <c r="AH37" s="3679">
        <f t="shared" ref="AH37:AH51" si="186">$AH$52*T37</f>
        <v>101.71</v>
      </c>
      <c r="AI37" s="3679">
        <f t="shared" ref="AI37:AI51" si="187">$AI$52*U37</f>
        <v>103.88</v>
      </c>
      <c r="AJ37" s="3679"/>
      <c r="AK37" s="3679">
        <f t="shared" ref="AK37:AK51" si="188">$AK$52*W37</f>
        <v>101.71</v>
      </c>
      <c r="AN37" s="3679">
        <f t="shared" si="167"/>
        <v>102.62856325521858</v>
      </c>
      <c r="AO37" s="3679">
        <f t="shared" si="168"/>
        <v>103.54207859029877</v>
      </c>
      <c r="AP37" s="3679">
        <f t="shared" si="169"/>
        <v>101.10934754701262</v>
      </c>
      <c r="AQ37" s="3679"/>
      <c r="AR37" s="3679">
        <f t="shared" si="170"/>
        <v>103.54207859029877</v>
      </c>
    </row>
    <row r="38" spans="1:44">
      <c r="A38" s="3662" t="s">
        <v>3257</v>
      </c>
      <c r="B38" s="3402">
        <v>2024</v>
      </c>
      <c r="C38" s="3403">
        <v>3</v>
      </c>
      <c r="D38" s="3403"/>
      <c r="E38" s="3403">
        <v>-0.66</v>
      </c>
      <c r="F38" s="3403">
        <v>-0.52</v>
      </c>
      <c r="G38" s="3403">
        <v>-2.87</v>
      </c>
      <c r="H38" s="3403"/>
      <c r="I38" s="3404">
        <f t="shared" ref="I38" si="189">F38</f>
        <v>-0.52</v>
      </c>
      <c r="J38" s="3364"/>
      <c r="K38" s="3365"/>
      <c r="L38" s="3366">
        <f t="shared" ref="L38" si="190">E38/100</f>
        <v>-6.6E-3</v>
      </c>
      <c r="M38" s="3366">
        <f t="shared" ref="M38" si="191">F38/100</f>
        <v>-5.1999999999999998E-3</v>
      </c>
      <c r="N38" s="3366">
        <f t="shared" ref="N38" si="192">G38/100</f>
        <v>-2.87E-2</v>
      </c>
      <c r="O38" s="3366"/>
      <c r="P38" s="3366">
        <f t="shared" si="142"/>
        <v>-5.1999999999999998E-3</v>
      </c>
      <c r="Q38" s="3364"/>
      <c r="R38" s="3380"/>
      <c r="S38" s="3380">
        <f>ROUND(IF(项目基本情况!$B$8="出让",SUMPRODUCT(PRODUCT(1+L38:L$52)),SUMPRODUCT(PRODUCT(1+L38:L$51))),4)</f>
        <v>1.0364</v>
      </c>
      <c r="T38" s="3380">
        <f>ROUND(IF(项目基本情况!$B$8="出让",SUMPRODUCT(PRODUCT(1+M38:M$52)),SUMPRODUCT(PRODUCT(1+M38:M$51))),4)</f>
        <v>1.0244</v>
      </c>
      <c r="U38" s="3380">
        <f>ROUND(IF(项目基本情况!$B$8="出让",SUMPRODUCT(PRODUCT(1+N38:N$52)),SUMPRODUCT(PRODUCT(1+N38:N$51))),4)</f>
        <v>1.048</v>
      </c>
      <c r="V38" s="3380"/>
      <c r="W38" s="3380">
        <f t="shared" si="143"/>
        <v>1.0244</v>
      </c>
      <c r="X38" s="3364"/>
      <c r="Y38" s="3389"/>
      <c r="Z38" s="3390">
        <f t="shared" ref="Z38:AB39" si="193">IF(E38=0,0,ROUND(AVERAGE(E38:E51)/100,4))</f>
        <v>2.5999999999999999E-3</v>
      </c>
      <c r="AA38" s="3390">
        <f t="shared" si="193"/>
        <v>1.6999999999999999E-3</v>
      </c>
      <c r="AB38" s="3390">
        <f t="shared" si="193"/>
        <v>3.3999999999999998E-3</v>
      </c>
      <c r="AC38" s="3391"/>
      <c r="AD38" s="3389">
        <f t="shared" si="147"/>
        <v>1.6999999999999999E-3</v>
      </c>
      <c r="AG38" s="3679">
        <f t="shared" si="185"/>
        <v>103.64</v>
      </c>
      <c r="AH38" s="3679">
        <f t="shared" si="186"/>
        <v>102.44</v>
      </c>
      <c r="AI38" s="3679">
        <f t="shared" si="187"/>
        <v>104.80000000000001</v>
      </c>
      <c r="AJ38" s="3679"/>
      <c r="AK38" s="3679">
        <f t="shared" si="188"/>
        <v>102.44</v>
      </c>
      <c r="AN38" s="3679">
        <f t="shared" si="167"/>
        <v>103.25843973761805</v>
      </c>
      <c r="AO38" s="3679">
        <f t="shared" si="168"/>
        <v>104.28248422831984</v>
      </c>
      <c r="AP38" s="3679">
        <f t="shared" si="169"/>
        <v>102.00700922822097</v>
      </c>
      <c r="AQ38" s="3679"/>
      <c r="AR38" s="3679">
        <f t="shared" si="170"/>
        <v>104.28248422831984</v>
      </c>
    </row>
    <row r="39" spans="1:44">
      <c r="A39" s="3343" t="s">
        <v>3263</v>
      </c>
      <c r="B39" s="3402">
        <v>2024</v>
      </c>
      <c r="C39" s="3403">
        <v>2</v>
      </c>
      <c r="D39" s="3403"/>
      <c r="E39" s="3403">
        <v>-0.31</v>
      </c>
      <c r="F39" s="3403">
        <v>-0.39</v>
      </c>
      <c r="G39" s="3403">
        <v>1.23</v>
      </c>
      <c r="H39" s="3409"/>
      <c r="I39" s="3404">
        <f t="shared" ref="I39:I52" si="194">F39</f>
        <v>-0.39</v>
      </c>
      <c r="J39" s="3364"/>
      <c r="K39" s="3365"/>
      <c r="L39" s="3366">
        <f t="shared" ref="L39:N52" si="195">E39/100</f>
        <v>-3.0999999999999999E-3</v>
      </c>
      <c r="M39" s="3366">
        <f t="shared" si="195"/>
        <v>-3.9000000000000003E-3</v>
      </c>
      <c r="N39" s="3366">
        <f t="shared" si="195"/>
        <v>1.23E-2</v>
      </c>
      <c r="O39" s="3366"/>
      <c r="P39" s="3366">
        <f t="shared" si="142"/>
        <v>-3.9000000000000003E-3</v>
      </c>
      <c r="Q39" s="3364"/>
      <c r="R39" s="3380"/>
      <c r="S39" s="3380">
        <f>ROUND(IF(项目基本情况!$B$8="出让",SUMPRODUCT(PRODUCT(1+L39:L$52)),SUMPRODUCT(PRODUCT(1+L39:L$51))),4)</f>
        <v>1.0432999999999999</v>
      </c>
      <c r="T39" s="3380">
        <f>ROUND(IF(项目基本情况!$B$8="出让",SUMPRODUCT(PRODUCT(1+M39:M$52)),SUMPRODUCT(PRODUCT(1+M39:M$51))),4)</f>
        <v>1.0298</v>
      </c>
      <c r="U39" s="3380">
        <f>ROUND(IF(项目基本情况!$B$8="出让",SUMPRODUCT(PRODUCT(1+N39:N$52)),SUMPRODUCT(PRODUCT(1+N39:N$51))),4)</f>
        <v>1.079</v>
      </c>
      <c r="V39" s="3380"/>
      <c r="W39" s="3380">
        <f t="shared" si="143"/>
        <v>1.0298</v>
      </c>
      <c r="X39" s="3364"/>
      <c r="Y39" s="3389"/>
      <c r="Z39" s="3390">
        <f t="shared" si="193"/>
        <v>3.3E-3</v>
      </c>
      <c r="AA39" s="3392">
        <f t="shared" si="193"/>
        <v>2.3999999999999998E-3</v>
      </c>
      <c r="AB39" s="3389">
        <f t="shared" si="193"/>
        <v>6.1999999999999998E-3</v>
      </c>
      <c r="AC39" s="3391"/>
      <c r="AD39" s="3389">
        <f t="shared" si="147"/>
        <v>2.3999999999999998E-3</v>
      </c>
      <c r="AG39" s="3679">
        <f t="shared" si="185"/>
        <v>104.32999999999998</v>
      </c>
      <c r="AH39" s="3679">
        <f t="shared" si="186"/>
        <v>102.98</v>
      </c>
      <c r="AI39" s="3679">
        <f t="shared" si="187"/>
        <v>107.89999999999999</v>
      </c>
      <c r="AJ39" s="3679"/>
      <c r="AK39" s="3679">
        <f t="shared" si="188"/>
        <v>102.98</v>
      </c>
      <c r="AN39" s="3679">
        <f t="shared" si="167"/>
        <v>103.94447326114158</v>
      </c>
      <c r="AO39" s="3679">
        <f t="shared" si="168"/>
        <v>104.82758768427809</v>
      </c>
      <c r="AP39" s="3679">
        <f t="shared" si="169"/>
        <v>105.02111523547921</v>
      </c>
      <c r="AQ39" s="3679"/>
      <c r="AR39" s="3679">
        <f t="shared" si="170"/>
        <v>104.82758768427809</v>
      </c>
    </row>
    <row r="40" spans="1:44">
      <c r="A40" s="3343" t="s">
        <v>3260</v>
      </c>
      <c r="B40" s="3402">
        <v>2024</v>
      </c>
      <c r="C40" s="3403">
        <v>1</v>
      </c>
      <c r="D40" s="3403"/>
      <c r="E40" s="3403">
        <v>0.25</v>
      </c>
      <c r="F40" s="3403">
        <v>0.4</v>
      </c>
      <c r="G40" s="3403">
        <v>-0.63</v>
      </c>
      <c r="H40" s="3409"/>
      <c r="I40" s="3404">
        <f t="shared" si="194"/>
        <v>0.4</v>
      </c>
      <c r="J40" s="3364"/>
      <c r="K40" s="3365"/>
      <c r="L40" s="3366">
        <f t="shared" ref="L40" si="196">E40/100</f>
        <v>2.5000000000000001E-3</v>
      </c>
      <c r="M40" s="3366">
        <f t="shared" ref="M40" si="197">F40/100</f>
        <v>4.0000000000000001E-3</v>
      </c>
      <c r="N40" s="3366">
        <f t="shared" ref="N40" si="198">G40/100</f>
        <v>-6.3E-3</v>
      </c>
      <c r="O40" s="3366"/>
      <c r="P40" s="3366">
        <f t="shared" ref="P40" si="199">M40</f>
        <v>4.0000000000000001E-3</v>
      </c>
      <c r="Q40" s="3364"/>
      <c r="R40" s="3380"/>
      <c r="S40" s="3380">
        <f>ROUND(IF(项目基本情况!$B$8="出让",SUMPRODUCT(PRODUCT(1+L40:L$52)),SUMPRODUCT(PRODUCT(1+L40:L$51))),4)</f>
        <v>1.0465</v>
      </c>
      <c r="T40" s="3380">
        <f>ROUND(IF(项目基本情况!$B$8="出让",SUMPRODUCT(PRODUCT(1+M40:M$52)),SUMPRODUCT(PRODUCT(1+M40:M$51))),4)</f>
        <v>1.0338000000000001</v>
      </c>
      <c r="U40" s="3380">
        <f>ROUND(IF(项目基本情况!$B$8="出让",SUMPRODUCT(PRODUCT(1+N40:N$52)),SUMPRODUCT(PRODUCT(1+N40:N$51))),4)</f>
        <v>1.0659000000000001</v>
      </c>
      <c r="V40" s="3380"/>
      <c r="W40" s="3380">
        <f t="shared" ref="W40" si="200">T40</f>
        <v>1.0338000000000001</v>
      </c>
      <c r="X40" s="3364"/>
      <c r="Y40" s="3389"/>
      <c r="Z40" s="3390">
        <f t="shared" ref="Z40" si="201">IF(E40=0,0,ROUND(AVERAGE(E40:E51)/100,4))</f>
        <v>3.8E-3</v>
      </c>
      <c r="AA40" s="3392">
        <f t="shared" ref="AA40" si="202">IF(F40=0,0,ROUND(AVERAGE(F40:F51)/100,4))</f>
        <v>2.8E-3</v>
      </c>
      <c r="AB40" s="3389">
        <f t="shared" ref="AB40" si="203">IF(G40=0,0,ROUND(AVERAGE(G40:G51)/100,4))</f>
        <v>5.3E-3</v>
      </c>
      <c r="AC40" s="3391"/>
      <c r="AD40" s="3389">
        <f t="shared" ref="AD40" si="204">IF(I40=0,0,ROUND(AVERAGE(I40:I51)/100,4))</f>
        <v>2.8E-3</v>
      </c>
      <c r="AG40" s="3679">
        <f t="shared" si="185"/>
        <v>104.65</v>
      </c>
      <c r="AH40" s="3679">
        <f t="shared" si="186"/>
        <v>103.38000000000001</v>
      </c>
      <c r="AI40" s="3679">
        <f t="shared" si="187"/>
        <v>106.59</v>
      </c>
      <c r="AJ40" s="3679"/>
      <c r="AK40" s="3679">
        <f t="shared" si="188"/>
        <v>103.38000000000001</v>
      </c>
      <c r="AN40" s="3679">
        <f t="shared" si="167"/>
        <v>104.2677031408783</v>
      </c>
      <c r="AO40" s="3679">
        <f t="shared" si="168"/>
        <v>105.23801594646932</v>
      </c>
      <c r="AP40" s="3679">
        <f t="shared" si="169"/>
        <v>103.74505110686478</v>
      </c>
      <c r="AQ40" s="3679"/>
      <c r="AR40" s="3679">
        <f t="shared" si="170"/>
        <v>105.23801594646932</v>
      </c>
    </row>
    <row r="41" spans="1:44">
      <c r="A41" s="3343" t="s">
        <v>3255</v>
      </c>
      <c r="B41" s="3402">
        <v>2023</v>
      </c>
      <c r="C41" s="3403">
        <v>4</v>
      </c>
      <c r="D41" s="3403"/>
      <c r="E41" s="3403">
        <v>7.0000000000000007E-2</v>
      </c>
      <c r="F41" s="3403">
        <v>0.09</v>
      </c>
      <c r="G41" s="3403">
        <v>0.03</v>
      </c>
      <c r="H41" s="3409"/>
      <c r="I41" s="3404">
        <f t="shared" ref="I41" si="205">F41</f>
        <v>0.09</v>
      </c>
      <c r="J41" s="3364"/>
      <c r="K41" s="3365"/>
      <c r="L41" s="3366">
        <f t="shared" si="195"/>
        <v>7.000000000000001E-4</v>
      </c>
      <c r="M41" s="3366">
        <f t="shared" si="195"/>
        <v>8.9999999999999998E-4</v>
      </c>
      <c r="N41" s="3366">
        <f t="shared" si="195"/>
        <v>2.9999999999999997E-4</v>
      </c>
      <c r="O41" s="3366"/>
      <c r="P41" s="3366">
        <f t="shared" ref="P41" si="206">M41</f>
        <v>8.9999999999999998E-4</v>
      </c>
      <c r="Q41" s="3364"/>
      <c r="R41" s="3380"/>
      <c r="S41" s="3380">
        <f>ROUND(IF(项目基本情况!$B$8="出让",SUMPRODUCT(PRODUCT(1+L41:L$52)),SUMPRODUCT(PRODUCT(1+L41:L$51))),4)</f>
        <v>1.0439000000000001</v>
      </c>
      <c r="T41" s="3380">
        <f>ROUND(IF(项目基本情况!$B$8="出让",SUMPRODUCT(PRODUCT(1+M41:M$52)),SUMPRODUCT(PRODUCT(1+M41:M$51))),4)</f>
        <v>1.0297000000000001</v>
      </c>
      <c r="U41" s="3380">
        <f>ROUND(IF(项目基本情况!$B$8="出让",SUMPRODUCT(PRODUCT(1+N41:N$52)),SUMPRODUCT(PRODUCT(1+N41:N$51))),4)</f>
        <v>1.0727</v>
      </c>
      <c r="V41" s="3380"/>
      <c r="W41" s="3380">
        <f t="shared" ref="W41" si="207">T41</f>
        <v>1.0297000000000001</v>
      </c>
      <c r="X41" s="3364"/>
      <c r="Y41" s="3389"/>
      <c r="Z41" s="3390">
        <f t="shared" ref="Z41" si="208">IF(E41=0,0,ROUND(AVERAGE(E41:E52)/100,4))</f>
        <v>3.8999999999999998E-3</v>
      </c>
      <c r="AA41" s="3392">
        <f t="shared" ref="AA41" si="209">IF(F41=0,0,ROUND(AVERAGE(F41:F52)/100,4))</f>
        <v>2.8E-3</v>
      </c>
      <c r="AB41" s="3389">
        <f t="shared" ref="AB41" si="210">IF(G41=0,0,ROUND(AVERAGE(G41:G52)/100,4))</f>
        <v>6.7000000000000002E-3</v>
      </c>
      <c r="AC41" s="3391"/>
      <c r="AD41" s="3389">
        <f t="shared" ref="AD41" si="211">IF(I41=0,0,ROUND(AVERAGE(I41:I52)/100,4))</f>
        <v>2.8E-3</v>
      </c>
      <c r="AG41" s="3679">
        <f t="shared" si="185"/>
        <v>104.39</v>
      </c>
      <c r="AH41" s="3679">
        <f t="shared" si="186"/>
        <v>102.97</v>
      </c>
      <c r="AI41" s="3679">
        <f t="shared" si="187"/>
        <v>107.27</v>
      </c>
      <c r="AJ41" s="3679"/>
      <c r="AK41" s="3679">
        <f t="shared" si="188"/>
        <v>102.97</v>
      </c>
      <c r="AN41" s="3679">
        <f t="shared" si="167"/>
        <v>104.00768393105068</v>
      </c>
      <c r="AO41" s="3679">
        <f t="shared" si="168"/>
        <v>104.81874098253915</v>
      </c>
      <c r="AP41" s="3679">
        <f t="shared" si="169"/>
        <v>104.40278867552055</v>
      </c>
      <c r="AQ41" s="3679"/>
      <c r="AR41" s="3679">
        <f t="shared" si="170"/>
        <v>104.81874098253915</v>
      </c>
    </row>
    <row r="42" spans="1:44">
      <c r="A42" s="3343" t="s">
        <v>3253</v>
      </c>
      <c r="B42" s="3402">
        <v>2023</v>
      </c>
      <c r="C42" s="3403">
        <v>3</v>
      </c>
      <c r="D42" s="3403"/>
      <c r="E42" s="3403">
        <v>0.35</v>
      </c>
      <c r="F42" s="3403">
        <v>0.17</v>
      </c>
      <c r="G42" s="3403">
        <v>0.52</v>
      </c>
      <c r="H42" s="3409"/>
      <c r="I42" s="3404">
        <f t="shared" si="194"/>
        <v>0.17</v>
      </c>
      <c r="J42" s="3364"/>
      <c r="K42" s="3365"/>
      <c r="L42" s="3366">
        <f t="shared" ref="L42:L44" si="212">E42/100</f>
        <v>3.4999999999999996E-3</v>
      </c>
      <c r="M42" s="3366">
        <f t="shared" ref="M42:M44" si="213">F42/100</f>
        <v>1.7000000000000001E-3</v>
      </c>
      <c r="N42" s="3366">
        <f t="shared" ref="N42:N44" si="214">G42/100</f>
        <v>5.1999999999999998E-3</v>
      </c>
      <c r="O42" s="3366"/>
      <c r="P42" s="3366">
        <f t="shared" ref="P42:P44" si="215">M42</f>
        <v>1.7000000000000001E-3</v>
      </c>
      <c r="Q42" s="3364"/>
      <c r="R42" s="3380"/>
      <c r="S42" s="3380">
        <f>ROUND(IF(项目基本情况!$B$8="出让",SUMPRODUCT(PRODUCT(1+L42:L$52)),SUMPRODUCT(PRODUCT(1+L42:L$51))),4)</f>
        <v>1.0431999999999999</v>
      </c>
      <c r="T42" s="3380">
        <f>ROUND(IF(项目基本情况!$B$8="出让",SUMPRODUCT(PRODUCT(1+M42:M$52)),SUMPRODUCT(PRODUCT(1+M42:M$51))),4)</f>
        <v>1.0286999999999999</v>
      </c>
      <c r="U42" s="3380">
        <f>ROUND(IF(项目基本情况!$B$8="出让",SUMPRODUCT(PRODUCT(1+N42:N$52)),SUMPRODUCT(PRODUCT(1+N42:N$51))),4)</f>
        <v>1.0723</v>
      </c>
      <c r="V42" s="3380"/>
      <c r="W42" s="3380">
        <f t="shared" ref="W42:W44" si="216">T42</f>
        <v>1.0286999999999999</v>
      </c>
      <c r="X42" s="3364"/>
      <c r="Y42" s="3389"/>
      <c r="Z42" s="3390">
        <f t="shared" ref="Z42:AB42" si="217">IF(E42=0,0,ROUND(AVERAGE(E42:E53)/100,4))</f>
        <v>4.1999999999999997E-3</v>
      </c>
      <c r="AA42" s="3392">
        <f t="shared" si="217"/>
        <v>3.0000000000000001E-3</v>
      </c>
      <c r="AB42" s="3389">
        <f t="shared" si="217"/>
        <v>7.3000000000000001E-3</v>
      </c>
      <c r="AC42" s="3391"/>
      <c r="AD42" s="3389">
        <f t="shared" ref="AD42:AD44" si="218">IF(I42=0,0,ROUND(AVERAGE(I42:I53)/100,4))</f>
        <v>3.0000000000000001E-3</v>
      </c>
      <c r="AG42" s="3679">
        <f t="shared" si="185"/>
        <v>104.32</v>
      </c>
      <c r="AH42" s="3679">
        <f t="shared" si="186"/>
        <v>102.86999999999999</v>
      </c>
      <c r="AI42" s="3679">
        <f t="shared" si="187"/>
        <v>107.23</v>
      </c>
      <c r="AJ42" s="3679"/>
      <c r="AK42" s="3679">
        <f t="shared" si="188"/>
        <v>102.86999999999999</v>
      </c>
      <c r="AN42" s="3679">
        <f t="shared" si="167"/>
        <v>103.9349294804144</v>
      </c>
      <c r="AO42" s="3679">
        <f t="shared" si="168"/>
        <v>104.72448894249092</v>
      </c>
      <c r="AP42" s="3679">
        <f t="shared" si="169"/>
        <v>104.37147723235086</v>
      </c>
      <c r="AQ42" s="3679"/>
      <c r="AR42" s="3679">
        <f t="shared" si="170"/>
        <v>104.72448894249092</v>
      </c>
    </row>
    <row r="43" spans="1:44">
      <c r="A43" s="3343" t="s">
        <v>3252</v>
      </c>
      <c r="B43" s="3402">
        <v>2023</v>
      </c>
      <c r="C43" s="3403">
        <v>2</v>
      </c>
      <c r="D43" s="3403"/>
      <c r="E43" s="3403">
        <v>0.5</v>
      </c>
      <c r="F43" s="3403">
        <v>0.45</v>
      </c>
      <c r="G43" s="3403">
        <v>0.89</v>
      </c>
      <c r="H43" s="3409"/>
      <c r="I43" s="3404">
        <f t="shared" si="194"/>
        <v>0.45</v>
      </c>
      <c r="J43" s="3364"/>
      <c r="K43" s="3365"/>
      <c r="L43" s="3366">
        <f t="shared" si="212"/>
        <v>5.0000000000000001E-3</v>
      </c>
      <c r="M43" s="3366">
        <f t="shared" si="213"/>
        <v>4.5000000000000005E-3</v>
      </c>
      <c r="N43" s="3366">
        <f t="shared" si="214"/>
        <v>8.8999999999999999E-3</v>
      </c>
      <c r="O43" s="3366"/>
      <c r="P43" s="3366">
        <f t="shared" si="215"/>
        <v>4.5000000000000005E-3</v>
      </c>
      <c r="Q43" s="3364"/>
      <c r="R43" s="3380"/>
      <c r="S43" s="3380">
        <f>ROUND(IF(项目基本情况!$B$8="出让",SUMPRODUCT(PRODUCT(1+L43:L$52)),SUMPRODUCT(PRODUCT(1+L43:L$51))),4)</f>
        <v>1.0396000000000001</v>
      </c>
      <c r="T43" s="3380">
        <f>ROUND(IF(项目基本情况!$B$8="出让",SUMPRODUCT(PRODUCT(1+M43:M$52)),SUMPRODUCT(PRODUCT(1+M43:M$51))),4)</f>
        <v>1.0269999999999999</v>
      </c>
      <c r="U43" s="3380">
        <f>ROUND(IF(项目基本情况!$B$8="出让",SUMPRODUCT(PRODUCT(1+N43:N$52)),SUMPRODUCT(PRODUCT(1+N43:N$51))),4)</f>
        <v>1.0668</v>
      </c>
      <c r="V43" s="3380"/>
      <c r="W43" s="3380">
        <f t="shared" si="216"/>
        <v>1.0269999999999999</v>
      </c>
      <c r="X43" s="3364"/>
      <c r="Y43" s="3389"/>
      <c r="Z43" s="3390">
        <f t="shared" ref="Z43:AB43" si="219">IF(E43=0,0,ROUND(AVERAGE(E43:E54)/100,4))</f>
        <v>4.1999999999999997E-3</v>
      </c>
      <c r="AA43" s="3392">
        <f t="shared" si="219"/>
        <v>3.2000000000000002E-3</v>
      </c>
      <c r="AB43" s="3389">
        <f t="shared" si="219"/>
        <v>7.4999999999999997E-3</v>
      </c>
      <c r="AC43" s="3391"/>
      <c r="AD43" s="3389">
        <f t="shared" si="218"/>
        <v>3.2000000000000002E-3</v>
      </c>
      <c r="AG43" s="3679">
        <f t="shared" si="185"/>
        <v>103.96000000000001</v>
      </c>
      <c r="AH43" s="3679">
        <f t="shared" si="186"/>
        <v>102.69999999999999</v>
      </c>
      <c r="AI43" s="3679">
        <f t="shared" si="187"/>
        <v>106.67999999999999</v>
      </c>
      <c r="AJ43" s="3679"/>
      <c r="AK43" s="3679">
        <f t="shared" si="188"/>
        <v>102.69999999999999</v>
      </c>
      <c r="AN43" s="3679">
        <f t="shared" si="167"/>
        <v>103.5724259894513</v>
      </c>
      <c r="AO43" s="3679">
        <f t="shared" si="168"/>
        <v>104.5467594514235</v>
      </c>
      <c r="AP43" s="3679">
        <f t="shared" si="169"/>
        <v>103.83155315593996</v>
      </c>
      <c r="AQ43" s="3679"/>
      <c r="AR43" s="3679">
        <f t="shared" si="170"/>
        <v>104.5467594514235</v>
      </c>
    </row>
    <row r="44" spans="1:44">
      <c r="A44" s="3343" t="s">
        <v>3250</v>
      </c>
      <c r="B44" s="3402">
        <v>2023</v>
      </c>
      <c r="C44" s="3403">
        <v>1</v>
      </c>
      <c r="D44" s="3403"/>
      <c r="E44" s="3403">
        <v>0.55000000000000004</v>
      </c>
      <c r="F44" s="3403">
        <v>0.59</v>
      </c>
      <c r="G44" s="3403">
        <v>0.64</v>
      </c>
      <c r="H44" s="3409"/>
      <c r="I44" s="3404">
        <f t="shared" si="194"/>
        <v>0.59</v>
      </c>
      <c r="J44" s="3364"/>
      <c r="K44" s="3365"/>
      <c r="L44" s="3366">
        <f t="shared" si="212"/>
        <v>5.5000000000000005E-3</v>
      </c>
      <c r="M44" s="3366">
        <f t="shared" si="213"/>
        <v>5.8999999999999999E-3</v>
      </c>
      <c r="N44" s="3366">
        <f t="shared" si="214"/>
        <v>6.4000000000000003E-3</v>
      </c>
      <c r="O44" s="3366"/>
      <c r="P44" s="3366">
        <f t="shared" si="215"/>
        <v>5.8999999999999999E-3</v>
      </c>
      <c r="Q44" s="3364"/>
      <c r="R44" s="3380"/>
      <c r="S44" s="3380">
        <f>ROUND(IF(项目基本情况!$B$8="出让",SUMPRODUCT(PRODUCT(1+L44:L$52)),SUMPRODUCT(PRODUCT(1+L44:L$51))),4)</f>
        <v>1.0344</v>
      </c>
      <c r="T44" s="3380">
        <f>ROUND(IF(项目基本情况!$B$8="出让",SUMPRODUCT(PRODUCT(1+M44:M$52)),SUMPRODUCT(PRODUCT(1+M44:M$51))),4)</f>
        <v>1.0224</v>
      </c>
      <c r="U44" s="3380">
        <f>ROUND(IF(项目基本情况!$B$8="出让",SUMPRODUCT(PRODUCT(1+N44:N$52)),SUMPRODUCT(PRODUCT(1+N44:N$51))),4)</f>
        <v>1.0573999999999999</v>
      </c>
      <c r="V44" s="3380"/>
      <c r="W44" s="3380">
        <f t="shared" si="216"/>
        <v>1.0224</v>
      </c>
      <c r="X44" s="3364"/>
      <c r="Y44" s="3389"/>
      <c r="Z44" s="3390">
        <f t="shared" ref="Z44:AB44" si="220">IF(E44=0,0,ROUND(AVERAGE(E44:E55)/100,4))</f>
        <v>4.1999999999999997E-3</v>
      </c>
      <c r="AA44" s="3392">
        <f t="shared" si="220"/>
        <v>3.0000000000000001E-3</v>
      </c>
      <c r="AB44" s="3389">
        <f t="shared" si="220"/>
        <v>7.3000000000000001E-3</v>
      </c>
      <c r="AC44" s="3391"/>
      <c r="AD44" s="3389">
        <f t="shared" si="218"/>
        <v>3.0000000000000001E-3</v>
      </c>
      <c r="AG44" s="3679">
        <f t="shared" si="185"/>
        <v>103.44</v>
      </c>
      <c r="AH44" s="3679">
        <f t="shared" si="186"/>
        <v>102.24</v>
      </c>
      <c r="AI44" s="3679">
        <f t="shared" si="187"/>
        <v>105.74</v>
      </c>
      <c r="AJ44" s="3679"/>
      <c r="AK44" s="3679">
        <f t="shared" si="188"/>
        <v>102.24</v>
      </c>
      <c r="AN44" s="3679">
        <f t="shared" si="167"/>
        <v>103.05714028801125</v>
      </c>
      <c r="AO44" s="3679">
        <f t="shared" si="168"/>
        <v>104.07840662162619</v>
      </c>
      <c r="AP44" s="3679">
        <f t="shared" si="169"/>
        <v>102.91560427786695</v>
      </c>
      <c r="AQ44" s="3679"/>
      <c r="AR44" s="3679">
        <f t="shared" si="170"/>
        <v>104.07840662162619</v>
      </c>
    </row>
    <row r="45" spans="1:44">
      <c r="A45" s="3343" t="s">
        <v>3248</v>
      </c>
      <c r="B45" s="3402">
        <v>2022</v>
      </c>
      <c r="C45" s="3403">
        <v>4</v>
      </c>
      <c r="D45" s="3403"/>
      <c r="E45" s="3403">
        <v>0.45</v>
      </c>
      <c r="F45" s="3403">
        <v>0.2</v>
      </c>
      <c r="G45" s="3403">
        <v>0.38</v>
      </c>
      <c r="H45" s="3409"/>
      <c r="I45" s="3404">
        <f t="shared" si="194"/>
        <v>0.2</v>
      </c>
      <c r="J45" s="3364"/>
      <c r="K45" s="3365"/>
      <c r="L45" s="3366">
        <f t="shared" si="195"/>
        <v>4.5000000000000005E-3</v>
      </c>
      <c r="M45" s="3366">
        <f t="shared" si="195"/>
        <v>2E-3</v>
      </c>
      <c r="N45" s="3366">
        <f t="shared" si="195"/>
        <v>3.8E-3</v>
      </c>
      <c r="O45" s="3366"/>
      <c r="P45" s="3366">
        <f t="shared" ref="P45:P52" si="221">M45</f>
        <v>2E-3</v>
      </c>
      <c r="Q45" s="3364"/>
      <c r="R45" s="3380"/>
      <c r="S45" s="3380">
        <f>ROUND(IF(项目基本情况!$B$8="出让",SUMPRODUCT(PRODUCT(1+L45:L$52)),SUMPRODUCT(PRODUCT(1+L45:L$51))),4)</f>
        <v>1.0286999999999999</v>
      </c>
      <c r="T45" s="3380">
        <f>ROUND(IF(项目基本情况!$B$8="出让",SUMPRODUCT(PRODUCT(1+M45:M$52)),SUMPRODUCT(PRODUCT(1+M45:M$51))),4)</f>
        <v>1.0164</v>
      </c>
      <c r="U45" s="3380">
        <f>ROUND(IF(项目基本情况!$B$8="出让",SUMPRODUCT(PRODUCT(1+N45:N$52)),SUMPRODUCT(PRODUCT(1+N45:N$51))),4)</f>
        <v>1.0506</v>
      </c>
      <c r="V45" s="3380"/>
      <c r="W45" s="3380">
        <f t="shared" ref="W45:W52" si="222">T45</f>
        <v>1.0164</v>
      </c>
      <c r="X45" s="3364"/>
      <c r="Y45" s="3389"/>
      <c r="Z45" s="3390">
        <f t="shared" ref="Z45:AD52" si="223">IF(E45=0,0,ROUND(AVERAGE(E45:E53)/100,4))</f>
        <v>4.0000000000000001E-3</v>
      </c>
      <c r="AA45" s="3392">
        <f t="shared" si="223"/>
        <v>2.5999999999999999E-3</v>
      </c>
      <c r="AB45" s="3389">
        <f t="shared" si="223"/>
        <v>7.4000000000000003E-3</v>
      </c>
      <c r="AC45" s="3391"/>
      <c r="AD45" s="3389">
        <f t="shared" si="223"/>
        <v>2.5999999999999999E-3</v>
      </c>
      <c r="AG45" s="3679">
        <f t="shared" si="185"/>
        <v>102.86999999999999</v>
      </c>
      <c r="AH45" s="3679">
        <f t="shared" si="186"/>
        <v>101.64</v>
      </c>
      <c r="AI45" s="3679">
        <f t="shared" si="187"/>
        <v>105.06</v>
      </c>
      <c r="AJ45" s="3679"/>
      <c r="AK45" s="3679">
        <f t="shared" si="188"/>
        <v>101.64</v>
      </c>
      <c r="AN45" s="3679">
        <f t="shared" si="167"/>
        <v>102.49342644257707</v>
      </c>
      <c r="AO45" s="3679">
        <f t="shared" si="168"/>
        <v>103.46794574174986</v>
      </c>
      <c r="AP45" s="3679">
        <f t="shared" si="169"/>
        <v>102.26113302649736</v>
      </c>
      <c r="AQ45" s="3679"/>
      <c r="AR45" s="3679">
        <f t="shared" si="170"/>
        <v>103.46794574174986</v>
      </c>
    </row>
    <row r="46" spans="1:44">
      <c r="A46" s="3343" t="s">
        <v>3246</v>
      </c>
      <c r="B46" s="3402">
        <v>2022</v>
      </c>
      <c r="C46" s="3403">
        <v>3</v>
      </c>
      <c r="D46" s="3403"/>
      <c r="E46" s="3403">
        <v>0.3</v>
      </c>
      <c r="F46" s="3403">
        <v>0.28999999999999998</v>
      </c>
      <c r="G46" s="3403">
        <v>0.83</v>
      </c>
      <c r="H46" s="3409"/>
      <c r="I46" s="3404">
        <f t="shared" si="194"/>
        <v>0.28999999999999998</v>
      </c>
      <c r="J46" s="3364"/>
      <c r="K46" s="3365"/>
      <c r="L46" s="3366">
        <f t="shared" si="195"/>
        <v>3.0000000000000001E-3</v>
      </c>
      <c r="M46" s="3366">
        <f t="shared" si="195"/>
        <v>2.8999999999999998E-3</v>
      </c>
      <c r="N46" s="3366">
        <f t="shared" si="195"/>
        <v>8.3000000000000001E-3</v>
      </c>
      <c r="O46" s="3366"/>
      <c r="P46" s="3366">
        <f t="shared" si="221"/>
        <v>2.8999999999999998E-3</v>
      </c>
      <c r="Q46" s="3364"/>
      <c r="R46" s="3380"/>
      <c r="S46" s="3380">
        <f>ROUND(IF(项目基本情况!$B$8="出让",SUMPRODUCT(PRODUCT(1+L46:L$52)),SUMPRODUCT(PRODUCT(1+L46:L$51))),4)</f>
        <v>1.0241</v>
      </c>
      <c r="T46" s="3380">
        <f>ROUND(IF(项目基本情况!$B$8="出让",SUMPRODUCT(PRODUCT(1+M46:M$52)),SUMPRODUCT(PRODUCT(1+M46:M$51))),4)</f>
        <v>1.0144</v>
      </c>
      <c r="U46" s="3380">
        <f>ROUND(IF(项目基本情况!$B$8="出让",SUMPRODUCT(PRODUCT(1+N46:N$52)),SUMPRODUCT(PRODUCT(1+N46:N$51))),4)</f>
        <v>1.0467</v>
      </c>
      <c r="V46" s="3380"/>
      <c r="W46" s="3380">
        <f t="shared" si="222"/>
        <v>1.0144</v>
      </c>
      <c r="X46" s="3364"/>
      <c r="Y46" s="3389"/>
      <c r="Z46" s="3390">
        <f t="shared" si="223"/>
        <v>3.8999999999999998E-3</v>
      </c>
      <c r="AA46" s="3392">
        <f t="shared" si="223"/>
        <v>2.7000000000000001E-3</v>
      </c>
      <c r="AB46" s="3389">
        <f t="shared" si="223"/>
        <v>7.9000000000000008E-3</v>
      </c>
      <c r="AC46" s="3391"/>
      <c r="AD46" s="3389">
        <f t="shared" si="223"/>
        <v>2.7000000000000001E-3</v>
      </c>
      <c r="AG46" s="3679">
        <f t="shared" si="185"/>
        <v>102.41</v>
      </c>
      <c r="AH46" s="3679">
        <f t="shared" si="186"/>
        <v>101.44</v>
      </c>
      <c r="AI46" s="3679">
        <f t="shared" si="187"/>
        <v>104.67</v>
      </c>
      <c r="AJ46" s="3679"/>
      <c r="AK46" s="3679">
        <f t="shared" si="188"/>
        <v>101.44</v>
      </c>
      <c r="AN46" s="3679">
        <f t="shared" si="167"/>
        <v>102.03427221759789</v>
      </c>
      <c r="AO46" s="3679">
        <f t="shared" si="168"/>
        <v>103.26142289595795</v>
      </c>
      <c r="AP46" s="3679">
        <f t="shared" si="169"/>
        <v>101.87401178172679</v>
      </c>
      <c r="AQ46" s="3679"/>
      <c r="AR46" s="3679">
        <f t="shared" si="170"/>
        <v>103.26142289595795</v>
      </c>
    </row>
    <row r="47" spans="1:44">
      <c r="A47" s="3343" t="s">
        <v>3245</v>
      </c>
      <c r="B47" s="3402">
        <v>2022</v>
      </c>
      <c r="C47" s="3403">
        <v>2</v>
      </c>
      <c r="D47" s="3403"/>
      <c r="E47" s="3403">
        <v>-0.11</v>
      </c>
      <c r="F47" s="3403">
        <v>-0.13</v>
      </c>
      <c r="G47" s="3403">
        <v>0.53</v>
      </c>
      <c r="H47" s="3409"/>
      <c r="I47" s="3404">
        <f t="shared" si="194"/>
        <v>-0.13</v>
      </c>
      <c r="J47" s="3364"/>
      <c r="K47" s="3365"/>
      <c r="L47" s="3366">
        <f t="shared" si="195"/>
        <v>-1.1000000000000001E-3</v>
      </c>
      <c r="M47" s="3366">
        <f t="shared" si="195"/>
        <v>-1.2999999999999999E-3</v>
      </c>
      <c r="N47" s="3366">
        <f t="shared" si="195"/>
        <v>5.3E-3</v>
      </c>
      <c r="O47" s="3366"/>
      <c r="P47" s="3366">
        <f t="shared" si="221"/>
        <v>-1.2999999999999999E-3</v>
      </c>
      <c r="Q47" s="3364"/>
      <c r="R47" s="3380"/>
      <c r="S47" s="3380">
        <f>ROUND(IF(项目基本情况!$B$8="出让",SUMPRODUCT(PRODUCT(1+L47:L$52)),SUMPRODUCT(PRODUCT(1+L47:L$51))),4)</f>
        <v>1.0210999999999999</v>
      </c>
      <c r="T47" s="3380">
        <f>ROUND(IF(项目基本情况!$B$8="出让",SUMPRODUCT(PRODUCT(1+M47:M$52)),SUMPRODUCT(PRODUCT(1+M47:M$51))),4)</f>
        <v>1.0114000000000001</v>
      </c>
      <c r="U47" s="3380">
        <f>ROUND(IF(项目基本情况!$B$8="出让",SUMPRODUCT(PRODUCT(1+N47:N$52)),SUMPRODUCT(PRODUCT(1+N47:N$51))),4)</f>
        <v>1.0381</v>
      </c>
      <c r="V47" s="3380"/>
      <c r="W47" s="3380">
        <f t="shared" si="222"/>
        <v>1.0114000000000001</v>
      </c>
      <c r="X47" s="3364"/>
      <c r="Y47" s="3389"/>
      <c r="Z47" s="3390">
        <f t="shared" si="223"/>
        <v>4.1000000000000003E-3</v>
      </c>
      <c r="AA47" s="3392">
        <f t="shared" si="223"/>
        <v>2.7000000000000001E-3</v>
      </c>
      <c r="AB47" s="3389">
        <f t="shared" si="223"/>
        <v>7.9000000000000008E-3</v>
      </c>
      <c r="AC47" s="3391"/>
      <c r="AD47" s="3389">
        <f t="shared" si="223"/>
        <v>2.7000000000000001E-3</v>
      </c>
      <c r="AG47" s="3679">
        <f t="shared" si="185"/>
        <v>102.10999999999999</v>
      </c>
      <c r="AH47" s="3679">
        <f t="shared" si="186"/>
        <v>101.14000000000001</v>
      </c>
      <c r="AI47" s="3679">
        <f t="shared" si="187"/>
        <v>103.81</v>
      </c>
      <c r="AJ47" s="3679"/>
      <c r="AK47" s="3679">
        <f t="shared" si="188"/>
        <v>101.14000000000001</v>
      </c>
      <c r="AN47" s="3679">
        <f t="shared" si="167"/>
        <v>101.72908496270976</v>
      </c>
      <c r="AO47" s="3679">
        <f t="shared" si="168"/>
        <v>102.96283068696576</v>
      </c>
      <c r="AP47" s="3679">
        <f t="shared" si="169"/>
        <v>101.03541781387166</v>
      </c>
      <c r="AQ47" s="3679"/>
      <c r="AR47" s="3679">
        <f t="shared" si="170"/>
        <v>102.96283068696576</v>
      </c>
    </row>
    <row r="48" spans="1:44">
      <c r="A48" s="3343" t="s">
        <v>2781</v>
      </c>
      <c r="B48" s="3402">
        <v>2022</v>
      </c>
      <c r="C48" s="3403">
        <v>1</v>
      </c>
      <c r="D48" s="3403"/>
      <c r="E48" s="3403">
        <v>0.6</v>
      </c>
      <c r="F48" s="3403">
        <v>0.45</v>
      </c>
      <c r="G48" s="3403">
        <v>0.53</v>
      </c>
      <c r="H48" s="3409"/>
      <c r="I48" s="3404">
        <f t="shared" si="194"/>
        <v>0.45</v>
      </c>
      <c r="J48" s="3364"/>
      <c r="K48" s="3365"/>
      <c r="L48" s="3366">
        <f t="shared" si="195"/>
        <v>6.0000000000000001E-3</v>
      </c>
      <c r="M48" s="3366">
        <f t="shared" si="195"/>
        <v>4.5000000000000005E-3</v>
      </c>
      <c r="N48" s="3366">
        <f t="shared" si="195"/>
        <v>5.3E-3</v>
      </c>
      <c r="O48" s="3366"/>
      <c r="P48" s="3366">
        <f t="shared" si="221"/>
        <v>4.5000000000000005E-3</v>
      </c>
      <c r="Q48" s="3364"/>
      <c r="R48" s="3380"/>
      <c r="S48" s="3380">
        <f>ROUND(IF(项目基本情况!$B$8="出让",SUMPRODUCT(PRODUCT(1+L48:L$52)),SUMPRODUCT(PRODUCT(1+L48:L$51))),4)</f>
        <v>1.0222</v>
      </c>
      <c r="T48" s="3380">
        <f>ROUND(IF(项目基本情况!$B$8="出让",SUMPRODUCT(PRODUCT(1+M48:M$52)),SUMPRODUCT(PRODUCT(1+M48:M$51))),4)</f>
        <v>1.0127999999999999</v>
      </c>
      <c r="U48" s="3380">
        <f>ROUND(IF(项目基本情况!$B$8="出让",SUMPRODUCT(PRODUCT(1+N48:N$52)),SUMPRODUCT(PRODUCT(1+N48:N$51))),4)</f>
        <v>1.0326</v>
      </c>
      <c r="V48" s="3380"/>
      <c r="W48" s="3380">
        <f t="shared" si="222"/>
        <v>1.0127999999999999</v>
      </c>
      <c r="X48" s="3364"/>
      <c r="Y48" s="3389"/>
      <c r="Z48" s="3390">
        <f t="shared" si="223"/>
        <v>5.1000000000000004E-3</v>
      </c>
      <c r="AA48" s="3392">
        <f t="shared" si="223"/>
        <v>3.5000000000000001E-3</v>
      </c>
      <c r="AB48" s="3389">
        <f t="shared" si="223"/>
        <v>8.3999999999999995E-3</v>
      </c>
      <c r="AC48" s="3391"/>
      <c r="AD48" s="3389">
        <f t="shared" si="223"/>
        <v>3.5000000000000001E-3</v>
      </c>
      <c r="AG48" s="3679">
        <f t="shared" si="185"/>
        <v>102.22</v>
      </c>
      <c r="AH48" s="3679">
        <f t="shared" si="186"/>
        <v>101.27999999999999</v>
      </c>
      <c r="AI48" s="3679">
        <f t="shared" si="187"/>
        <v>103.25999999999999</v>
      </c>
      <c r="AJ48" s="3679"/>
      <c r="AK48" s="3679">
        <f t="shared" si="188"/>
        <v>101.27999999999999</v>
      </c>
      <c r="AN48" s="3679">
        <f t="shared" si="167"/>
        <v>101.84111018391206</v>
      </c>
      <c r="AO48" s="3679">
        <f t="shared" si="168"/>
        <v>103.09685660054646</v>
      </c>
      <c r="AP48" s="3679">
        <f t="shared" si="169"/>
        <v>100.50275322179613</v>
      </c>
      <c r="AQ48" s="3679"/>
      <c r="AR48" s="3679">
        <f t="shared" si="170"/>
        <v>103.09685660054646</v>
      </c>
    </row>
    <row r="49" spans="1:44">
      <c r="A49" s="3343" t="s">
        <v>2782</v>
      </c>
      <c r="B49" s="3402">
        <v>2021</v>
      </c>
      <c r="C49" s="3403">
        <v>4</v>
      </c>
      <c r="D49" s="3403"/>
      <c r="E49" s="3403">
        <v>0.57999999999999996</v>
      </c>
      <c r="F49" s="3403">
        <v>0.08</v>
      </c>
      <c r="G49" s="3403">
        <v>0.68</v>
      </c>
      <c r="H49" s="3409"/>
      <c r="I49" s="3404">
        <f t="shared" si="194"/>
        <v>0.08</v>
      </c>
      <c r="J49" s="3364"/>
      <c r="K49" s="3365"/>
      <c r="L49" s="3366">
        <f t="shared" si="195"/>
        <v>5.7999999999999996E-3</v>
      </c>
      <c r="M49" s="3366">
        <f t="shared" si="195"/>
        <v>8.0000000000000004E-4</v>
      </c>
      <c r="N49" s="3366">
        <f t="shared" si="195"/>
        <v>6.8000000000000005E-3</v>
      </c>
      <c r="O49" s="3366"/>
      <c r="P49" s="3366">
        <f t="shared" si="221"/>
        <v>8.0000000000000004E-4</v>
      </c>
      <c r="Q49" s="3364"/>
      <c r="R49" s="3380"/>
      <c r="S49" s="3380">
        <f>ROUND(IF(项目基本情况!$B$8="出让",SUMPRODUCT(PRODUCT(1+L49:L$52)),SUMPRODUCT(PRODUCT(1+L49:L$51))),4)</f>
        <v>1.0161</v>
      </c>
      <c r="T49" s="3380">
        <f>ROUND(IF(项目基本情况!$B$8="出让",SUMPRODUCT(PRODUCT(1+M49:M$52)),SUMPRODUCT(PRODUCT(1+M49:M$51))),4)</f>
        <v>1.0082</v>
      </c>
      <c r="U49" s="3380">
        <f>ROUND(IF(项目基本情况!$B$8="出让",SUMPRODUCT(PRODUCT(1+N49:N$52)),SUMPRODUCT(PRODUCT(1+N49:N$51))),4)</f>
        <v>1.0270999999999999</v>
      </c>
      <c r="V49" s="3380"/>
      <c r="W49" s="3380">
        <f t="shared" si="222"/>
        <v>1.0082</v>
      </c>
      <c r="X49" s="3364"/>
      <c r="Y49" s="3389"/>
      <c r="Z49" s="3390">
        <f t="shared" si="223"/>
        <v>4.8999999999999998E-3</v>
      </c>
      <c r="AA49" s="3392">
        <f t="shared" si="223"/>
        <v>3.3E-3</v>
      </c>
      <c r="AB49" s="3389">
        <f t="shared" si="223"/>
        <v>9.1999999999999998E-3</v>
      </c>
      <c r="AC49" s="3391"/>
      <c r="AD49" s="3389">
        <f t="shared" si="223"/>
        <v>3.3E-3</v>
      </c>
      <c r="AG49" s="3679">
        <f t="shared" si="185"/>
        <v>101.61</v>
      </c>
      <c r="AH49" s="3679">
        <f t="shared" si="186"/>
        <v>100.82</v>
      </c>
      <c r="AI49" s="3679">
        <f t="shared" si="187"/>
        <v>102.71</v>
      </c>
      <c r="AJ49" s="3679"/>
      <c r="AK49" s="3679">
        <f t="shared" si="188"/>
        <v>100.82</v>
      </c>
      <c r="AN49" s="3679">
        <f t="shared" si="167"/>
        <v>101.23370793629429</v>
      </c>
      <c r="AO49" s="3679">
        <f t="shared" si="168"/>
        <v>102.63499910457587</v>
      </c>
      <c r="AP49" s="3679">
        <f t="shared" si="169"/>
        <v>99.972896868393633</v>
      </c>
      <c r="AQ49" s="3679"/>
      <c r="AR49" s="3679">
        <f t="shared" si="170"/>
        <v>102.63499910457587</v>
      </c>
    </row>
    <row r="50" spans="1:44">
      <c r="A50" s="3343" t="s">
        <v>2783</v>
      </c>
      <c r="B50" s="3402">
        <v>2021</v>
      </c>
      <c r="C50" s="3403">
        <v>3</v>
      </c>
      <c r="D50" s="3403"/>
      <c r="E50" s="3403">
        <v>0.47</v>
      </c>
      <c r="F50" s="3403">
        <v>0.28000000000000003</v>
      </c>
      <c r="G50" s="3403">
        <v>0.91</v>
      </c>
      <c r="H50" s="3409"/>
      <c r="I50" s="3404">
        <f t="shared" si="194"/>
        <v>0.28000000000000003</v>
      </c>
      <c r="J50" s="3364"/>
      <c r="K50" s="3365"/>
      <c r="L50" s="3366">
        <f t="shared" si="195"/>
        <v>4.6999999999999993E-3</v>
      </c>
      <c r="M50" s="3366">
        <f t="shared" si="195"/>
        <v>2.8000000000000004E-3</v>
      </c>
      <c r="N50" s="3366">
        <f t="shared" si="195"/>
        <v>9.1000000000000004E-3</v>
      </c>
      <c r="O50" s="3366"/>
      <c r="P50" s="3366">
        <f t="shared" si="221"/>
        <v>2.8000000000000004E-3</v>
      </c>
      <c r="Q50" s="3364"/>
      <c r="R50" s="3380"/>
      <c r="S50" s="3380">
        <f>ROUND(IF(项目基本情况!$B$8="出让",SUMPRODUCT(PRODUCT(1+L50:L$52)),SUMPRODUCT(PRODUCT(1+L50:L$51))),4)</f>
        <v>1.0102</v>
      </c>
      <c r="T50" s="3380">
        <f>ROUND(IF(项目基本情况!$B$8="出让",SUMPRODUCT(PRODUCT(1+M50:M$52)),SUMPRODUCT(PRODUCT(1+M50:M$51))),4)</f>
        <v>1.0074000000000001</v>
      </c>
      <c r="U50" s="3380">
        <f>ROUND(IF(项目基本情况!$B$8="出让",SUMPRODUCT(PRODUCT(1+N50:N$52)),SUMPRODUCT(PRODUCT(1+N50:N$51))),4)</f>
        <v>1.0202</v>
      </c>
      <c r="V50" s="3380"/>
      <c r="W50" s="3380">
        <f t="shared" si="222"/>
        <v>1.0074000000000001</v>
      </c>
      <c r="X50" s="3364"/>
      <c r="Y50" s="3389"/>
      <c r="Z50" s="3390">
        <f t="shared" si="223"/>
        <v>4.5999999999999999E-3</v>
      </c>
      <c r="AA50" s="3392">
        <f t="shared" si="223"/>
        <v>4.1000000000000003E-3</v>
      </c>
      <c r="AB50" s="3389">
        <f t="shared" si="223"/>
        <v>0.01</v>
      </c>
      <c r="AC50" s="3391"/>
      <c r="AD50" s="3389">
        <f t="shared" si="223"/>
        <v>4.1000000000000003E-3</v>
      </c>
      <c r="AG50" s="3679">
        <f t="shared" si="185"/>
        <v>101.02</v>
      </c>
      <c r="AH50" s="3679">
        <f t="shared" si="186"/>
        <v>100.74000000000001</v>
      </c>
      <c r="AI50" s="3679">
        <f t="shared" si="187"/>
        <v>102.02</v>
      </c>
      <c r="AJ50" s="3679"/>
      <c r="AK50" s="3679">
        <f t="shared" si="188"/>
        <v>100.74000000000001</v>
      </c>
      <c r="AN50" s="3679">
        <f t="shared" si="167"/>
        <v>100.649938294188</v>
      </c>
      <c r="AO50" s="3679">
        <f t="shared" si="168"/>
        <v>102.55295673918452</v>
      </c>
      <c r="AP50" s="3679">
        <f t="shared" si="169"/>
        <v>99.297672694073938</v>
      </c>
      <c r="AQ50" s="3679"/>
      <c r="AR50" s="3679">
        <f t="shared" si="170"/>
        <v>102.55295673918452</v>
      </c>
    </row>
    <row r="51" spans="1:44">
      <c r="A51" s="3343" t="s">
        <v>2787</v>
      </c>
      <c r="B51" s="3402">
        <v>2021</v>
      </c>
      <c r="C51" s="3403">
        <v>2</v>
      </c>
      <c r="D51" s="3403"/>
      <c r="E51" s="3403">
        <v>0.55000000000000004</v>
      </c>
      <c r="F51" s="3403">
        <v>0.46</v>
      </c>
      <c r="G51" s="3403">
        <v>1.1000000000000001</v>
      </c>
      <c r="H51" s="3409"/>
      <c r="I51" s="3404">
        <f t="shared" si="194"/>
        <v>0.46</v>
      </c>
      <c r="J51" s="3364"/>
      <c r="K51" s="3365"/>
      <c r="L51" s="3366">
        <f t="shared" si="195"/>
        <v>5.5000000000000005E-3</v>
      </c>
      <c r="M51" s="3366">
        <f t="shared" si="195"/>
        <v>4.5999999999999999E-3</v>
      </c>
      <c r="N51" s="3366">
        <f t="shared" si="195"/>
        <v>1.1000000000000001E-2</v>
      </c>
      <c r="O51" s="3366"/>
      <c r="P51" s="3366">
        <f t="shared" si="221"/>
        <v>4.5999999999999999E-3</v>
      </c>
      <c r="Q51" s="3364"/>
      <c r="R51" s="3380"/>
      <c r="S51" s="3380">
        <f>ROUND(IF(项目基本情况!$B$8="出让",SUMPRODUCT(PRODUCT(1+L51:L$52)),SUMPRODUCT(PRODUCT(1+L51:L$51))),4)</f>
        <v>1.0055000000000001</v>
      </c>
      <c r="T51" s="3380">
        <f>ROUND(IF(项目基本情况!$B$8="出让",SUMPRODUCT(PRODUCT(1+M51:M$52)),SUMPRODUCT(PRODUCT(1+M51:M$51))),4)</f>
        <v>1.0045999999999999</v>
      </c>
      <c r="U51" s="3380">
        <f>ROUND(IF(项目基本情况!$B$8="出让",SUMPRODUCT(PRODUCT(1+N51:N$52)),SUMPRODUCT(PRODUCT(1+N51:N$51))),4)</f>
        <v>1.0109999999999999</v>
      </c>
      <c r="V51" s="3380"/>
      <c r="W51" s="3380">
        <f t="shared" si="222"/>
        <v>1.0045999999999999</v>
      </c>
      <c r="X51" s="3364"/>
      <c r="Y51" s="3389"/>
      <c r="Z51" s="3390">
        <f t="shared" si="223"/>
        <v>4.4999999999999997E-3</v>
      </c>
      <c r="AA51" s="3392">
        <f t="shared" si="223"/>
        <v>4.7000000000000002E-3</v>
      </c>
      <c r="AB51" s="3389">
        <f t="shared" si="223"/>
        <v>1.04E-2</v>
      </c>
      <c r="AC51" s="3391"/>
      <c r="AD51" s="3389">
        <f t="shared" si="223"/>
        <v>4.7000000000000002E-3</v>
      </c>
      <c r="AG51" s="3679">
        <f t="shared" si="185"/>
        <v>100.55000000000001</v>
      </c>
      <c r="AH51" s="3679">
        <f t="shared" si="186"/>
        <v>100.46</v>
      </c>
      <c r="AI51" s="3679">
        <f t="shared" si="187"/>
        <v>101.1</v>
      </c>
      <c r="AJ51" s="3679"/>
      <c r="AK51" s="3679">
        <f t="shared" si="188"/>
        <v>100.46</v>
      </c>
      <c r="AN51" s="3679">
        <f t="shared" si="167"/>
        <v>100.1790965404479</v>
      </c>
      <c r="AO51" s="3679">
        <f t="shared" si="168"/>
        <v>102.26661023053903</v>
      </c>
      <c r="AP51" s="3679">
        <f t="shared" si="169"/>
        <v>98.402212559779926</v>
      </c>
      <c r="AQ51" s="3679"/>
      <c r="AR51" s="3679">
        <f t="shared" si="170"/>
        <v>102.26661023053903</v>
      </c>
    </row>
    <row r="52" spans="1:44" ht="14.25" thickBot="1">
      <c r="A52" s="3345" t="s">
        <v>2788</v>
      </c>
      <c r="B52" s="3410">
        <v>2021</v>
      </c>
      <c r="C52" s="3411">
        <v>1</v>
      </c>
      <c r="D52" s="3411"/>
      <c r="E52" s="3411">
        <v>0.35</v>
      </c>
      <c r="F52" s="3411">
        <v>0.48</v>
      </c>
      <c r="G52" s="3411">
        <v>0.98</v>
      </c>
      <c r="H52" s="3412"/>
      <c r="I52" s="3413">
        <f t="shared" si="194"/>
        <v>0.48</v>
      </c>
      <c r="J52" s="3370"/>
      <c r="K52" s="3371"/>
      <c r="L52" s="3372">
        <f t="shared" si="195"/>
        <v>3.4999999999999996E-3</v>
      </c>
      <c r="M52" s="3372">
        <f>F52/100</f>
        <v>4.7999999999999996E-3</v>
      </c>
      <c r="N52" s="3372">
        <f t="shared" si="195"/>
        <v>9.7999999999999997E-3</v>
      </c>
      <c r="O52" s="3372"/>
      <c r="P52" s="3372">
        <f t="shared" si="221"/>
        <v>4.7999999999999996E-3</v>
      </c>
      <c r="Q52" s="3370"/>
      <c r="R52" s="3381"/>
      <c r="S52" s="3381">
        <v>1</v>
      </c>
      <c r="T52" s="3381">
        <v>1</v>
      </c>
      <c r="U52" s="3381">
        <v>1</v>
      </c>
      <c r="V52" s="3381"/>
      <c r="W52" s="3381">
        <f t="shared" si="222"/>
        <v>1</v>
      </c>
      <c r="X52" s="3370"/>
      <c r="Y52" s="3372"/>
      <c r="Z52" s="3396">
        <f t="shared" si="223"/>
        <v>3.5000000000000001E-3</v>
      </c>
      <c r="AA52" s="3397">
        <f t="shared" si="223"/>
        <v>4.7999999999999996E-3</v>
      </c>
      <c r="AB52" s="3372">
        <f t="shared" si="223"/>
        <v>9.7999999999999997E-3</v>
      </c>
      <c r="AC52" s="3398"/>
      <c r="AD52" s="3372">
        <f t="shared" si="223"/>
        <v>4.7999999999999996E-3</v>
      </c>
      <c r="AG52" s="3680">
        <v>100</v>
      </c>
      <c r="AH52" s="3680">
        <v>100</v>
      </c>
      <c r="AI52" s="3680">
        <v>100</v>
      </c>
      <c r="AJ52" s="3680"/>
      <c r="AK52" s="3680">
        <v>100</v>
      </c>
      <c r="AN52" s="3679">
        <f t="shared" si="167"/>
        <v>99.631125351017303</v>
      </c>
      <c r="AO52" s="3679">
        <f t="shared" si="168"/>
        <v>101.79833787630803</v>
      </c>
      <c r="AP52" s="3679">
        <f t="shared" si="169"/>
        <v>97.331565341028622</v>
      </c>
      <c r="AQ52" s="3679"/>
      <c r="AR52" s="3679">
        <f t="shared" si="170"/>
        <v>101.79833787630803</v>
      </c>
    </row>
    <row r="53" spans="1:44" ht="14.25" thickTop="1"/>
    <row r="54" spans="1:44">
      <c r="A54" s="3661" t="s">
        <v>3267</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受贵公司委托，我公司对出让国有建设用地使用权进行了预评估。</v>
      </c>
    </row>
    <row r="5" spans="1:4" ht="18.75">
      <c r="A5" s="1582" t="s">
        <v>1429</v>
      </c>
    </row>
    <row r="6" spans="1:4" ht="18.75">
      <c r="A6" s="1579" t="e">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#DIV/0!</v>
      </c>
    </row>
    <row r="7" spans="1:4" ht="56.25">
      <c r="A7" s="1583" t="s">
        <v>2029</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（评估专业人员勘察现场之日）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18.75">
      <c r="A20" s="2177"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579" t="s">
        <v>1592</v>
      </c>
    </row>
    <row r="22" spans="1:1" ht="93.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26" spans="1:1" ht="9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0</v>
      </c>
      <c r="G1" s="740">
        <f>MATCH(C1,'数据-取费表'!A6:A16,0)+5</f>
        <v>6</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t="e">
        <f ca="1">ROUND(B2*10000/'数据-汇总表'!E3,0)</f>
        <v>#DIV/0!</v>
      </c>
      <c r="C3" s="1211"/>
      <c r="D3" s="1779"/>
      <c r="E3" s="1780"/>
      <c r="F3" s="1780"/>
      <c r="G3" s="1403"/>
      <c r="H3" s="742" t="s">
        <v>642</v>
      </c>
      <c r="I3" s="1781"/>
      <c r="J3" s="1781"/>
      <c r="K3" s="1782"/>
      <c r="L3" s="1781"/>
      <c r="M3" s="1781"/>
    </row>
    <row r="4" spans="1:25" ht="18" customHeight="1">
      <c r="A4" s="1451" t="s">
        <v>643</v>
      </c>
      <c r="B4" s="1212" t="e">
        <f ca="1">ROUND(B2*10000/'数据-汇总表'!D3,0)</f>
        <v>#DIV/0!</v>
      </c>
      <c r="C4" s="415"/>
      <c r="D4" s="1779"/>
      <c r="E4" s="1780"/>
      <c r="F4" s="1780"/>
      <c r="G4" s="1403"/>
      <c r="H4" s="742"/>
      <c r="I4" s="1781"/>
      <c r="J4" s="1781"/>
      <c r="K4" s="1782"/>
      <c r="L4" s="1781"/>
      <c r="M4" s="1781"/>
    </row>
    <row r="5" spans="1:25" ht="18" customHeight="1" thickBot="1">
      <c r="A5" s="1452"/>
      <c r="B5" s="417" t="e">
        <f ca="1">ROUND(B2/('数据-汇总表'!D3/666.67),0)</f>
        <v>#DIV/0!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68" t="s">
        <v>1807</v>
      </c>
      <c r="C8" s="1612">
        <f ca="1">ROUND(F8*F10*F9*(1-F11)/10000,0)</f>
        <v>0</v>
      </c>
      <c r="D8" s="1609" t="s">
        <v>1817</v>
      </c>
      <c r="E8" s="59" t="s">
        <v>585</v>
      </c>
      <c r="F8" s="751">
        <f ca="1">INDIRECT("'数据-取费表'!u"&amp;$G$1)</f>
        <v>0</v>
      </c>
      <c r="G8" s="1405"/>
      <c r="H8" s="2151" t="s">
        <v>1353</v>
      </c>
      <c r="I8" s="3968" t="s">
        <v>1807</v>
      </c>
      <c r="J8" s="749">
        <f ca="1">ROUND(M8*M10*M9*(1-M11)/10000,0)</f>
        <v>0</v>
      </c>
      <c r="K8" s="332" t="s">
        <v>1817</v>
      </c>
      <c r="L8" s="750" t="s">
        <v>1267</v>
      </c>
      <c r="M8" s="751">
        <f ca="1">INDIRECT("'数据-取费表'!z"&amp;$G$1)</f>
        <v>0</v>
      </c>
    </row>
    <row r="9" spans="1:25" ht="18" customHeight="1">
      <c r="A9" s="2147"/>
      <c r="B9" s="3969"/>
      <c r="C9" s="1613"/>
      <c r="D9" s="1610"/>
      <c r="E9" s="59" t="s">
        <v>586</v>
      </c>
      <c r="F9" s="751">
        <f ca="1">IF(INDIRECT("'数据-取费表'!ah"&amp;$G$1)="",INDIRECT("'数据-取费表'!k"&amp;$G$1),INDIRECT("'数据-取费表'!ah"&amp;$G$1))</f>
        <v>0</v>
      </c>
      <c r="G9" s="1405"/>
      <c r="H9" s="2136"/>
      <c r="I9" s="3969"/>
      <c r="J9" s="754"/>
      <c r="K9" s="755"/>
      <c r="L9" s="750" t="s">
        <v>1268</v>
      </c>
      <c r="M9" s="751">
        <f ca="1">F9</f>
        <v>0</v>
      </c>
    </row>
    <row r="10" spans="1:25" ht="18" customHeight="1">
      <c r="A10" s="2140"/>
      <c r="B10" s="3970"/>
      <c r="C10" s="1613"/>
      <c r="D10" s="1610"/>
      <c r="E10" s="59" t="s">
        <v>587</v>
      </c>
      <c r="F10" s="751">
        <f ca="1">INDIRECT("'数据-取费表'!ai"&amp;$G$1)</f>
        <v>0</v>
      </c>
      <c r="G10" s="1405"/>
      <c r="H10" s="2136"/>
      <c r="I10" s="3970"/>
      <c r="J10" s="754"/>
      <c r="K10" s="755"/>
      <c r="L10" s="750" t="s">
        <v>1269</v>
      </c>
      <c r="M10" s="751">
        <f ca="1">INDIRECT("'数据-取费表'!ai"&amp;$G$1)</f>
        <v>0</v>
      </c>
    </row>
    <row r="11" spans="1:25" ht="18" customHeight="1">
      <c r="A11" s="752"/>
      <c r="B11" s="3971"/>
      <c r="C11" s="1613"/>
      <c r="D11" s="1610"/>
      <c r="E11" s="59" t="s">
        <v>588</v>
      </c>
      <c r="F11" s="760">
        <f ca="1">INDIRECT("'数据-取费表'!w"&amp;$G$1)</f>
        <v>0</v>
      </c>
      <c r="G11" s="1405"/>
      <c r="H11" s="2152"/>
      <c r="I11" s="3970"/>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0</v>
      </c>
      <c r="G13" s="1405"/>
      <c r="H13" s="2180"/>
      <c r="I13" s="2142" t="s">
        <v>1856</v>
      </c>
      <c r="J13" s="2146"/>
      <c r="K13" s="2181"/>
      <c r="L13" s="2145" t="s">
        <v>1801</v>
      </c>
      <c r="M13" s="2139">
        <f ca="1">'数据-取费表'!B39</f>
        <v>0</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0</v>
      </c>
      <c r="G19" s="1406"/>
      <c r="H19" s="769" t="s">
        <v>1587</v>
      </c>
      <c r="I19" s="750" t="s">
        <v>604</v>
      </c>
      <c r="J19" s="2762">
        <f ca="1">ROUND(IF(AND(项目基本情况!B11="自然人",项目基本情况!B10="北京市"),J8*M19/(1+'数据-取费表'!C42),J20+J21+J22),0)</f>
        <v>0</v>
      </c>
      <c r="K19" s="1734" t="s">
        <v>605</v>
      </c>
      <c r="L19" s="1732" t="s">
        <v>606</v>
      </c>
      <c r="M19" s="2761">
        <f ca="1">IF(项目基本情况!B11="企业","——",IF('数据-取费表'!B10="住宅",IF(M8*M9*M10/12/(1+'数据-取费表'!F30)&gt;100000,4%,2.5%),IF(M8*M9*M10/12/(1+'数据-取费表'!F30)&gt;100000,12%,7%)))</f>
        <v>7.0000000000000007E-2</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0</v>
      </c>
      <c r="G20" s="1406"/>
      <c r="H20" s="769" t="s">
        <v>1360</v>
      </c>
      <c r="I20" s="750" t="s">
        <v>608</v>
      </c>
      <c r="J20" s="51">
        <f ca="1">ROUND(J8*M20/(1+'数据-取费表'!C42),1)</f>
        <v>0</v>
      </c>
      <c r="K20" s="1732" t="s">
        <v>609</v>
      </c>
      <c r="L20" s="750" t="s">
        <v>597</v>
      </c>
      <c r="M20" s="775">
        <f>'数据-取费表'!B41</f>
        <v>0</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3243</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v>
      </c>
      <c r="G22" s="1406"/>
      <c r="H22" s="1619" t="s">
        <v>1379</v>
      </c>
      <c r="I22" s="1609" t="s">
        <v>615</v>
      </c>
      <c r="J22" s="52">
        <f ca="1">ROUND(M22*M23/10000,0)</f>
        <v>0</v>
      </c>
      <c r="K22" s="779" t="s">
        <v>616</v>
      </c>
      <c r="L22" s="750" t="s">
        <v>617</v>
      </c>
      <c r="M22" s="608">
        <f>'数据-取费表'!B52</f>
        <v>0</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0</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0</v>
      </c>
      <c r="D26" s="2187" t="str">
        <f>IF(F25&lt;=1,"销售费用×利率×(建设周期÷2)","销售费用×((1+利率)^(建设周期÷2)-1)")</f>
        <v>销售费用×利率×(建设周期÷2)</v>
      </c>
      <c r="E26" s="750" t="s">
        <v>629</v>
      </c>
      <c r="F26" s="784">
        <f ca="1">'数据-取费表'!B40</f>
        <v>0</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0</v>
      </c>
      <c r="D30" s="777" t="s">
        <v>656</v>
      </c>
      <c r="E30" s="750" t="s">
        <v>597</v>
      </c>
      <c r="F30" s="775">
        <f>'数据-取费表'!B41</f>
        <v>0</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f ca="1">IF(项目基本情况!B11="企业","——",IF(M48="住宅",IF(F8*F9*F10/12/(1+'数据-取费表'!F30)&gt;100000,4%,2.5%),IF(F8*F9*F10/12/(1+'数据-取费表'!F30)&gt;100000,12%,7%)))</f>
        <v>7.0000000000000007E-2</v>
      </c>
      <c r="G33" s="1786"/>
      <c r="H33" s="3000" t="s">
        <v>2279</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0</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3243</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0</v>
      </c>
      <c r="G36" s="1786"/>
      <c r="H36" s="1789"/>
      <c r="I36" s="3967"/>
      <c r="J36" s="1803"/>
      <c r="K36" s="1804"/>
      <c r="L36" s="1803"/>
      <c r="M36" s="1803"/>
    </row>
    <row r="37" spans="1:18" ht="18" customHeight="1">
      <c r="A37" s="780"/>
      <c r="B37" s="759"/>
      <c r="C37" s="67"/>
      <c r="D37" s="781"/>
      <c r="E37" s="750" t="s">
        <v>621</v>
      </c>
      <c r="F37" s="751">
        <f ca="1">INDIRECT("'数据-取费表'!r"&amp;$G$1)</f>
        <v>0</v>
      </c>
      <c r="G37" s="1786"/>
      <c r="H37" s="1789"/>
      <c r="I37" s="3967"/>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0</v>
      </c>
      <c r="K54" s="3972"/>
      <c r="L54" s="3973"/>
      <c r="O54" s="2093" t="s">
        <v>1742</v>
      </c>
      <c r="P54" s="2091" t="s">
        <v>1743</v>
      </c>
      <c r="Q54" s="2092">
        <f ca="1">J54</f>
        <v>0</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851</v>
      </c>
      <c r="D1" s="2553" t="s">
        <v>877</v>
      </c>
      <c r="E1" s="2079" t="s">
        <v>1728</v>
      </c>
      <c r="F1" s="2080" t="e">
        <f ca="1">J53</f>
        <v>#N/A</v>
      </c>
      <c r="G1" s="3001"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6"/>
      <c r="D2" s="3007"/>
      <c r="E2" s="3008"/>
      <c r="F2" s="3008"/>
      <c r="G2" s="3002"/>
      <c r="H2" s="1781"/>
      <c r="I2" s="1781"/>
      <c r="J2" s="1781"/>
      <c r="K2" s="1782"/>
      <c r="L2" s="1781"/>
      <c r="M2" s="1781"/>
    </row>
    <row r="3" spans="1:33" ht="18" customHeight="1" thickBot="1">
      <c r="A3" s="798" t="s">
        <v>1256</v>
      </c>
      <c r="B3" s="799">
        <f ca="1">IF(ISERROR(B2*10000/F43),0,ROUND(B2*10000/F43,0))</f>
        <v>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3968" t="s">
        <v>1807</v>
      </c>
      <c r="C6" s="749" t="e">
        <f ca="1">ROUND(F6*F8*F7*(1-F9)/10000,0)</f>
        <v>#N/A</v>
      </c>
      <c r="D6" s="2144" t="s">
        <v>1806</v>
      </c>
      <c r="E6" s="750" t="s">
        <v>1267</v>
      </c>
      <c r="F6" s="751" t="e">
        <f ca="1">INDIRECT("'数据-取费表'!u"&amp;$G$1)</f>
        <v>#N/A</v>
      </c>
      <c r="G6" s="1786"/>
      <c r="H6" s="2151" t="s">
        <v>1812</v>
      </c>
      <c r="I6" s="3968" t="s">
        <v>1807</v>
      </c>
      <c r="J6" s="749" t="e">
        <f ca="1">ROUND(M6*M8*M7*(1-M9)/10000,0)</f>
        <v>#N/A</v>
      </c>
      <c r="K6" s="332" t="s">
        <v>1266</v>
      </c>
      <c r="L6" s="750" t="s">
        <v>1267</v>
      </c>
      <c r="M6" s="751" t="e">
        <f ca="1">INDIRECT("'数据-取费表'!z"&amp;$G$1)</f>
        <v>#N/A</v>
      </c>
    </row>
    <row r="7" spans="1:33" ht="18" customHeight="1">
      <c r="A7" s="2147"/>
      <c r="B7" s="3969"/>
      <c r="C7" s="754"/>
      <c r="D7" s="755"/>
      <c r="E7" s="750" t="s">
        <v>1268</v>
      </c>
      <c r="F7" s="751" t="e">
        <f ca="1">IF(INDIRECT("'数据-取费表'!ah"&amp;$G$1)="",INDIRECT("'数据-取费表'!k"&amp;$G$1),INDIRECT("'数据-取费表'!ah"&amp;$G$1))</f>
        <v>#N/A</v>
      </c>
      <c r="G7" s="1786"/>
      <c r="H7" s="2136"/>
      <c r="I7" s="3969"/>
      <c r="J7" s="754"/>
      <c r="K7" s="755"/>
      <c r="L7" s="750" t="s">
        <v>1268</v>
      </c>
      <c r="M7" s="751" t="e">
        <f ca="1">F7</f>
        <v>#N/A</v>
      </c>
    </row>
    <row r="8" spans="1:33" ht="18" customHeight="1">
      <c r="A8" s="2140"/>
      <c r="B8" s="3970"/>
      <c r="C8" s="754"/>
      <c r="D8" s="755"/>
      <c r="E8" s="750" t="s">
        <v>1269</v>
      </c>
      <c r="F8" s="751" t="e">
        <f ca="1">INDIRECT("'数据-取费表'!ai"&amp;$G$1)</f>
        <v>#N/A</v>
      </c>
      <c r="G8" s="1786"/>
      <c r="H8" s="2136"/>
      <c r="I8" s="3970"/>
      <c r="J8" s="754"/>
      <c r="K8" s="755"/>
      <c r="L8" s="750" t="s">
        <v>1269</v>
      </c>
      <c r="M8" s="751" t="e">
        <f ca="1">INDIRECT("'数据-取费表'!ai"&amp;$G$1)</f>
        <v>#N/A</v>
      </c>
    </row>
    <row r="9" spans="1:33" ht="18" customHeight="1">
      <c r="A9" s="752"/>
      <c r="B9" s="3971"/>
      <c r="C9" s="754"/>
      <c r="D9" s="755"/>
      <c r="E9" s="750" t="s">
        <v>1270</v>
      </c>
      <c r="F9" s="760" t="e">
        <f ca="1">INDIRECT("'数据-取费表'!w"&amp;$G$1)</f>
        <v>#N/A</v>
      </c>
      <c r="G9" s="1786"/>
      <c r="H9" s="2152"/>
      <c r="I9" s="3970"/>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0</v>
      </c>
      <c r="G11" s="1786"/>
      <c r="H11" s="2180"/>
      <c r="I11" s="2142" t="s">
        <v>1856</v>
      </c>
      <c r="J11" s="2146"/>
      <c r="K11" s="2181"/>
      <c r="L11" s="2145" t="s">
        <v>1809</v>
      </c>
      <c r="M11" s="2139">
        <f ca="1">'数据-取费表'!B39</f>
        <v>0</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v>
      </c>
      <c r="G15" s="3003"/>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0</v>
      </c>
      <c r="G17" s="3003"/>
      <c r="H17" s="1454" t="s">
        <v>1359</v>
      </c>
      <c r="I17" s="750" t="s">
        <v>604</v>
      </c>
      <c r="J17" s="2762" t="e">
        <f ca="1">ROUND(IF(AND(项目基本情况!B11="自然人",项目基本情况!B10="北京市"),J6*M17/(1+'数据-取费表'!C42),J18+J19+J20),2)</f>
        <v>#N/A</v>
      </c>
      <c r="K17" s="2132" t="s">
        <v>1282</v>
      </c>
      <c r="L17" s="2131" t="s">
        <v>1283</v>
      </c>
      <c r="M17" s="2761" t="e">
        <f ca="1">IF(项目基本情况!B11="企业","——",IF('数据-取费表'!B10="住宅",IF(M6*M7*M8/12/(1+'数据-取费表'!F30)&gt;100000,4%,2.5%),IF(M6*M7*M8/12/(1+'数据-取费表'!F30)&gt;100000,12%,7%)))</f>
        <v>#N/A</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0</v>
      </c>
      <c r="G18" s="3003"/>
      <c r="H18" s="1453" t="s">
        <v>1409</v>
      </c>
      <c r="I18" s="750" t="s">
        <v>1284</v>
      </c>
      <c r="J18" s="51" t="e">
        <f ca="1">ROUND(J6*M18/(1+'数据-取费表'!C42),2)</f>
        <v>#N/A</v>
      </c>
      <c r="K18" s="2131" t="s">
        <v>1285</v>
      </c>
      <c r="L18" s="750" t="s">
        <v>1276</v>
      </c>
      <c r="M18" s="775">
        <f>'数据-取费表'!B41</f>
        <v>0</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3243</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v>
      </c>
      <c r="G20" s="3003"/>
      <c r="H20" s="1456" t="s">
        <v>1405</v>
      </c>
      <c r="I20" s="332" t="s">
        <v>1289</v>
      </c>
      <c r="J20" s="52" t="e">
        <f ca="1">ROUND(M20*M21/10000,2)</f>
        <v>#N/A</v>
      </c>
      <c r="K20" s="779" t="s">
        <v>1290</v>
      </c>
      <c r="L20" s="750" t="s">
        <v>1291</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v>
      </c>
      <c r="G21" s="3003"/>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v>
      </c>
      <c r="G23" s="3003"/>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0</v>
      </c>
      <c r="D24" s="2187" t="str">
        <f>IF(F23&lt;=1,"销售费用×利率×(建设周期÷2)","销售费用×((1+利率)^(建设周期÷2)-1)")</f>
        <v>销售费用×利率×(建设周期÷2)</v>
      </c>
      <c r="E24" s="750" t="s">
        <v>1302</v>
      </c>
      <c r="F24" s="784">
        <f ca="1">'数据-取费表'!B40</f>
        <v>0</v>
      </c>
      <c r="G24" s="3003"/>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0</v>
      </c>
      <c r="D28" s="777" t="s">
        <v>1656</v>
      </c>
      <c r="E28" s="750" t="s">
        <v>1314</v>
      </c>
      <c r="F28" s="775">
        <f>'数据-取费表'!B41</f>
        <v>0</v>
      </c>
      <c r="G28" s="3003"/>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3"/>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#N/A</v>
      </c>
      <c r="D31" s="1734" t="s">
        <v>1321</v>
      </c>
      <c r="E31" s="1732" t="s">
        <v>1322</v>
      </c>
      <c r="F31" s="2761" t="e">
        <f ca="1">IF(项目基本情况!B11="企业","——",IF(M47="住宅",IF(F6*F7*F8/12/(1+'数据-取费表'!F30)&gt;100000,4%,2.5%),IF(F6*F7*F8/12/(1+'数据-取费表'!F30)&gt;100000,12%,7%)))</f>
        <v>#N/A</v>
      </c>
      <c r="G31" s="1786"/>
      <c r="H31" s="3000" t="s">
        <v>2280</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0</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3243</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0</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4"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4">
        <v>1</v>
      </c>
      <c r="B47" s="3655" t="s">
        <v>583</v>
      </c>
      <c r="C47" s="3656" t="e">
        <f ca="1">C48+C52+C54</f>
        <v>#N/A</v>
      </c>
      <c r="D47" s="3657"/>
      <c r="E47" s="3657"/>
      <c r="F47" s="3658"/>
      <c r="I47" s="2557" t="s">
        <v>1698</v>
      </c>
      <c r="J47" s="2073"/>
      <c r="K47" s="2563" t="s">
        <v>1703</v>
      </c>
      <c r="L47" s="2567"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4" t="s">
        <v>1699</v>
      </c>
      <c r="J48" s="2074"/>
      <c r="K48" s="2564" t="s">
        <v>1705</v>
      </c>
      <c r="L48" s="1664" t="e">
        <f ca="1">INDIRECT("'数据-取费表'!f"&amp;$G$1)</f>
        <v>#N/A</v>
      </c>
      <c r="M48" s="3005"/>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4" t="s">
        <v>1700</v>
      </c>
      <c r="J49" s="2075"/>
      <c r="K49" s="2565" t="s">
        <v>1706</v>
      </c>
      <c r="L49" s="2076"/>
      <c r="M49" s="3005"/>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4" t="s">
        <v>1701</v>
      </c>
      <c r="J50" s="2561">
        <f>SUMPRODUCT((I63:I65=J47)*(J62:L62=J48)*(J63:L65))</f>
        <v>0</v>
      </c>
      <c r="K50" s="2565" t="s">
        <v>1707</v>
      </c>
      <c r="L50" s="2076"/>
      <c r="M50" s="3005"/>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#N/A</v>
      </c>
      <c r="M51" s="3005"/>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5"/>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t="e">
        <f ca="1">IF(M47="住宅",IF(D1="——",MAX(J51,L48),MAX(J51,L48-'数据-取费表'!B20)),IF(D1="——",MIN(J51,L48),MIN(J51,L48-'数据-取费表'!B20)))</f>
        <v>#N/A</v>
      </c>
      <c r="K53" s="3974" t="s">
        <v>2226</v>
      </c>
      <c r="L53" s="3975"/>
      <c r="M53" s="3005"/>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1" t="s">
        <v>1709</v>
      </c>
      <c r="J55" s="2543" t="e">
        <f ca="1">ROUND(IF(J47="钢混",J57/J50,1-(1-2%)*(J50-J57)/J50),3)</f>
        <v>#N/A</v>
      </c>
      <c r="K55" s="2572" t="s">
        <v>1710</v>
      </c>
      <c r="L55" s="2078"/>
      <c r="M55" s="3005"/>
      <c r="O55" s="2096" t="s">
        <v>1765</v>
      </c>
      <c r="P55" s="1405"/>
      <c r="Q55" s="1413"/>
      <c r="R55" s="1405"/>
    </row>
    <row r="56" spans="1:18" s="1783" customFormat="1" ht="42.75" customHeight="1" thickBot="1">
      <c r="A56" s="1455"/>
      <c r="B56" s="1950" t="s">
        <v>1659</v>
      </c>
      <c r="C56" s="51" t="e">
        <f ca="1">C29</f>
        <v>#N/A</v>
      </c>
      <c r="D56" s="2245"/>
      <c r="E56" s="750"/>
      <c r="F56" s="775"/>
      <c r="I56" s="2573" t="s">
        <v>1711</v>
      </c>
      <c r="J56" s="2583"/>
      <c r="K56" s="2554" t="s">
        <v>1716</v>
      </c>
      <c r="L56" s="1664" t="e">
        <f ca="1">IF(L48&lt;J51,"——",L48-J51)</f>
        <v>#N/A</v>
      </c>
      <c r="M56" s="3005"/>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4" t="s">
        <v>1712</v>
      </c>
      <c r="J57" s="2575" t="e">
        <f ca="1">IF(OR(M47="住宅",J51&lt;L48,J56="是"),"——",J51-L48)</f>
        <v>#N/A</v>
      </c>
      <c r="K57" s="2554" t="s">
        <v>1717</v>
      </c>
      <c r="L57" s="1664" t="e">
        <f ca="1">IF(L48&lt;J51,"——",IF(L55="比较法",L49,IF(L55="基准地价",L50,L51)))</f>
        <v>#N/A</v>
      </c>
      <c r="M57" s="3005"/>
      <c r="O57" s="2090" t="s">
        <v>1733</v>
      </c>
      <c r="P57" s="2091" t="s">
        <v>1763</v>
      </c>
      <c r="Q57" s="2092" t="e">
        <f ca="1">C40+J29</f>
        <v>#N/A</v>
      </c>
      <c r="R57" s="2091" t="s">
        <v>1734</v>
      </c>
    </row>
    <row r="58" spans="1:18" s="1783" customFormat="1" ht="28.5" customHeight="1" thickBot="1">
      <c r="A58" s="1454" t="s">
        <v>1353</v>
      </c>
      <c r="B58" s="750" t="s">
        <v>604</v>
      </c>
      <c r="C58" s="2762" t="e">
        <f ca="1">ROUND(IF(AND(项目基本情况!B11="自然人",项目基本情况!B10="北京市"),C48*F58/(1+'数据-取费表'!C42),C59+C60+C61),2)</f>
        <v>#N/A</v>
      </c>
      <c r="D58" s="2244" t="s">
        <v>605</v>
      </c>
      <c r="E58" s="2245" t="s">
        <v>637</v>
      </c>
      <c r="F58" s="2761" t="e">
        <f ca="1">IF(项目基本情况!B11="企业","——",IF('数据-取费表'!B10="住宅",IF(F48*F49*F50/12/(1+'数据-取费表'!F30)&gt;100000,4%,2.5%),IF(F48*F49*F50/12/(1+'数据-取费表'!F30)&gt;100000,12%,7%)))</f>
        <v>#N/A</v>
      </c>
      <c r="I58" s="2574" t="s">
        <v>1713</v>
      </c>
      <c r="J58" s="2544" t="e">
        <f ca="1">IF(J55&lt;0.4,0.4,J55)</f>
        <v>#N/A</v>
      </c>
      <c r="K58" s="2554" t="s">
        <v>1718</v>
      </c>
      <c r="L58" s="1664" t="e">
        <f ca="1">ROUND(POWER(1+L52,L47-L48)*(POWER(1+L52,L48)-1)/(POWER(1+L52,L47)-1),4)</f>
        <v>#N/A</v>
      </c>
      <c r="M58" s="3005"/>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0</v>
      </c>
      <c r="I59" s="2574" t="s">
        <v>1714</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6" t="s">
        <v>1715</v>
      </c>
      <c r="J60" s="2577" t="e">
        <f ca="1">IF(OR(M47="住宅",J51&lt;L48,J56="是"),"0",ROUND(J59/(1+J52)^J53,0))</f>
        <v>#N/A</v>
      </c>
      <c r="K60" s="2578" t="s">
        <v>1720</v>
      </c>
      <c r="L60" s="2577" t="e">
        <f ca="1">IF(OR(M47="住宅",L48&lt;J51),0,ROUND(L57*(L58/L59-1),0))</f>
        <v>#N/A</v>
      </c>
      <c r="M60" s="3005"/>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0</v>
      </c>
      <c r="K61" s="1809"/>
      <c r="O61" s="2093" t="s">
        <v>1740</v>
      </c>
      <c r="P61" s="2091" t="s">
        <v>1748</v>
      </c>
      <c r="Q61" s="2092" t="e">
        <f ca="1">L58</f>
        <v>#N/A</v>
      </c>
      <c r="R61" s="2095" t="s">
        <v>1749</v>
      </c>
    </row>
    <row r="62" spans="1:18" s="1783" customFormat="1" ht="15.75" thickBot="1">
      <c r="A62" s="780"/>
      <c r="B62" s="759"/>
      <c r="C62" s="67"/>
      <c r="D62" s="781"/>
      <c r="E62" s="750" t="s">
        <v>621</v>
      </c>
      <c r="F62" s="751" t="e">
        <f t="shared" ca="1" si="0"/>
        <v>#N/A</v>
      </c>
      <c r="I62" s="2579" t="s">
        <v>1721</v>
      </c>
      <c r="J62" s="2580" t="s">
        <v>1722</v>
      </c>
      <c r="K62" s="2580" t="s">
        <v>1723</v>
      </c>
      <c r="L62" s="2580" t="s">
        <v>1704</v>
      </c>
      <c r="M62" s="2581" t="s">
        <v>2205</v>
      </c>
      <c r="O62" s="2093" t="s">
        <v>1742</v>
      </c>
      <c r="P62" s="2091" t="str">
        <f>K59</f>
        <v>建筑物剩余耐用年限下的土地年期修正系数Kn</v>
      </c>
      <c r="Q62" s="2092" t="e">
        <f ca="1">L59</f>
        <v>#N/A</v>
      </c>
      <c r="R62" s="2095" t="s">
        <v>1751</v>
      </c>
    </row>
    <row r="63" spans="1:18" s="1783" customFormat="1" ht="15.75" thickBot="1">
      <c r="A63" s="1454" t="s">
        <v>1414</v>
      </c>
      <c r="B63" s="750" t="s">
        <v>623</v>
      </c>
      <c r="C63" s="51" t="e">
        <f ca="1">ROUND(C56*F63,2)</f>
        <v>#N/A</v>
      </c>
      <c r="D63" s="2245" t="s">
        <v>1332</v>
      </c>
      <c r="E63" s="750" t="s">
        <v>1276</v>
      </c>
      <c r="F63" s="782" t="e">
        <f t="shared" ca="1" si="0"/>
        <v>#N/A</v>
      </c>
      <c r="I63" s="2579" t="s">
        <v>1724</v>
      </c>
      <c r="J63" s="2580">
        <v>70</v>
      </c>
      <c r="K63" s="2580">
        <v>50</v>
      </c>
      <c r="L63" s="2580">
        <v>80</v>
      </c>
      <c r="M63" s="2582">
        <v>0.02</v>
      </c>
      <c r="O63" s="2090" t="s">
        <v>1745</v>
      </c>
      <c r="P63" s="2091" t="s">
        <v>1762</v>
      </c>
      <c r="Q63" s="2092" t="e">
        <f ca="1">Q57+Q58</f>
        <v>#N/A</v>
      </c>
      <c r="R63" s="2095" t="s">
        <v>1746</v>
      </c>
    </row>
    <row r="64" spans="1:18" s="1783" customFormat="1" ht="16.5" thickBot="1">
      <c r="A64" s="1454" t="s">
        <v>1415</v>
      </c>
      <c r="B64" s="750" t="s">
        <v>626</v>
      </c>
      <c r="C64" s="51" t="e">
        <f ca="1">ROUND(C55*F64,2)</f>
        <v>#N/A</v>
      </c>
      <c r="D64" s="2245" t="s">
        <v>627</v>
      </c>
      <c r="E64" s="750" t="s">
        <v>1276</v>
      </c>
      <c r="F64" s="783" t="e">
        <f t="shared" ca="1" si="0"/>
        <v>#N/A</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t="e">
        <f ca="1">ROUND(C47*F65,2)</f>
        <v>#N/A</v>
      </c>
      <c r="D65" s="2245" t="s">
        <v>630</v>
      </c>
      <c r="E65" s="750" t="s">
        <v>1276</v>
      </c>
      <c r="F65" s="760" t="e">
        <f t="shared" ca="1" si="0"/>
        <v>#N/A</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t="e">
        <f ca="1">C47-C57</f>
        <v>#N/A</v>
      </c>
      <c r="D66" s="2244" t="s">
        <v>647</v>
      </c>
      <c r="E66" s="2243"/>
      <c r="F66" s="785"/>
      <c r="K66" s="1809"/>
      <c r="O66" s="2090" t="s">
        <v>1733</v>
      </c>
      <c r="P66" s="2091" t="s">
        <v>1763</v>
      </c>
      <c r="Q66" s="2092" t="e">
        <f ca="1">C40+J29</f>
        <v>#N/A</v>
      </c>
      <c r="R66" s="2091" t="s">
        <v>1734</v>
      </c>
    </row>
    <row r="67" spans="1:18" s="1783" customFormat="1" ht="20.25"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1.75" thickBot="1">
      <c r="A68" s="752"/>
      <c r="B68" s="753"/>
      <c r="C68" s="754"/>
      <c r="D68" s="786" t="s">
        <v>1337</v>
      </c>
      <c r="E68" s="750" t="s">
        <v>1313</v>
      </c>
      <c r="F68" s="787" t="e">
        <f ca="1">F41</f>
        <v>#N/A</v>
      </c>
      <c r="O68" s="2093" t="s">
        <v>1737</v>
      </c>
      <c r="P68" s="2091" t="s">
        <v>1767</v>
      </c>
      <c r="Q68" s="2097" t="e">
        <f ca="1">L51</f>
        <v>#N/A</v>
      </c>
      <c r="R68" s="2098" t="s">
        <v>1770</v>
      </c>
    </row>
    <row r="69" spans="1:18" ht="20.25" thickBot="1">
      <c r="A69" s="756"/>
      <c r="B69" s="757"/>
      <c r="C69" s="758"/>
      <c r="D69" s="781"/>
      <c r="E69" s="750" t="s">
        <v>657</v>
      </c>
      <c r="F69" s="2065"/>
      <c r="O69" s="2093" t="s">
        <v>1738</v>
      </c>
      <c r="P69" s="2099" t="s">
        <v>1752</v>
      </c>
      <c r="Q69" s="2092" t="e">
        <f ca="1">ROUND(Q70-Q71*Q72,0)</f>
        <v>#N/A</v>
      </c>
      <c r="R69" s="2095"/>
    </row>
    <row r="70" spans="1:18" ht="15.75"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5.75" thickBot="1">
      <c r="O71" s="2093" t="s">
        <v>1755</v>
      </c>
      <c r="P71" s="2099" t="s">
        <v>1756</v>
      </c>
      <c r="Q71" s="2092" t="e">
        <f ca="1">C13</f>
        <v>#N/A</v>
      </c>
      <c r="R71" s="2091" t="s">
        <v>1734</v>
      </c>
    </row>
    <row r="72" spans="1:18" ht="15.75" thickBot="1">
      <c r="O72" s="2093" t="s">
        <v>1757</v>
      </c>
      <c r="P72" s="2099" t="s">
        <v>1758</v>
      </c>
      <c r="Q72" s="2094" t="e">
        <f ca="1">J36</f>
        <v>#N/A</v>
      </c>
      <c r="R72" s="2095"/>
    </row>
    <row r="73" spans="1:18" ht="15.75" thickBot="1">
      <c r="O73" s="2093" t="s">
        <v>1740</v>
      </c>
      <c r="P73" s="2091" t="s">
        <v>1747</v>
      </c>
      <c r="Q73" s="2094">
        <f>L52</f>
        <v>0</v>
      </c>
      <c r="R73" s="2095"/>
    </row>
    <row r="74" spans="1:18" ht="20.25" thickBot="1">
      <c r="O74" s="2093" t="s">
        <v>1742</v>
      </c>
      <c r="P74" s="2091" t="s">
        <v>1748</v>
      </c>
      <c r="Q74" s="2092" t="e">
        <f ca="1">L58</f>
        <v>#N/A</v>
      </c>
      <c r="R74" s="2095" t="s">
        <v>1749</v>
      </c>
    </row>
    <row r="75" spans="1:18" ht="15.75" thickBot="1">
      <c r="O75" s="2093" t="s">
        <v>1771</v>
      </c>
      <c r="P75" s="2091" t="str">
        <f>K59</f>
        <v>建筑物剩余耐用年限下的土地年期修正系数Kn</v>
      </c>
      <c r="Q75" s="2092" t="e">
        <f ca="1">L59</f>
        <v>#N/A</v>
      </c>
      <c r="R75" s="2095" t="s">
        <v>1751</v>
      </c>
    </row>
    <row r="76" spans="1:18" ht="15.75"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2440</v>
      </c>
      <c r="B1" s="3059"/>
      <c r="C1" s="3072"/>
      <c r="D1" s="3072"/>
      <c r="E1" s="3060"/>
      <c r="F1" s="3061"/>
      <c r="G1" s="3062"/>
      <c r="J1" s="3065" t="s">
        <v>2297</v>
      </c>
      <c r="K1" s="3066"/>
      <c r="L1" s="3066"/>
      <c r="M1" s="3066"/>
      <c r="N1" s="3066"/>
      <c r="O1" s="3066"/>
      <c r="P1" s="3066"/>
      <c r="Q1" s="3066"/>
      <c r="R1" s="3067"/>
      <c r="S1" s="3068"/>
      <c r="T1" s="3068"/>
      <c r="U1" s="3068"/>
    </row>
    <row r="2" spans="1:22" s="3081" customFormat="1" ht="13.15" customHeight="1">
      <c r="A2" s="3070" t="s">
        <v>2298</v>
      </c>
      <c r="B2" s="3071" t="e">
        <f>C40</f>
        <v>#DIV/0!</v>
      </c>
      <c r="C2" s="3072" t="s">
        <v>2299</v>
      </c>
      <c r="D2" s="3072"/>
      <c r="E2" s="3073"/>
      <c r="F2" s="3074"/>
      <c r="G2" s="3075"/>
      <c r="H2" s="3076"/>
      <c r="I2" s="3077"/>
      <c r="J2" s="3976" t="s">
        <v>2300</v>
      </c>
      <c r="K2" s="3977"/>
      <c r="L2" s="3078" t="s">
        <v>2301</v>
      </c>
      <c r="M2" s="3078" t="s">
        <v>2302</v>
      </c>
      <c r="N2" s="3078" t="s">
        <v>2303</v>
      </c>
      <c r="O2" s="3078" t="s">
        <v>2304</v>
      </c>
      <c r="P2" s="3078" t="s">
        <v>2305</v>
      </c>
      <c r="Q2" s="3079" t="s">
        <v>2306</v>
      </c>
      <c r="R2" s="3080" t="s">
        <v>2307</v>
      </c>
      <c r="S2" s="3068"/>
      <c r="T2" s="3068"/>
      <c r="U2" s="3068"/>
      <c r="V2" s="3077"/>
    </row>
    <row r="3" spans="1:22" s="3081" customFormat="1" ht="13.15" customHeight="1">
      <c r="A3" s="3082" t="s">
        <v>2308</v>
      </c>
      <c r="B3" s="3083" t="e">
        <f>ROUND(B2*10000/B4,0)</f>
        <v>#DIV/0!</v>
      </c>
      <c r="C3" s="3072" t="s">
        <v>2309</v>
      </c>
      <c r="D3" s="3072"/>
      <c r="E3" s="3073"/>
      <c r="F3" s="3074"/>
      <c r="G3" s="3075"/>
      <c r="H3" s="3076"/>
      <c r="I3" s="3077"/>
      <c r="J3" s="3978" t="s">
        <v>2310</v>
      </c>
      <c r="K3" s="3979"/>
      <c r="L3" s="3084"/>
      <c r="M3" s="3084"/>
      <c r="N3" s="3084"/>
      <c r="O3" s="3084"/>
      <c r="P3" s="3084"/>
      <c r="Q3" s="3085"/>
      <c r="R3" s="3086">
        <f>SUM(L3:Q3)</f>
        <v>0</v>
      </c>
      <c r="S3" s="3068"/>
      <c r="T3" s="3068"/>
      <c r="U3" s="3068"/>
      <c r="V3" s="3077"/>
    </row>
    <row r="4" spans="1:22" s="3081" customFormat="1" ht="13.15" customHeight="1">
      <c r="A4" s="3087" t="s">
        <v>2311</v>
      </c>
      <c r="B4" s="3088"/>
      <c r="C4" s="3072"/>
      <c r="D4" s="3072"/>
      <c r="E4" s="3073"/>
      <c r="F4" s="3074"/>
      <c r="G4" s="3075"/>
      <c r="H4" s="3076"/>
      <c r="I4" s="3077"/>
      <c r="J4" s="3978" t="s">
        <v>2312</v>
      </c>
      <c r="K4" s="3979"/>
      <c r="L4" s="3089"/>
      <c r="M4" s="3089"/>
      <c r="N4" s="3089"/>
      <c r="O4" s="3089"/>
      <c r="P4" s="3089"/>
      <c r="Q4" s="3090"/>
      <c r="R4" s="3091">
        <f>SUM(L4:Q4)</f>
        <v>0</v>
      </c>
      <c r="S4" s="3068"/>
      <c r="T4" s="3068"/>
      <c r="U4" s="3068"/>
      <c r="V4" s="3077"/>
    </row>
    <row r="5" spans="1:22" s="3081" customFormat="1" ht="13.15" customHeight="1" thickBot="1">
      <c r="A5" s="3092" t="s">
        <v>2313</v>
      </c>
      <c r="B5" s="3093"/>
      <c r="C5" s="3072"/>
      <c r="D5" s="3094"/>
      <c r="E5" s="3074"/>
      <c r="F5" s="3074"/>
      <c r="G5" s="3075"/>
      <c r="H5" s="3076"/>
      <c r="I5" s="3077"/>
      <c r="J5" s="3095" t="s">
        <v>2314</v>
      </c>
      <c r="K5" s="3096"/>
      <c r="L5" s="3096"/>
      <c r="M5" s="3097"/>
      <c r="N5" s="3097"/>
      <c r="O5" s="3097"/>
      <c r="P5" s="3097"/>
      <c r="Q5" s="3097"/>
      <c r="R5" s="3080">
        <f>SUM(R14,R19,R24,R25,R27,R28)</f>
        <v>0</v>
      </c>
      <c r="S5" s="3068"/>
      <c r="T5" s="3068" t="s">
        <v>2315</v>
      </c>
      <c r="U5" s="3068" t="e">
        <f>ROUND(R5*10000/365/R3,1)</f>
        <v>#DIV/0!</v>
      </c>
      <c r="V5" s="3077"/>
    </row>
    <row r="6" spans="1:22" s="3081" customFormat="1" ht="13.15" customHeight="1" thickBot="1">
      <c r="A6" s="3980" t="s">
        <v>2316</v>
      </c>
      <c r="B6" s="3981"/>
      <c r="C6" s="3982"/>
      <c r="D6" s="3098"/>
      <c r="E6" s="3099"/>
      <c r="F6" s="3100"/>
      <c r="G6" s="3101"/>
      <c r="H6" s="3076"/>
      <c r="I6" s="3077"/>
      <c r="J6" s="3983">
        <v>1</v>
      </c>
      <c r="K6" s="3984" t="s">
        <v>2317</v>
      </c>
      <c r="L6" s="3102" t="s">
        <v>2318</v>
      </c>
      <c r="M6" s="3103" t="s">
        <v>2319</v>
      </c>
      <c r="N6" s="3103" t="s">
        <v>2320</v>
      </c>
      <c r="O6" s="3103" t="s">
        <v>2321</v>
      </c>
      <c r="P6" s="3103" t="s">
        <v>2322</v>
      </c>
      <c r="Q6" s="3103" t="s">
        <v>2323</v>
      </c>
      <c r="R6" s="3086" t="s">
        <v>2324</v>
      </c>
      <c r="S6" s="3068"/>
      <c r="T6" s="3068" t="s">
        <v>2325</v>
      </c>
      <c r="U6" s="3068"/>
      <c r="V6" s="3077"/>
    </row>
    <row r="7" spans="1:22" s="3081" customFormat="1" ht="13.15" customHeight="1">
      <c r="A7" s="3104" t="s">
        <v>2326</v>
      </c>
      <c r="B7" s="3105"/>
      <c r="C7" s="3106"/>
      <c r="D7" s="3107">
        <f>SUM(D9,D10,D11,D17,0)</f>
        <v>0</v>
      </c>
      <c r="E7" s="3108" t="e">
        <f>E9+E10+E11+E17</f>
        <v>#DIV/0!</v>
      </c>
      <c r="F7" s="3109"/>
      <c r="G7" s="3110"/>
      <c r="H7" s="3076"/>
      <c r="I7" s="3077"/>
      <c r="J7" s="3983"/>
      <c r="K7" s="3985"/>
      <c r="L7" s="3111" t="s">
        <v>2327</v>
      </c>
      <c r="M7" s="3112"/>
      <c r="N7" s="3088"/>
      <c r="O7" s="3113"/>
      <c r="P7" s="3113"/>
      <c r="Q7" s="3114">
        <v>365</v>
      </c>
      <c r="R7" s="3115">
        <f>ROUND(M7*N7*O7*P7*Q7/10000,0)</f>
        <v>0</v>
      </c>
      <c r="S7" s="3068"/>
      <c r="T7" s="3068" t="s">
        <v>2328</v>
      </c>
      <c r="U7" s="3068"/>
      <c r="V7" s="3077"/>
    </row>
    <row r="8" spans="1:22" s="3081" customFormat="1" ht="13.15" customHeight="1">
      <c r="A8" s="3116" t="s">
        <v>2329</v>
      </c>
      <c r="B8" s="3987" t="s">
        <v>2330</v>
      </c>
      <c r="C8" s="3988"/>
      <c r="D8" s="3117" t="s">
        <v>2331</v>
      </c>
      <c r="E8" s="3118" t="s">
        <v>2332</v>
      </c>
      <c r="F8" s="3119" t="s">
        <v>2333</v>
      </c>
      <c r="G8" s="3120"/>
      <c r="H8" s="3076"/>
      <c r="I8" s="3077"/>
      <c r="J8" s="3983"/>
      <c r="K8" s="3985"/>
      <c r="L8" s="3111" t="s">
        <v>2334</v>
      </c>
      <c r="M8" s="3112"/>
      <c r="N8" s="3088"/>
      <c r="O8" s="3113"/>
      <c r="P8" s="3113"/>
      <c r="Q8" s="3114">
        <v>365</v>
      </c>
      <c r="R8" s="3115">
        <f t="shared" ref="R8:R13" si="0">ROUND(M8*N8*O8*P8*Q8/10000,0)</f>
        <v>0</v>
      </c>
      <c r="S8" s="3068"/>
      <c r="T8" s="3068" t="s">
        <v>2335</v>
      </c>
      <c r="U8" s="3068"/>
      <c r="V8" s="3077"/>
    </row>
    <row r="9" spans="1:22" s="3081" customFormat="1" ht="13.15" customHeight="1">
      <c r="A9" s="3116">
        <v>1</v>
      </c>
      <c r="B9" s="3987" t="s">
        <v>2336</v>
      </c>
      <c r="C9" s="3988"/>
      <c r="D9" s="3117">
        <f>ROUND(D6*E9,0)</f>
        <v>0</v>
      </c>
      <c r="E9" s="3121"/>
      <c r="F9" s="3122" t="s">
        <v>2337</v>
      </c>
      <c r="G9" s="3101"/>
      <c r="H9" s="3076"/>
      <c r="I9" s="3077"/>
      <c r="J9" s="3983"/>
      <c r="K9" s="3985"/>
      <c r="L9" s="3111" t="s">
        <v>2338</v>
      </c>
      <c r="M9" s="3112"/>
      <c r="N9" s="3088"/>
      <c r="O9" s="3113"/>
      <c r="P9" s="3113"/>
      <c r="Q9" s="3114">
        <v>365</v>
      </c>
      <c r="R9" s="3115">
        <f t="shared" si="0"/>
        <v>0</v>
      </c>
      <c r="S9" s="3068"/>
      <c r="T9" s="3068"/>
      <c r="U9" s="3068"/>
      <c r="V9" s="3077"/>
    </row>
    <row r="10" spans="1:22" s="3081" customFormat="1" ht="13.15" customHeight="1">
      <c r="A10" s="3116">
        <v>2</v>
      </c>
      <c r="B10" s="3987" t="s">
        <v>2339</v>
      </c>
      <c r="C10" s="3988"/>
      <c r="D10" s="3117">
        <f>ROUND(D6*E10,0)</f>
        <v>0</v>
      </c>
      <c r="E10" s="3121"/>
      <c r="F10" s="3122" t="s">
        <v>2340</v>
      </c>
      <c r="G10" s="3101"/>
      <c r="H10" s="3076"/>
      <c r="I10" s="3077"/>
      <c r="J10" s="3983"/>
      <c r="K10" s="3985"/>
      <c r="L10" s="3111" t="s">
        <v>2341</v>
      </c>
      <c r="M10" s="3112"/>
      <c r="N10" s="3088"/>
      <c r="O10" s="3113"/>
      <c r="P10" s="3113"/>
      <c r="Q10" s="3114">
        <v>365</v>
      </c>
      <c r="R10" s="3115">
        <f t="shared" si="0"/>
        <v>0</v>
      </c>
      <c r="S10" s="3068"/>
      <c r="T10" s="3068"/>
      <c r="U10" s="3068"/>
      <c r="V10" s="3077"/>
    </row>
    <row r="11" spans="1:22" s="3081" customFormat="1" ht="13.15" customHeight="1">
      <c r="A11" s="3116">
        <v>3</v>
      </c>
      <c r="B11" s="3987" t="s">
        <v>2342</v>
      </c>
      <c r="C11" s="3988"/>
      <c r="D11" s="3117">
        <f>D12+D14+D15+D16</f>
        <v>0</v>
      </c>
      <c r="E11" s="3123" t="e">
        <f>D11/D6</f>
        <v>#DIV/0!</v>
      </c>
      <c r="F11" s="3119"/>
      <c r="G11" s="3120"/>
      <c r="H11" s="3076"/>
      <c r="I11" s="3077"/>
      <c r="J11" s="3983"/>
      <c r="K11" s="3985"/>
      <c r="L11" s="3111" t="s">
        <v>2343</v>
      </c>
      <c r="M11" s="3112"/>
      <c r="N11" s="3088"/>
      <c r="O11" s="3113"/>
      <c r="P11" s="3113"/>
      <c r="Q11" s="3114">
        <v>365</v>
      </c>
      <c r="R11" s="3115">
        <f t="shared" si="0"/>
        <v>0</v>
      </c>
      <c r="S11" s="3068"/>
      <c r="T11" s="3068"/>
      <c r="U11" s="3068"/>
      <c r="V11" s="3077"/>
    </row>
    <row r="12" spans="1:22" s="3081" customFormat="1" ht="13.15" customHeight="1">
      <c r="A12" s="3124" t="s">
        <v>2344</v>
      </c>
      <c r="B12" s="3989" t="s">
        <v>2345</v>
      </c>
      <c r="C12" s="3990"/>
      <c r="D12" s="3125">
        <f>ROUND(D13*1.2%*(1-30%),0)</f>
        <v>0</v>
      </c>
      <c r="E12" s="3126">
        <v>1.2E-2</v>
      </c>
      <c r="F12" s="3119" t="s">
        <v>2346</v>
      </c>
      <c r="G12" s="3120"/>
      <c r="H12" s="3076"/>
      <c r="I12" s="3077"/>
      <c r="J12" s="3983"/>
      <c r="K12" s="3985"/>
      <c r="L12" s="3111" t="s">
        <v>2347</v>
      </c>
      <c r="M12" s="3112"/>
      <c r="N12" s="3088"/>
      <c r="O12" s="3113"/>
      <c r="P12" s="3113"/>
      <c r="Q12" s="3114">
        <v>365</v>
      </c>
      <c r="R12" s="3115">
        <f t="shared" si="0"/>
        <v>0</v>
      </c>
      <c r="S12" s="3068"/>
      <c r="T12" s="3068"/>
      <c r="U12" s="3068"/>
      <c r="V12" s="3077"/>
    </row>
    <row r="13" spans="1:22" s="3081" customFormat="1" ht="13.15" customHeight="1">
      <c r="A13" s="3124"/>
      <c r="B13" s="3127"/>
      <c r="C13" s="3128" t="s">
        <v>2348</v>
      </c>
      <c r="D13" s="3129"/>
      <c r="E13" s="3130"/>
      <c r="F13" s="3119"/>
      <c r="G13" s="3120"/>
      <c r="H13" s="3076"/>
      <c r="I13" s="3077"/>
      <c r="J13" s="3983"/>
      <c r="K13" s="3985"/>
      <c r="L13" s="3111" t="s">
        <v>2349</v>
      </c>
      <c r="M13" s="3112"/>
      <c r="N13" s="3088"/>
      <c r="O13" s="3113"/>
      <c r="P13" s="3113"/>
      <c r="Q13" s="3114">
        <v>365</v>
      </c>
      <c r="R13" s="3115">
        <f t="shared" si="0"/>
        <v>0</v>
      </c>
      <c r="S13" s="3068"/>
      <c r="T13" s="3068"/>
      <c r="U13" s="3068"/>
      <c r="V13" s="3077"/>
    </row>
    <row r="14" spans="1:22" s="3081" customFormat="1" ht="13.15" customHeight="1">
      <c r="A14" s="3124" t="s">
        <v>2350</v>
      </c>
      <c r="B14" s="3989" t="s">
        <v>2351</v>
      </c>
      <c r="C14" s="3990"/>
      <c r="D14" s="3125">
        <f>ROUND(E14*B5/10000,0)</f>
        <v>0</v>
      </c>
      <c r="E14" s="3114"/>
      <c r="F14" s="3119" t="s">
        <v>2352</v>
      </c>
      <c r="G14" s="3120"/>
      <c r="H14" s="3076"/>
      <c r="I14" s="3077"/>
      <c r="J14" s="3983"/>
      <c r="K14" s="3986"/>
      <c r="L14" s="3131" t="s">
        <v>2353</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2354</v>
      </c>
      <c r="B15" s="3989" t="s">
        <v>2355</v>
      </c>
      <c r="C15" s="3990"/>
      <c r="D15" s="3125">
        <f>ROUND(D6*E15,0)</f>
        <v>0</v>
      </c>
      <c r="E15" s="3126">
        <v>5.5E-2</v>
      </c>
      <c r="F15" s="3119" t="s">
        <v>2356</v>
      </c>
      <c r="G15" s="3101"/>
      <c r="H15" s="3076"/>
      <c r="I15" s="3077"/>
      <c r="J15" s="3983">
        <v>2</v>
      </c>
      <c r="K15" s="3984" t="s">
        <v>2357</v>
      </c>
      <c r="L15" s="3111" t="s">
        <v>2358</v>
      </c>
      <c r="M15" s="3112" t="s">
        <v>2359</v>
      </c>
      <c r="N15" s="3112" t="s">
        <v>2360</v>
      </c>
      <c r="O15" s="3113" t="s">
        <v>2361</v>
      </c>
      <c r="P15" s="3113" t="s">
        <v>2362</v>
      </c>
      <c r="Q15" s="3088" t="s">
        <v>2363</v>
      </c>
      <c r="R15" s="3135" t="s">
        <v>2364</v>
      </c>
      <c r="S15" s="3068"/>
      <c r="T15" s="3068"/>
      <c r="U15" s="3068"/>
      <c r="V15" s="3077"/>
    </row>
    <row r="16" spans="1:22" s="3081" customFormat="1" ht="13.15" customHeight="1">
      <c r="A16" s="3124" t="s">
        <v>2365</v>
      </c>
      <c r="B16" s="3989" t="s">
        <v>2366</v>
      </c>
      <c r="C16" s="3990"/>
      <c r="D16" s="3136">
        <f>D6*E16</f>
        <v>0</v>
      </c>
      <c r="E16" s="3137"/>
      <c r="F16" s="3122" t="s">
        <v>2367</v>
      </c>
      <c r="G16" s="3101"/>
      <c r="H16" s="3076"/>
      <c r="I16" s="3077"/>
      <c r="J16" s="3983"/>
      <c r="K16" s="3985"/>
      <c r="L16" s="3111" t="s">
        <v>2368</v>
      </c>
      <c r="M16" s="3112"/>
      <c r="N16" s="3112"/>
      <c r="O16" s="3113"/>
      <c r="P16" s="3114">
        <v>365</v>
      </c>
      <c r="Q16" s="3088"/>
      <c r="R16" s="3135">
        <f>ROUND(M16*N16*O16*P16/10000,0)</f>
        <v>0</v>
      </c>
      <c r="S16" s="3068"/>
      <c r="T16" s="3068"/>
      <c r="U16" s="3068"/>
      <c r="V16" s="3077"/>
    </row>
    <row r="17" spans="1:22" s="3081" customFormat="1" ht="13.15" customHeight="1" thickBot="1">
      <c r="A17" s="3138">
        <v>4</v>
      </c>
      <c r="B17" s="3991" t="s">
        <v>2369</v>
      </c>
      <c r="C17" s="3992"/>
      <c r="D17" s="3139">
        <f>ROUND(D6*E17,0)</f>
        <v>0</v>
      </c>
      <c r="E17" s="3140"/>
      <c r="F17" s="3141" t="s">
        <v>2370</v>
      </c>
      <c r="G17" s="3101"/>
      <c r="H17" s="3076"/>
      <c r="I17" s="3077"/>
      <c r="J17" s="3983"/>
      <c r="K17" s="3985"/>
      <c r="L17" s="3111" t="s">
        <v>2371</v>
      </c>
      <c r="M17" s="3112"/>
      <c r="N17" s="3112"/>
      <c r="O17" s="3113"/>
      <c r="P17" s="3114">
        <v>365</v>
      </c>
      <c r="Q17" s="3088"/>
      <c r="R17" s="3135">
        <f>ROUND(M17*N17*O17*P17/10000,0)</f>
        <v>0</v>
      </c>
      <c r="S17" s="3068"/>
      <c r="T17" s="3068"/>
      <c r="U17" s="3068"/>
      <c r="V17" s="3077"/>
    </row>
    <row r="18" spans="1:22" s="3081" customFormat="1" ht="13.15" customHeight="1" thickBot="1">
      <c r="A18" s="3104" t="s">
        <v>2372</v>
      </c>
      <c r="B18" s="3105"/>
      <c r="C18" s="3105"/>
      <c r="D18" s="3142">
        <f>ROUND(D6*E18,0)</f>
        <v>0</v>
      </c>
      <c r="E18" s="3143"/>
      <c r="F18" s="3144" t="s">
        <v>2373</v>
      </c>
      <c r="G18" s="3101"/>
      <c r="H18" s="3076"/>
      <c r="I18" s="3077"/>
      <c r="J18" s="3983"/>
      <c r="K18" s="3985"/>
      <c r="L18" s="3111" t="s">
        <v>2374</v>
      </c>
      <c r="M18" s="3112"/>
      <c r="N18" s="3112"/>
      <c r="O18" s="3113"/>
      <c r="P18" s="3114">
        <v>365</v>
      </c>
      <c r="Q18" s="3088"/>
      <c r="R18" s="3135">
        <f>ROUND(M18*N18*O18*P18/10000,0)</f>
        <v>0</v>
      </c>
      <c r="S18" s="3068"/>
      <c r="T18" s="3068"/>
      <c r="U18" s="3068"/>
      <c r="V18" s="3077"/>
    </row>
    <row r="19" spans="1:22" s="3081" customFormat="1" ht="13.15" customHeight="1" thickBot="1">
      <c r="A19" s="3145" t="s">
        <v>2375</v>
      </c>
      <c r="B19" s="3099"/>
      <c r="C19" s="3099"/>
      <c r="D19" s="3099"/>
      <c r="E19" s="3099"/>
      <c r="F19" s="3100"/>
      <c r="G19" s="3120"/>
      <c r="H19" s="3076"/>
      <c r="I19" s="3077"/>
      <c r="J19" s="3983"/>
      <c r="K19" s="3986"/>
      <c r="L19" s="3131" t="s">
        <v>2353</v>
      </c>
      <c r="M19" s="3132"/>
      <c r="N19" s="3132">
        <f>SUM(N16:N18)</f>
        <v>0</v>
      </c>
      <c r="O19" s="3133"/>
      <c r="P19" s="3146" t="s">
        <v>2441</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83">
        <v>3</v>
      </c>
      <c r="K20" s="3984" t="s">
        <v>2376</v>
      </c>
      <c r="L20" s="3111" t="s">
        <v>2377</v>
      </c>
      <c r="M20" s="3112" t="s">
        <v>2378</v>
      </c>
      <c r="N20" s="3149" t="s">
        <v>2379</v>
      </c>
      <c r="O20" s="3113" t="s">
        <v>2380</v>
      </c>
      <c r="P20" s="3114" t="s">
        <v>2381</v>
      </c>
      <c r="Q20" s="3088" t="s">
        <v>2382</v>
      </c>
      <c r="R20" s="3135" t="s">
        <v>2324</v>
      </c>
      <c r="S20" s="3150"/>
      <c r="T20" s="3150"/>
      <c r="U20" s="3150"/>
      <c r="V20" s="3077"/>
    </row>
    <row r="21" spans="1:22" s="3081" customFormat="1" ht="13.15" customHeight="1">
      <c r="A21" s="3104"/>
      <c r="B21" s="3105"/>
      <c r="C21" s="3151" t="s">
        <v>2383</v>
      </c>
      <c r="D21" s="3152" t="s">
        <v>2384</v>
      </c>
      <c r="E21" s="3153" t="s">
        <v>2385</v>
      </c>
      <c r="F21" s="3148"/>
      <c r="G21" s="3120"/>
      <c r="H21" s="3076"/>
      <c r="I21" s="3077"/>
      <c r="J21" s="3983"/>
      <c r="K21" s="3985"/>
      <c r="L21" s="3111" t="s">
        <v>2386</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2387</v>
      </c>
      <c r="D22" s="3156" t="s">
        <v>2388</v>
      </c>
      <c r="E22" s="3157" t="s">
        <v>2389</v>
      </c>
      <c r="F22" s="3148"/>
      <c r="G22" s="3158"/>
      <c r="H22" s="3076"/>
      <c r="I22" s="3077"/>
      <c r="J22" s="3983"/>
      <c r="K22" s="3985"/>
      <c r="L22" s="3111" t="s">
        <v>2390</v>
      </c>
      <c r="M22" s="3112"/>
      <c r="N22" s="3112"/>
      <c r="O22" s="3113"/>
      <c r="P22" s="3114">
        <v>365</v>
      </c>
      <c r="Q22" s="3088"/>
      <c r="R22" s="3154">
        <f>ROUND(M22*N22*O22*P22/10000,0)</f>
        <v>0</v>
      </c>
      <c r="S22" s="3150"/>
      <c r="T22" s="3150"/>
      <c r="U22" s="3150"/>
      <c r="V22" s="3077"/>
    </row>
    <row r="23" spans="1:22" s="3081" customFormat="1" ht="13.15" customHeight="1">
      <c r="A23" s="3159">
        <v>1</v>
      </c>
      <c r="B23" s="3160" t="s">
        <v>2391</v>
      </c>
      <c r="C23" s="3161">
        <f>D6</f>
        <v>0</v>
      </c>
      <c r="D23" s="3162">
        <f>C23*(1+D24)</f>
        <v>0</v>
      </c>
      <c r="E23" s="3163">
        <f>D23*(1+E24)</f>
        <v>0</v>
      </c>
      <c r="F23" s="3164"/>
      <c r="G23" s="3165"/>
      <c r="H23" s="3076"/>
      <c r="I23" s="3077"/>
      <c r="J23" s="3983"/>
      <c r="K23" s="3985"/>
      <c r="L23" s="3111" t="s">
        <v>2392</v>
      </c>
      <c r="M23" s="3112"/>
      <c r="N23" s="3112"/>
      <c r="O23" s="3113"/>
      <c r="P23" s="3114">
        <v>365</v>
      </c>
      <c r="Q23" s="3088"/>
      <c r="R23" s="3154">
        <f>ROUND(M23*N23*O23*P23/10000,0)</f>
        <v>0</v>
      </c>
      <c r="S23" s="3068"/>
      <c r="T23" s="3068"/>
      <c r="U23" s="3068"/>
      <c r="V23" s="3077"/>
    </row>
    <row r="24" spans="1:22" s="3081" customFormat="1" ht="13.15" customHeight="1">
      <c r="A24" s="3166"/>
      <c r="B24" s="3167" t="s">
        <v>2393</v>
      </c>
      <c r="C24" s="3168"/>
      <c r="D24" s="3169"/>
      <c r="E24" s="3170"/>
      <c r="F24" s="3171"/>
      <c r="G24" s="3165"/>
      <c r="H24" s="3076"/>
      <c r="I24" s="3077"/>
      <c r="J24" s="3983"/>
      <c r="K24" s="3986"/>
      <c r="L24" s="3131" t="s">
        <v>2353</v>
      </c>
      <c r="M24" s="3132">
        <f>SUM(M21:M23)</f>
        <v>0</v>
      </c>
      <c r="N24" s="3132"/>
      <c r="O24" s="3133"/>
      <c r="P24" s="3146" t="s">
        <v>2441</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2394</v>
      </c>
      <c r="L25" s="3174"/>
      <c r="M25" s="3174"/>
      <c r="N25" s="3174"/>
      <c r="O25" s="3174"/>
      <c r="P25" s="3175"/>
      <c r="Q25" s="3176"/>
      <c r="R25" s="3147">
        <f>ROUND(R14*Q25,0)</f>
        <v>0</v>
      </c>
      <c r="S25" s="3068"/>
      <c r="T25" s="3068"/>
      <c r="U25" s="3068"/>
      <c r="V25" s="3177"/>
    </row>
    <row r="26" spans="1:22" s="3178" customFormat="1" ht="13.15" customHeight="1">
      <c r="A26" s="3159">
        <v>2</v>
      </c>
      <c r="B26" s="3160" t="s">
        <v>2395</v>
      </c>
      <c r="C26" s="3161">
        <f>D7</f>
        <v>0</v>
      </c>
      <c r="D26" s="3162">
        <f>D23*D27</f>
        <v>0</v>
      </c>
      <c r="E26" s="3163">
        <f>E23*E27</f>
        <v>0</v>
      </c>
      <c r="F26" s="3164"/>
      <c r="G26" s="3165"/>
      <c r="H26" s="3076"/>
      <c r="I26" s="3077"/>
      <c r="J26" s="3993">
        <v>5</v>
      </c>
      <c r="K26" s="3179" t="s">
        <v>2396</v>
      </c>
      <c r="L26" s="3180"/>
      <c r="M26" s="3181"/>
      <c r="N26" s="3182" t="s">
        <v>2397</v>
      </c>
      <c r="O26" s="3182" t="s">
        <v>2398</v>
      </c>
      <c r="P26" s="3183" t="s">
        <v>2399</v>
      </c>
      <c r="Q26" s="3183" t="s">
        <v>2400</v>
      </c>
      <c r="R26" s="3086" t="s">
        <v>2401</v>
      </c>
      <c r="S26" s="3184"/>
      <c r="T26" s="3184"/>
      <c r="U26" s="3184"/>
      <c r="V26" s="3177"/>
    </row>
    <row r="27" spans="1:22" s="3081" customFormat="1" ht="13.15" customHeight="1">
      <c r="A27" s="3166"/>
      <c r="B27" s="3167" t="s">
        <v>2402</v>
      </c>
      <c r="C27" s="3185" t="e">
        <f>E7</f>
        <v>#DIV/0!</v>
      </c>
      <c r="D27" s="3169"/>
      <c r="E27" s="3170"/>
      <c r="F27" s="3171"/>
      <c r="G27" s="3165"/>
      <c r="H27" s="3186"/>
      <c r="I27" s="3177"/>
      <c r="J27" s="3994"/>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2403</v>
      </c>
      <c r="F28" s="3171"/>
      <c r="G28" s="3158"/>
      <c r="H28" s="3186"/>
      <c r="I28" s="3177"/>
      <c r="J28" s="3192">
        <v>6</v>
      </c>
      <c r="K28" s="3193" t="s">
        <v>2404</v>
      </c>
      <c r="L28" s="3194" t="s">
        <v>2405</v>
      </c>
      <c r="M28" s="3195"/>
      <c r="N28" s="3194" t="s">
        <v>2406</v>
      </c>
      <c r="O28" s="3196"/>
      <c r="P28" s="3194" t="s">
        <v>2407</v>
      </c>
      <c r="Q28" s="3197">
        <v>1.4999999999999999E-2</v>
      </c>
      <c r="R28" s="3198"/>
      <c r="S28" s="3150"/>
      <c r="T28" s="3150"/>
      <c r="U28" s="3150"/>
      <c r="V28" s="3177"/>
    </row>
    <row r="29" spans="1:22" s="3178" customFormat="1" ht="13.15" customHeight="1">
      <c r="A29" s="3159">
        <v>3</v>
      </c>
      <c r="B29" s="3160" t="s">
        <v>2408</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2409</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2410</v>
      </c>
      <c r="K31" s="3066"/>
      <c r="L31" s="3066"/>
      <c r="M31" s="3066"/>
      <c r="N31" s="3066"/>
      <c r="O31" s="3066"/>
      <c r="P31" s="3066"/>
      <c r="Q31" s="3066"/>
      <c r="R31" s="3067"/>
      <c r="S31" s="3150"/>
      <c r="T31" s="3068"/>
      <c r="U31" s="3068"/>
      <c r="V31" s="3177"/>
    </row>
    <row r="32" spans="1:22" s="3178" customFormat="1" ht="13.15" customHeight="1">
      <c r="A32" s="3159">
        <v>4</v>
      </c>
      <c r="B32" s="3160" t="s">
        <v>2411</v>
      </c>
      <c r="C32" s="3161">
        <f>C23-C26-C29</f>
        <v>0</v>
      </c>
      <c r="D32" s="3162">
        <f>D23-D26-D29</f>
        <v>0</v>
      </c>
      <c r="E32" s="3163">
        <f>E23-E26-E29</f>
        <v>0</v>
      </c>
      <c r="F32" s="3164"/>
      <c r="G32" s="3158"/>
      <c r="H32" s="3076"/>
      <c r="I32" s="3077"/>
      <c r="J32" s="3976" t="s">
        <v>2412</v>
      </c>
      <c r="K32" s="3977"/>
      <c r="L32" s="3078" t="s">
        <v>2413</v>
      </c>
      <c r="M32" s="3078" t="s">
        <v>2302</v>
      </c>
      <c r="N32" s="3078" t="s">
        <v>2303</v>
      </c>
      <c r="O32" s="3078" t="s">
        <v>2304</v>
      </c>
      <c r="P32" s="3078" t="s">
        <v>2305</v>
      </c>
      <c r="Q32" s="3079" t="s">
        <v>2414</v>
      </c>
      <c r="R32" s="3201" t="s">
        <v>2415</v>
      </c>
      <c r="S32" s="3150"/>
      <c r="T32" s="3068"/>
      <c r="U32" s="3068"/>
      <c r="V32" s="3177"/>
    </row>
    <row r="33" spans="1:23" s="3081" customFormat="1" ht="13.15" customHeight="1">
      <c r="A33" s="3159"/>
      <c r="B33" s="3160"/>
      <c r="C33" s="3161"/>
      <c r="D33" s="3202"/>
      <c r="E33" s="3203"/>
      <c r="F33" s="3164"/>
      <c r="G33" s="3158"/>
      <c r="H33" s="3186"/>
      <c r="I33" s="3177"/>
      <c r="J33" s="3978" t="s">
        <v>2416</v>
      </c>
      <c r="K33" s="3979"/>
      <c r="L33" s="3084"/>
      <c r="M33" s="3084"/>
      <c r="N33" s="3084"/>
      <c r="O33" s="3084"/>
      <c r="P33" s="3084"/>
      <c r="Q33" s="3085"/>
      <c r="R33" s="3204">
        <f>SUM(L33:Q33)</f>
        <v>0</v>
      </c>
      <c r="S33" s="3150"/>
      <c r="T33" s="3068"/>
      <c r="U33" s="3068"/>
      <c r="V33" s="3077"/>
    </row>
    <row r="34" spans="1:23" s="3081" customFormat="1" ht="13.15" customHeight="1">
      <c r="A34" s="3159">
        <v>5</v>
      </c>
      <c r="B34" s="3160" t="s">
        <v>2417</v>
      </c>
      <c r="C34" s="3205"/>
      <c r="D34" s="3206"/>
      <c r="E34" s="3207"/>
      <c r="F34" s="3164"/>
      <c r="G34" s="3158"/>
      <c r="H34" s="3186"/>
      <c r="I34" s="3177"/>
      <c r="J34" s="3978" t="s">
        <v>2418</v>
      </c>
      <c r="K34" s="3979"/>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2419</v>
      </c>
      <c r="C35" s="3209"/>
      <c r="D35" s="3210"/>
      <c r="E35" s="3211"/>
      <c r="F35" s="3164"/>
      <c r="G35" s="3212"/>
      <c r="H35" s="3076"/>
      <c r="I35" s="3177"/>
      <c r="J35" s="3095" t="s">
        <v>2420</v>
      </c>
      <c r="K35" s="3096"/>
      <c r="L35" s="3096"/>
      <c r="M35" s="3097"/>
      <c r="N35" s="3097"/>
      <c r="O35" s="3097"/>
      <c r="P35" s="3097"/>
      <c r="Q35" s="3097"/>
      <c r="R35" s="3213">
        <f>R40+R41+R43</f>
        <v>0</v>
      </c>
      <c r="S35" s="3150"/>
      <c r="T35" s="3068" t="s">
        <v>2421</v>
      </c>
      <c r="U35" s="3068"/>
      <c r="V35" s="3077"/>
    </row>
    <row r="36" spans="1:23" s="3081" customFormat="1" ht="13.15" customHeight="1" thickBot="1">
      <c r="A36" s="3159">
        <v>7</v>
      </c>
      <c r="B36" s="3214" t="s">
        <v>2422</v>
      </c>
      <c r="C36" s="3215"/>
      <c r="D36" s="3216"/>
      <c r="E36" s="3217"/>
      <c r="F36" s="3218">
        <f>C36+D36+E36</f>
        <v>0</v>
      </c>
      <c r="G36" s="3158"/>
      <c r="H36" s="3076"/>
      <c r="I36" s="3077"/>
      <c r="J36" s="3983">
        <v>1</v>
      </c>
      <c r="K36" s="3984" t="s">
        <v>2423</v>
      </c>
      <c r="L36" s="3102"/>
      <c r="M36" s="3103"/>
      <c r="N36" s="3103"/>
      <c r="O36" s="3103"/>
      <c r="P36" s="3103"/>
      <c r="Q36" s="3103"/>
      <c r="R36" s="3086" t="s">
        <v>2324</v>
      </c>
      <c r="S36" s="3150"/>
      <c r="T36" s="3068" t="s">
        <v>2325</v>
      </c>
      <c r="U36" s="3068"/>
      <c r="V36" s="3077"/>
    </row>
    <row r="37" spans="1:23" s="3081" customFormat="1" ht="13.15" customHeight="1">
      <c r="A37" s="3159"/>
      <c r="B37" s="3160"/>
      <c r="C37" s="3160"/>
      <c r="D37" s="3160"/>
      <c r="E37" s="3160"/>
      <c r="F37" s="3164"/>
      <c r="G37" s="3158"/>
      <c r="H37" s="3076"/>
      <c r="I37" s="3077"/>
      <c r="J37" s="3983"/>
      <c r="K37" s="3985"/>
      <c r="L37" s="3111"/>
      <c r="M37" s="3112"/>
      <c r="N37" s="3088"/>
      <c r="O37" s="3113"/>
      <c r="P37" s="3113"/>
      <c r="Q37" s="3114"/>
      <c r="R37" s="3115"/>
      <c r="S37" s="3150"/>
      <c r="T37" s="3068" t="s">
        <v>2328</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83"/>
      <c r="K38" s="3985"/>
      <c r="L38" s="3111"/>
      <c r="M38" s="3112"/>
      <c r="N38" s="3088"/>
      <c r="O38" s="3113"/>
      <c r="P38" s="3113"/>
      <c r="Q38" s="3114"/>
      <c r="R38" s="3115"/>
      <c r="S38" s="3150"/>
      <c r="T38" s="3068" t="s">
        <v>2335</v>
      </c>
      <c r="U38" s="3068"/>
      <c r="V38" s="3077"/>
    </row>
    <row r="39" spans="1:23" s="3081" customFormat="1" ht="13.15" customHeight="1">
      <c r="A39" s="3159">
        <v>9</v>
      </c>
      <c r="B39" s="3160" t="s">
        <v>2424</v>
      </c>
      <c r="C39" s="3125" t="e">
        <f>C38</f>
        <v>#DIV/0!</v>
      </c>
      <c r="D39" s="3160">
        <f>D38/(1+D34)^C36</f>
        <v>0</v>
      </c>
      <c r="E39" s="3160">
        <f>E38/(1+E34)^(C36+D36)</f>
        <v>0</v>
      </c>
      <c r="F39" s="3164"/>
      <c r="G39" s="3219"/>
      <c r="H39" s="3076"/>
      <c r="I39" s="3077"/>
      <c r="J39" s="3983"/>
      <c r="K39" s="3985"/>
      <c r="L39" s="3111"/>
      <c r="M39" s="3112"/>
      <c r="N39" s="3088"/>
      <c r="O39" s="3113"/>
      <c r="P39" s="3113"/>
      <c r="Q39" s="3114"/>
      <c r="R39" s="3115"/>
      <c r="S39" s="3150"/>
      <c r="T39" s="3068"/>
      <c r="U39" s="3068"/>
      <c r="V39" s="3077"/>
    </row>
    <row r="40" spans="1:23" s="3081" customFormat="1" ht="13.15" customHeight="1">
      <c r="A40" s="3220">
        <v>10</v>
      </c>
      <c r="B40" s="3160" t="s">
        <v>2425</v>
      </c>
      <c r="C40" s="3221" t="e">
        <f>C39+D39+E39</f>
        <v>#DIV/0!</v>
      </c>
      <c r="D40" s="3222"/>
      <c r="E40" s="3222"/>
      <c r="F40" s="3223"/>
      <c r="G40" s="3158"/>
      <c r="H40" s="3076"/>
      <c r="I40" s="3077"/>
      <c r="J40" s="3983"/>
      <c r="K40" s="3986"/>
      <c r="L40" s="3131" t="s">
        <v>2426</v>
      </c>
      <c r="M40" s="3132"/>
      <c r="N40" s="3132"/>
      <c r="O40" s="3133"/>
      <c r="P40" s="3133"/>
      <c r="Q40" s="3134"/>
      <c r="R40" s="3080">
        <f>SUM(R37:R39)</f>
        <v>0</v>
      </c>
      <c r="S40" s="3150"/>
      <c r="T40" s="3068"/>
      <c r="U40" s="3068"/>
      <c r="V40" s="3077"/>
    </row>
    <row r="41" spans="1:23" s="3081" customFormat="1" ht="13.15" customHeight="1" thickBot="1">
      <c r="A41" s="3224">
        <v>11</v>
      </c>
      <c r="B41" s="3225" t="s">
        <v>2427</v>
      </c>
      <c r="C41" s="3225" t="e">
        <f>ROUND(C40*10000/B4,0)</f>
        <v>#DIV/0!</v>
      </c>
      <c r="D41" s="3226"/>
      <c r="E41" s="3226"/>
      <c r="F41" s="3227"/>
      <c r="G41" s="3228"/>
      <c r="H41" s="3076"/>
      <c r="I41" s="3077"/>
      <c r="J41" s="3172">
        <v>2</v>
      </c>
      <c r="K41" s="3173" t="s">
        <v>2428</v>
      </c>
      <c r="L41" s="3174"/>
      <c r="M41" s="3174"/>
      <c r="N41" s="3174"/>
      <c r="O41" s="3174"/>
      <c r="P41" s="3175"/>
      <c r="Q41" s="3176"/>
      <c r="R41" s="3147">
        <f>ROUND(R40*Q41,0)</f>
        <v>0</v>
      </c>
      <c r="S41" s="3150"/>
      <c r="T41" s="3068"/>
      <c r="U41" s="3184"/>
      <c r="V41" s="3077"/>
    </row>
    <row r="42" spans="1:23" s="3081" customFormat="1" ht="13.15" customHeight="1">
      <c r="G42" s="3228"/>
      <c r="H42" s="3076"/>
      <c r="I42" s="3077"/>
      <c r="J42" s="3993">
        <v>3</v>
      </c>
      <c r="K42" s="3179" t="s">
        <v>2429</v>
      </c>
      <c r="L42" s="3180"/>
      <c r="M42" s="3181"/>
      <c r="N42" s="3182" t="s">
        <v>2430</v>
      </c>
      <c r="O42" s="3182" t="s">
        <v>2431</v>
      </c>
      <c r="P42" s="3183" t="s">
        <v>2432</v>
      </c>
      <c r="Q42" s="3183" t="s">
        <v>2433</v>
      </c>
      <c r="R42" s="3086" t="s">
        <v>2434</v>
      </c>
      <c r="S42" s="3184"/>
      <c r="T42" s="3184"/>
      <c r="U42" s="3068"/>
      <c r="V42" s="3077"/>
    </row>
    <row r="43" spans="1:23" ht="13.15" customHeight="1">
      <c r="A43" s="3081"/>
      <c r="B43" s="3081"/>
      <c r="C43" s="3081"/>
      <c r="D43" s="3081"/>
      <c r="E43" s="3081"/>
      <c r="F43" s="3081"/>
      <c r="I43" s="3063"/>
      <c r="J43" s="3994"/>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2435</v>
      </c>
      <c r="L44" s="3232" t="s">
        <v>2436</v>
      </c>
      <c r="M44" s="3195"/>
      <c r="N44" s="3232" t="s">
        <v>2437</v>
      </c>
      <c r="O44" s="3195"/>
      <c r="P44" s="3232" t="s">
        <v>2438</v>
      </c>
      <c r="Q44" s="3197">
        <v>1.4999999999999999E-2</v>
      </c>
      <c r="R44" s="31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17" sqref="F17"/>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t="e">
        <f ca="1">C23</f>
        <v>#DIV/0!</v>
      </c>
      <c r="C2" s="3010"/>
      <c r="D2" s="3010"/>
      <c r="E2" s="3010"/>
      <c r="F2" s="3010"/>
      <c r="G2" s="3010"/>
    </row>
    <row r="3" spans="1:25" s="1783" customFormat="1" ht="18" customHeight="1">
      <c r="A3" s="1237" t="s">
        <v>1218</v>
      </c>
      <c r="B3" s="412" t="e">
        <f ca="1">ROUND(B2*10000/'数据-汇总表'!E3,0)</f>
        <v>#DIV/0!</v>
      </c>
      <c r="C3" s="3010"/>
      <c r="D3" s="3010"/>
      <c r="E3" s="3010"/>
      <c r="F3" s="3010"/>
      <c r="G3" s="3010"/>
    </row>
    <row r="4" spans="1:25" s="1783" customFormat="1" ht="18" customHeight="1">
      <c r="A4" s="413" t="s">
        <v>428</v>
      </c>
      <c r="B4" s="414" t="e">
        <f ca="1">ROUND(B2*10000/'数据-汇总表'!D3,0)</f>
        <v>#DIV/0!</v>
      </c>
      <c r="C4" s="2964"/>
      <c r="D4" s="3010"/>
      <c r="E4" s="3010"/>
      <c r="F4" s="3010"/>
      <c r="G4" s="3010"/>
    </row>
    <row r="5" spans="1:25" s="1783" customFormat="1" ht="18" customHeight="1" thickBot="1">
      <c r="A5" s="416"/>
      <c r="B5" s="417" t="e">
        <f ca="1">ROUND(B2/('数据-汇总表'!D3/666.67),0)</f>
        <v>#DIV/0!</v>
      </c>
      <c r="C5" s="418" t="s">
        <v>429</v>
      </c>
      <c r="D5" s="3010"/>
      <c r="E5" s="3010"/>
      <c r="F5" s="3010"/>
      <c r="G5" s="3010"/>
    </row>
    <row r="6" spans="1:25" s="1905" customFormat="1" ht="13.5" customHeight="1">
      <c r="A6" s="711"/>
      <c r="B6" s="712" t="s">
        <v>552</v>
      </c>
      <c r="C6" s="713" t="s">
        <v>553</v>
      </c>
      <c r="D6" s="713" t="s">
        <v>554</v>
      </c>
      <c r="E6" s="714" t="s">
        <v>555</v>
      </c>
      <c r="F6" s="714" t="s">
        <v>556</v>
      </c>
      <c r="G6" s="3009" t="s">
        <v>2281</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724">
        <f>ROUND(D13*E13/10000,0)</f>
        <v>0</v>
      </c>
      <c r="D13" s="3013">
        <f>'数据-汇总表'!E6</f>
        <v>0</v>
      </c>
      <c r="E13" s="3013">
        <f>'数据-取费表'!B28</f>
        <v>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t="e">
        <f ca="1">ROUND(C21*F22,0)</f>
        <v>#DIV/0!</v>
      </c>
      <c r="D22" s="726"/>
      <c r="E22" s="716"/>
      <c r="F22" s="732" t="e">
        <f>'数据-取费表'!AP16</f>
        <v>#DIV/0!</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t="e">
        <f ca="1">C22</f>
        <v>#DIV/0!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74" t="s">
        <v>471</v>
      </c>
      <c r="D4" s="3875"/>
      <c r="E4" s="3909" t="s">
        <v>472</v>
      </c>
      <c r="F4" s="3910"/>
      <c r="G4" s="3874" t="s">
        <v>473</v>
      </c>
      <c r="H4" s="3875"/>
      <c r="I4" s="3874" t="s">
        <v>474</v>
      </c>
      <c r="J4" s="3875"/>
      <c r="K4" s="818" t="s">
        <v>475</v>
      </c>
      <c r="L4" s="1856"/>
      <c r="M4" s="1857"/>
      <c r="N4" s="1857"/>
      <c r="O4" s="1857"/>
      <c r="P4" s="3876" t="s">
        <v>476</v>
      </c>
      <c r="Q4" s="3877"/>
      <c r="R4" s="3882" t="s">
        <v>472</v>
      </c>
      <c r="S4" s="3883"/>
      <c r="T4" s="3882" t="s">
        <v>473</v>
      </c>
      <c r="U4" s="3883"/>
      <c r="V4" s="3869" t="s">
        <v>474</v>
      </c>
      <c r="W4" s="3869"/>
      <c r="X4" s="1380"/>
      <c r="Y4" s="3882" t="s">
        <v>476</v>
      </c>
      <c r="Z4" s="3883"/>
      <c r="AA4" s="3871" t="s">
        <v>472</v>
      </c>
      <c r="AB4" s="3871" t="s">
        <v>473</v>
      </c>
      <c r="AC4" s="3871" t="s">
        <v>474</v>
      </c>
    </row>
    <row r="5" spans="1:29" ht="15">
      <c r="A5" s="485"/>
      <c r="B5" s="486"/>
      <c r="C5" s="3890" t="s">
        <v>2192</v>
      </c>
      <c r="D5" s="3891"/>
      <c r="E5" s="3911" t="s">
        <v>2193</v>
      </c>
      <c r="F5" s="3912"/>
      <c r="G5" s="3890" t="s">
        <v>2194</v>
      </c>
      <c r="H5" s="3891"/>
      <c r="I5" s="3890" t="s">
        <v>2195</v>
      </c>
      <c r="J5" s="3891"/>
      <c r="K5" s="819"/>
      <c r="L5" s="1856"/>
      <c r="M5" s="1857"/>
      <c r="N5" s="1857"/>
      <c r="O5" s="1857"/>
      <c r="P5" s="3878"/>
      <c r="Q5" s="3879"/>
      <c r="R5" s="3884"/>
      <c r="S5" s="3885"/>
      <c r="T5" s="3884"/>
      <c r="U5" s="3885"/>
      <c r="V5" s="3869"/>
      <c r="W5" s="3869"/>
      <c r="X5" s="1380"/>
      <c r="Y5" s="3884"/>
      <c r="Z5" s="3885"/>
      <c r="AA5" s="3872"/>
      <c r="AB5" s="3872"/>
      <c r="AC5" s="3872"/>
    </row>
    <row r="6" spans="1:29" ht="15.75" thickBot="1">
      <c r="A6" s="487"/>
      <c r="B6" s="488"/>
      <c r="C6" s="3888" t="s">
        <v>2196</v>
      </c>
      <c r="D6" s="3889"/>
      <c r="E6" s="3907" t="s">
        <v>2196</v>
      </c>
      <c r="F6" s="3908"/>
      <c r="G6" s="3888" t="s">
        <v>2196</v>
      </c>
      <c r="H6" s="3889"/>
      <c r="I6" s="3888" t="s">
        <v>2196</v>
      </c>
      <c r="J6" s="3889"/>
      <c r="K6" s="819" t="s">
        <v>477</v>
      </c>
      <c r="L6" s="1856"/>
      <c r="M6" s="1857"/>
      <c r="N6" s="1857"/>
      <c r="O6" s="1857"/>
      <c r="P6" s="3880"/>
      <c r="Q6" s="3881"/>
      <c r="R6" s="3884"/>
      <c r="S6" s="3885"/>
      <c r="T6" s="3886"/>
      <c r="U6" s="3887"/>
      <c r="V6" s="3869"/>
      <c r="W6" s="3869"/>
      <c r="X6" s="1380"/>
      <c r="Y6" s="3886"/>
      <c r="Z6" s="3887"/>
      <c r="AA6" s="3873"/>
      <c r="AB6" s="3873"/>
      <c r="AC6" s="3873"/>
    </row>
    <row r="7" spans="1:29" s="1118" customFormat="1" ht="15.75" thickBot="1">
      <c r="A7" s="2392"/>
      <c r="B7" s="2399" t="s">
        <v>478</v>
      </c>
      <c r="C7" s="489">
        <f>'数据-取费表'!B2</f>
        <v>0</v>
      </c>
      <c r="D7" s="490">
        <v>100</v>
      </c>
      <c r="E7" s="491"/>
      <c r="F7" s="492">
        <f>SUMIF(58:58,YEAR(E7)&amp;"-"&amp;MONTH(E7),59:59)</f>
        <v>100</v>
      </c>
      <c r="G7" s="493"/>
      <c r="H7" s="490">
        <f>SUMIF(58:58,YEAR(G7)&amp;"-"&amp;MONTH(G7),59:59)</f>
        <v>100</v>
      </c>
      <c r="I7" s="493"/>
      <c r="J7" s="490">
        <f>SUMIF(58:58,YEAR(I7)&amp;"-"&amp;MONTH(I7),59:59)</f>
        <v>100</v>
      </c>
      <c r="K7" s="820"/>
      <c r="L7" s="1858"/>
      <c r="M7" s="1859"/>
      <c r="N7" s="1859"/>
      <c r="O7" s="1859"/>
      <c r="P7" s="3898" t="s">
        <v>479</v>
      </c>
      <c r="Q7" s="3900"/>
      <c r="R7" s="1381" t="s">
        <v>10</v>
      </c>
      <c r="S7" s="1382">
        <f t="shared" ref="S7:S15" si="0">F7</f>
        <v>100</v>
      </c>
      <c r="T7" s="1381" t="s">
        <v>10</v>
      </c>
      <c r="U7" s="1382">
        <f t="shared" ref="U7:U15" si="1">H7</f>
        <v>100</v>
      </c>
      <c r="V7" s="1381" t="s">
        <v>10</v>
      </c>
      <c r="W7" s="1382">
        <f t="shared" ref="W7:W15" si="2">J7</f>
        <v>100</v>
      </c>
      <c r="X7" s="1383"/>
      <c r="Y7" s="3898" t="s">
        <v>479</v>
      </c>
      <c r="Z7" s="3899"/>
      <c r="AA7" s="1384">
        <f>D7/F7</f>
        <v>1</v>
      </c>
      <c r="AB7" s="1384">
        <f>D7/H7</f>
        <v>1</v>
      </c>
      <c r="AC7" s="1384">
        <f>D7/J7</f>
        <v>1</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98" t="s">
        <v>482</v>
      </c>
      <c r="Q8" s="3899"/>
      <c r="R8" s="1381" t="s">
        <v>10</v>
      </c>
      <c r="S8" s="1382">
        <f t="shared" si="0"/>
        <v>0</v>
      </c>
      <c r="T8" s="1381" t="s">
        <v>10</v>
      </c>
      <c r="U8" s="1382">
        <f t="shared" si="1"/>
        <v>0</v>
      </c>
      <c r="V8" s="1381" t="s">
        <v>10</v>
      </c>
      <c r="W8" s="1382">
        <f t="shared" si="2"/>
        <v>0</v>
      </c>
      <c r="X8" s="1383"/>
      <c r="Y8" s="3898" t="s">
        <v>482</v>
      </c>
      <c r="Z8" s="3899"/>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68" t="s">
        <v>484</v>
      </c>
      <c r="Q9" s="1050" t="str">
        <f t="shared" ref="Q9:Q15" si="6">B9</f>
        <v>用途</v>
      </c>
      <c r="R9" s="1381" t="s">
        <v>5</v>
      </c>
      <c r="S9" s="1382">
        <f t="shared" si="0"/>
        <v>100</v>
      </c>
      <c r="T9" s="1381" t="s">
        <v>5</v>
      </c>
      <c r="U9" s="1382">
        <f t="shared" si="1"/>
        <v>100</v>
      </c>
      <c r="V9" s="1381" t="s">
        <v>5</v>
      </c>
      <c r="W9" s="1382">
        <f t="shared" si="2"/>
        <v>100</v>
      </c>
      <c r="X9" s="1383"/>
      <c r="Y9" s="3812"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60"/>
      <c r="F10" s="826">
        <f>SUMIF(65:65,E10,66:66)-SUMIF(65:65,C10,66:66)+100</f>
        <v>100</v>
      </c>
      <c r="G10" s="3659"/>
      <c r="H10" s="246">
        <f>SUMIF(65:65,G10,66:66)-SUMIF(65:65,C10,66:66)+100</f>
        <v>100</v>
      </c>
      <c r="I10" s="3659"/>
      <c r="J10" s="246">
        <f>SUMIF(65:65,I10,66:66)-SUMIF(65:65,C10,66:66)+100</f>
        <v>100</v>
      </c>
      <c r="K10" s="820"/>
      <c r="L10" s="1861"/>
      <c r="M10" s="1900"/>
      <c r="N10" s="1900"/>
      <c r="O10" s="1862"/>
      <c r="P10" s="3868"/>
      <c r="Q10" s="1050" t="str">
        <f t="shared" si="6"/>
        <v>土地使用年限（年）</v>
      </c>
      <c r="R10" s="1381" t="s">
        <v>5</v>
      </c>
      <c r="S10" s="1382">
        <f t="shared" si="0"/>
        <v>100</v>
      </c>
      <c r="T10" s="1381" t="s">
        <v>5</v>
      </c>
      <c r="U10" s="1382">
        <f t="shared" si="1"/>
        <v>100</v>
      </c>
      <c r="V10" s="1381" t="s">
        <v>5</v>
      </c>
      <c r="W10" s="1382">
        <f t="shared" si="2"/>
        <v>100</v>
      </c>
      <c r="X10" s="1383"/>
      <c r="Y10" s="3812"/>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68"/>
      <c r="Q11" s="1050" t="str">
        <f t="shared" si="6"/>
        <v>容积率</v>
      </c>
      <c r="R11" s="1381" t="s">
        <v>8</v>
      </c>
      <c r="S11" s="1382" t="e">
        <f t="shared" si="0"/>
        <v>#N/A</v>
      </c>
      <c r="T11" s="1381" t="s">
        <v>8</v>
      </c>
      <c r="U11" s="1382" t="e">
        <f t="shared" si="1"/>
        <v>#N/A</v>
      </c>
      <c r="V11" s="1381" t="s">
        <v>8</v>
      </c>
      <c r="W11" s="1382" t="e">
        <f t="shared" si="2"/>
        <v>#N/A</v>
      </c>
      <c r="X11" s="1383"/>
      <c r="Y11" s="381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68"/>
      <c r="Q12" s="1050">
        <f t="shared" si="6"/>
        <v>111</v>
      </c>
      <c r="R12" s="1381" t="s">
        <v>8</v>
      </c>
      <c r="S12" s="1382">
        <f t="shared" si="0"/>
        <v>100</v>
      </c>
      <c r="T12" s="1381" t="s">
        <v>8</v>
      </c>
      <c r="U12" s="1382">
        <f t="shared" si="1"/>
        <v>100</v>
      </c>
      <c r="V12" s="1381" t="s">
        <v>8</v>
      </c>
      <c r="W12" s="1382">
        <f t="shared" si="2"/>
        <v>100</v>
      </c>
      <c r="X12" s="1383"/>
      <c r="Y12" s="3812"/>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68"/>
      <c r="Q13" s="1050">
        <f t="shared" si="6"/>
        <v>111</v>
      </c>
      <c r="R13" s="1381" t="s">
        <v>8</v>
      </c>
      <c r="S13" s="1382">
        <f t="shared" si="0"/>
        <v>100</v>
      </c>
      <c r="T13" s="1381" t="s">
        <v>8</v>
      </c>
      <c r="U13" s="1382">
        <f t="shared" si="1"/>
        <v>100</v>
      </c>
      <c r="V13" s="1381" t="s">
        <v>8</v>
      </c>
      <c r="W13" s="1382">
        <f t="shared" si="2"/>
        <v>100</v>
      </c>
      <c r="X13" s="1383"/>
      <c r="Y13" s="3812"/>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68"/>
      <c r="Q14" s="1050">
        <f t="shared" si="6"/>
        <v>111</v>
      </c>
      <c r="R14" s="1381" t="s">
        <v>8</v>
      </c>
      <c r="S14" s="1382">
        <f t="shared" si="0"/>
        <v>100</v>
      </c>
      <c r="T14" s="1381" t="s">
        <v>8</v>
      </c>
      <c r="U14" s="1382">
        <f t="shared" si="1"/>
        <v>100</v>
      </c>
      <c r="V14" s="1381" t="s">
        <v>8</v>
      </c>
      <c r="W14" s="1382">
        <f t="shared" si="2"/>
        <v>100</v>
      </c>
      <c r="X14" s="1383"/>
      <c r="Y14" s="3812"/>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901" t="s">
        <v>489</v>
      </c>
      <c r="Q15" s="1385" t="str">
        <f t="shared" si="6"/>
        <v>居住社区成熟度</v>
      </c>
      <c r="R15" s="1386" t="s">
        <v>8</v>
      </c>
      <c r="S15" s="1387">
        <f t="shared" si="0"/>
        <v>100</v>
      </c>
      <c r="T15" s="1386" t="s">
        <v>8</v>
      </c>
      <c r="U15" s="1387">
        <f t="shared" si="1"/>
        <v>100</v>
      </c>
      <c r="V15" s="1386" t="s">
        <v>8</v>
      </c>
      <c r="W15" s="1387">
        <f t="shared" si="2"/>
        <v>100</v>
      </c>
      <c r="X15" s="1380"/>
      <c r="Y15" s="3901"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902"/>
      <c r="Q16" s="1385"/>
      <c r="R16" s="1386"/>
      <c r="S16" s="1387"/>
      <c r="T16" s="1386"/>
      <c r="U16" s="1387"/>
      <c r="V16" s="1386"/>
      <c r="W16" s="1387"/>
      <c r="X16" s="1380"/>
      <c r="Y16" s="3902"/>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902"/>
      <c r="Q17" s="1385" t="str">
        <f>B17</f>
        <v>交通便捷度</v>
      </c>
      <c r="R17" s="1386" t="s">
        <v>8</v>
      </c>
      <c r="S17" s="1387">
        <f>F17</f>
        <v>100</v>
      </c>
      <c r="T17" s="1386" t="s">
        <v>8</v>
      </c>
      <c r="U17" s="1387">
        <f>H17</f>
        <v>100</v>
      </c>
      <c r="V17" s="1386" t="s">
        <v>8</v>
      </c>
      <c r="W17" s="1387">
        <f>J17</f>
        <v>100</v>
      </c>
      <c r="X17" s="1380"/>
      <c r="Y17" s="390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902"/>
      <c r="Q18" s="1385"/>
      <c r="R18" s="1386"/>
      <c r="S18" s="1387"/>
      <c r="T18" s="1386"/>
      <c r="U18" s="1387"/>
      <c r="V18" s="1386"/>
      <c r="W18" s="1387"/>
      <c r="X18" s="1380"/>
      <c r="Y18" s="3902"/>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902"/>
      <c r="Q19" s="1385" t="str">
        <f>B19</f>
        <v>公共配套设施</v>
      </c>
      <c r="R19" s="1386" t="s">
        <v>8</v>
      </c>
      <c r="S19" s="1387">
        <f>F19</f>
        <v>100</v>
      </c>
      <c r="T19" s="1386" t="s">
        <v>8</v>
      </c>
      <c r="U19" s="1387">
        <f>H19</f>
        <v>100</v>
      </c>
      <c r="V19" s="1386" t="s">
        <v>8</v>
      </c>
      <c r="W19" s="1387">
        <f>J19</f>
        <v>100</v>
      </c>
      <c r="X19" s="1380"/>
      <c r="Y19" s="3902"/>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902"/>
      <c r="Q20" s="1385"/>
      <c r="R20" s="1386"/>
      <c r="S20" s="1387"/>
      <c r="T20" s="1386"/>
      <c r="U20" s="1387"/>
      <c r="V20" s="1386"/>
      <c r="W20" s="1387"/>
      <c r="X20" s="1380"/>
      <c r="Y20" s="3902"/>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902"/>
      <c r="Q21" s="2193" t="str">
        <f>B21</f>
        <v>基础设施水平</v>
      </c>
      <c r="R21" s="1386" t="s">
        <v>8</v>
      </c>
      <c r="S21" s="1387">
        <f>F21</f>
        <v>100</v>
      </c>
      <c r="T21" s="1386" t="s">
        <v>8</v>
      </c>
      <c r="U21" s="1387">
        <f>H21</f>
        <v>100</v>
      </c>
      <c r="V21" s="1386" t="s">
        <v>8</v>
      </c>
      <c r="W21" s="1387">
        <f>J21</f>
        <v>100</v>
      </c>
      <c r="X21" s="2195"/>
      <c r="Y21" s="3902"/>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902"/>
      <c r="Q22" s="2193"/>
      <c r="R22" s="1386"/>
      <c r="S22" s="1387"/>
      <c r="T22" s="1386"/>
      <c r="U22" s="1387"/>
      <c r="V22" s="1386"/>
      <c r="W22" s="1387"/>
      <c r="X22" s="2195"/>
      <c r="Y22" s="3902"/>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902"/>
      <c r="Q23" s="1385" t="str">
        <f>B23</f>
        <v>自然及人文环境</v>
      </c>
      <c r="R23" s="1386" t="s">
        <v>8</v>
      </c>
      <c r="S23" s="1387">
        <f>F23</f>
        <v>100</v>
      </c>
      <c r="T23" s="1386" t="s">
        <v>8</v>
      </c>
      <c r="U23" s="1387">
        <f>H23</f>
        <v>100</v>
      </c>
      <c r="V23" s="1386" t="s">
        <v>8</v>
      </c>
      <c r="W23" s="1387">
        <f>J23</f>
        <v>100</v>
      </c>
      <c r="X23" s="1380"/>
      <c r="Y23" s="3902"/>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902"/>
      <c r="Q24" s="1385"/>
      <c r="R24" s="1386"/>
      <c r="S24" s="1387"/>
      <c r="T24" s="1386"/>
      <c r="U24" s="1387"/>
      <c r="V24" s="1386"/>
      <c r="W24" s="1387"/>
      <c r="X24" s="1380"/>
      <c r="Y24" s="3902"/>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02"/>
      <c r="Q25" s="1385" t="str">
        <f t="shared" ref="Q25:Q46" si="8">B25</f>
        <v>楼层-1</v>
      </c>
      <c r="R25" s="1386" t="s">
        <v>8</v>
      </c>
      <c r="S25" s="1387">
        <f>F25</f>
        <v>100</v>
      </c>
      <c r="T25" s="1386" t="s">
        <v>8</v>
      </c>
      <c r="U25" s="1387">
        <f>H25</f>
        <v>100</v>
      </c>
      <c r="V25" s="1386" t="s">
        <v>8</v>
      </c>
      <c r="W25" s="1387">
        <f>J25</f>
        <v>100</v>
      </c>
      <c r="X25" s="1380"/>
      <c r="Y25" s="3902"/>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02"/>
      <c r="Q26" s="1385" t="str">
        <f t="shared" si="8"/>
        <v>朝向</v>
      </c>
      <c r="R26" s="1386" t="s">
        <v>8</v>
      </c>
      <c r="S26" s="1387">
        <f>F26</f>
        <v>100</v>
      </c>
      <c r="T26" s="1386" t="s">
        <v>8</v>
      </c>
      <c r="U26" s="1387">
        <f>H26</f>
        <v>100</v>
      </c>
      <c r="V26" s="1386" t="s">
        <v>8</v>
      </c>
      <c r="W26" s="1387">
        <f>J26</f>
        <v>100</v>
      </c>
      <c r="X26" s="1380"/>
      <c r="Y26" s="3902"/>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02"/>
      <c r="Q27" s="1050" t="str">
        <f t="shared" si="8"/>
        <v>道路级别</v>
      </c>
      <c r="R27" s="1381" t="s">
        <v>8</v>
      </c>
      <c r="S27" s="1382">
        <f>F27</f>
        <v>100</v>
      </c>
      <c r="T27" s="1381" t="s">
        <v>8</v>
      </c>
      <c r="U27" s="1382">
        <f>H27</f>
        <v>100</v>
      </c>
      <c r="V27" s="1381" t="s">
        <v>8</v>
      </c>
      <c r="W27" s="1382">
        <f>J27</f>
        <v>100</v>
      </c>
      <c r="X27" s="1383"/>
      <c r="Y27" s="3902"/>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02"/>
      <c r="Q28" s="1385">
        <f t="shared" si="8"/>
        <v>111</v>
      </c>
      <c r="R28" s="1386" t="s">
        <v>8</v>
      </c>
      <c r="S28" s="1387">
        <f t="shared" ref="S28:S46" si="9">F28</f>
        <v>100</v>
      </c>
      <c r="T28" s="1386" t="s">
        <v>8</v>
      </c>
      <c r="U28" s="1387">
        <f t="shared" ref="U28:U46" si="10">H28</f>
        <v>100</v>
      </c>
      <c r="V28" s="1386" t="s">
        <v>8</v>
      </c>
      <c r="W28" s="1387">
        <f t="shared" ref="W28:W46" si="11">J28</f>
        <v>100</v>
      </c>
      <c r="X28" s="1380"/>
      <c r="Y28" s="3902"/>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02"/>
      <c r="Q29" s="1385">
        <f t="shared" si="8"/>
        <v>111</v>
      </c>
      <c r="R29" s="1386" t="s">
        <v>8</v>
      </c>
      <c r="S29" s="1387">
        <f t="shared" si="9"/>
        <v>100</v>
      </c>
      <c r="T29" s="1386" t="s">
        <v>8</v>
      </c>
      <c r="U29" s="1387">
        <f t="shared" si="10"/>
        <v>100</v>
      </c>
      <c r="V29" s="1386" t="s">
        <v>8</v>
      </c>
      <c r="W29" s="1387">
        <f t="shared" si="11"/>
        <v>100</v>
      </c>
      <c r="X29" s="1380"/>
      <c r="Y29" s="3902"/>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02"/>
      <c r="Q30" s="1385">
        <f t="shared" si="8"/>
        <v>111</v>
      </c>
      <c r="R30" s="1386" t="s">
        <v>8</v>
      </c>
      <c r="S30" s="1387">
        <f t="shared" si="9"/>
        <v>100</v>
      </c>
      <c r="T30" s="1386" t="s">
        <v>8</v>
      </c>
      <c r="U30" s="1387">
        <f t="shared" si="10"/>
        <v>100</v>
      </c>
      <c r="V30" s="1386" t="s">
        <v>8</v>
      </c>
      <c r="W30" s="1387">
        <f t="shared" si="11"/>
        <v>100</v>
      </c>
      <c r="X30" s="1380"/>
      <c r="Y30" s="3902"/>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02"/>
      <c r="Q31" s="1385">
        <f t="shared" si="8"/>
        <v>111</v>
      </c>
      <c r="R31" s="1386" t="s">
        <v>8</v>
      </c>
      <c r="S31" s="1387">
        <f t="shared" si="9"/>
        <v>100</v>
      </c>
      <c r="T31" s="1386" t="s">
        <v>8</v>
      </c>
      <c r="U31" s="1387">
        <f t="shared" si="10"/>
        <v>100</v>
      </c>
      <c r="V31" s="1386" t="s">
        <v>8</v>
      </c>
      <c r="W31" s="1387">
        <f t="shared" si="11"/>
        <v>100</v>
      </c>
      <c r="X31" s="1380"/>
      <c r="Y31" s="3902"/>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03" t="s">
        <v>499</v>
      </c>
      <c r="Q32" s="1385" t="str">
        <f t="shared" si="8"/>
        <v>建筑类型</v>
      </c>
      <c r="R32" s="1386" t="s">
        <v>8</v>
      </c>
      <c r="S32" s="1387">
        <f t="shared" si="9"/>
        <v>100</v>
      </c>
      <c r="T32" s="1386" t="s">
        <v>8</v>
      </c>
      <c r="U32" s="1387">
        <f t="shared" si="10"/>
        <v>100</v>
      </c>
      <c r="V32" s="1386" t="s">
        <v>8</v>
      </c>
      <c r="W32" s="1387">
        <f t="shared" si="11"/>
        <v>100</v>
      </c>
      <c r="X32" s="1380"/>
      <c r="Y32" s="3904"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904"/>
      <c r="Q33" s="1414" t="str">
        <f t="shared" si="8"/>
        <v>项目建筑规模</v>
      </c>
      <c r="R33" s="1390" t="s">
        <v>8</v>
      </c>
      <c r="S33" s="1391" t="e">
        <f t="shared" si="9"/>
        <v>#N/A</v>
      </c>
      <c r="T33" s="1390" t="s">
        <v>8</v>
      </c>
      <c r="U33" s="1391" t="e">
        <f t="shared" si="10"/>
        <v>#N/A</v>
      </c>
      <c r="V33" s="1390" t="s">
        <v>8</v>
      </c>
      <c r="W33" s="1391" t="e">
        <f t="shared" si="11"/>
        <v>#N/A</v>
      </c>
      <c r="X33" s="1392"/>
      <c r="Y33" s="3904"/>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04"/>
      <c r="Q34" s="1385" t="str">
        <f t="shared" si="8"/>
        <v>建筑结构</v>
      </c>
      <c r="R34" s="1386" t="s">
        <v>8</v>
      </c>
      <c r="S34" s="1387">
        <f t="shared" si="9"/>
        <v>100</v>
      </c>
      <c r="T34" s="1386" t="s">
        <v>8</v>
      </c>
      <c r="U34" s="1387">
        <f t="shared" si="10"/>
        <v>100</v>
      </c>
      <c r="V34" s="1386" t="s">
        <v>8</v>
      </c>
      <c r="W34" s="1387">
        <f t="shared" si="11"/>
        <v>100</v>
      </c>
      <c r="X34" s="1380"/>
      <c r="Y34" s="3904"/>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04"/>
      <c r="Q35" s="1385" t="str">
        <f t="shared" si="8"/>
        <v>建筑品质</v>
      </c>
      <c r="R35" s="1386" t="s">
        <v>8</v>
      </c>
      <c r="S35" s="1387">
        <f t="shared" si="9"/>
        <v>100</v>
      </c>
      <c r="T35" s="1386" t="s">
        <v>8</v>
      </c>
      <c r="U35" s="1387">
        <f t="shared" si="10"/>
        <v>100</v>
      </c>
      <c r="V35" s="1386" t="s">
        <v>8</v>
      </c>
      <c r="W35" s="1387">
        <f t="shared" si="11"/>
        <v>100</v>
      </c>
      <c r="X35" s="1380"/>
      <c r="Y35" s="3904"/>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04"/>
      <c r="Q36" s="1385" t="str">
        <f t="shared" si="8"/>
        <v>公共部分装修</v>
      </c>
      <c r="R36" s="1386" t="s">
        <v>8</v>
      </c>
      <c r="S36" s="1387">
        <f t="shared" si="9"/>
        <v>100</v>
      </c>
      <c r="T36" s="1386" t="s">
        <v>8</v>
      </c>
      <c r="U36" s="1387">
        <f t="shared" si="10"/>
        <v>100</v>
      </c>
      <c r="V36" s="1386" t="s">
        <v>8</v>
      </c>
      <c r="W36" s="1387">
        <f t="shared" si="11"/>
        <v>100</v>
      </c>
      <c r="X36" s="1380"/>
      <c r="Y36" s="3904"/>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904"/>
      <c r="Q37" s="1050" t="str">
        <f t="shared" si="8"/>
        <v>成新度</v>
      </c>
      <c r="R37" s="1381" t="s">
        <v>8</v>
      </c>
      <c r="S37" s="1382" t="e">
        <f t="shared" si="9"/>
        <v>#N/A</v>
      </c>
      <c r="T37" s="1381" t="s">
        <v>8</v>
      </c>
      <c r="U37" s="1382" t="e">
        <f t="shared" si="10"/>
        <v>#N/A</v>
      </c>
      <c r="V37" s="1381" t="s">
        <v>8</v>
      </c>
      <c r="W37" s="1382" t="e">
        <f t="shared" si="11"/>
        <v>#N/A</v>
      </c>
      <c r="X37" s="1383"/>
      <c r="Y37" s="3904"/>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04" t="s">
        <v>499</v>
      </c>
      <c r="Q38" s="1385" t="str">
        <f t="shared" si="8"/>
        <v>物业管理</v>
      </c>
      <c r="R38" s="1386" t="s">
        <v>8</v>
      </c>
      <c r="S38" s="1387">
        <f t="shared" si="9"/>
        <v>100</v>
      </c>
      <c r="T38" s="1386" t="s">
        <v>8</v>
      </c>
      <c r="U38" s="1387">
        <f t="shared" si="10"/>
        <v>100</v>
      </c>
      <c r="V38" s="1386" t="s">
        <v>8</v>
      </c>
      <c r="W38" s="1387">
        <f t="shared" si="11"/>
        <v>100</v>
      </c>
      <c r="X38" s="1380"/>
      <c r="Y38" s="3904"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04"/>
      <c r="Q39" s="1385" t="str">
        <f t="shared" si="8"/>
        <v>市政基础设施</v>
      </c>
      <c r="R39" s="1386" t="s">
        <v>8</v>
      </c>
      <c r="S39" s="1387">
        <f t="shared" si="9"/>
        <v>100</v>
      </c>
      <c r="T39" s="1386" t="s">
        <v>8</v>
      </c>
      <c r="U39" s="1387">
        <f t="shared" si="10"/>
        <v>100</v>
      </c>
      <c r="V39" s="1386" t="s">
        <v>8</v>
      </c>
      <c r="W39" s="1387">
        <f t="shared" si="11"/>
        <v>100</v>
      </c>
      <c r="X39" s="1380"/>
      <c r="Y39" s="3904"/>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04"/>
      <c r="Q40" s="1385" t="str">
        <f t="shared" si="8"/>
        <v>房型</v>
      </c>
      <c r="R40" s="1386" t="s">
        <v>8</v>
      </c>
      <c r="S40" s="1387">
        <f t="shared" si="9"/>
        <v>100</v>
      </c>
      <c r="T40" s="1386" t="s">
        <v>8</v>
      </c>
      <c r="U40" s="1387">
        <f t="shared" si="10"/>
        <v>100</v>
      </c>
      <c r="V40" s="1386" t="s">
        <v>8</v>
      </c>
      <c r="W40" s="1387">
        <f t="shared" si="11"/>
        <v>100</v>
      </c>
      <c r="X40" s="1380"/>
      <c r="Y40" s="3904"/>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04"/>
      <c r="Q41" s="1414" t="str">
        <f t="shared" si="8"/>
        <v>单套/主力户型建筑面积</v>
      </c>
      <c r="R41" s="1390" t="s">
        <v>8</v>
      </c>
      <c r="S41" s="1391">
        <f t="shared" si="9"/>
        <v>100</v>
      </c>
      <c r="T41" s="1390" t="s">
        <v>8</v>
      </c>
      <c r="U41" s="1391">
        <f t="shared" si="10"/>
        <v>100</v>
      </c>
      <c r="V41" s="1390" t="s">
        <v>8</v>
      </c>
      <c r="W41" s="1391">
        <f t="shared" si="11"/>
        <v>100</v>
      </c>
      <c r="X41" s="1392"/>
      <c r="Y41" s="3904"/>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04"/>
      <c r="Q42" s="1385" t="str">
        <f t="shared" si="8"/>
        <v>内部装修</v>
      </c>
      <c r="R42" s="1386" t="s">
        <v>8</v>
      </c>
      <c r="S42" s="1387">
        <f t="shared" si="9"/>
        <v>100</v>
      </c>
      <c r="T42" s="1386" t="s">
        <v>8</v>
      </c>
      <c r="U42" s="1387">
        <f t="shared" si="10"/>
        <v>100</v>
      </c>
      <c r="V42" s="1386" t="s">
        <v>8</v>
      </c>
      <c r="W42" s="1387">
        <f t="shared" si="11"/>
        <v>100</v>
      </c>
      <c r="X42" s="1380"/>
      <c r="Y42" s="3904"/>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04"/>
      <c r="Q43" s="1385" t="str">
        <f t="shared" si="8"/>
        <v>内部装修维护情况</v>
      </c>
      <c r="R43" s="1386" t="s">
        <v>8</v>
      </c>
      <c r="S43" s="1387">
        <f t="shared" si="9"/>
        <v>100</v>
      </c>
      <c r="T43" s="1386" t="s">
        <v>8</v>
      </c>
      <c r="U43" s="1387">
        <f t="shared" si="10"/>
        <v>100</v>
      </c>
      <c r="V43" s="1386" t="s">
        <v>8</v>
      </c>
      <c r="W43" s="1387">
        <f t="shared" si="11"/>
        <v>100</v>
      </c>
      <c r="X43" s="1380"/>
      <c r="Y43" s="3904"/>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04"/>
      <c r="Q44" s="1050">
        <f t="shared" si="8"/>
        <v>111</v>
      </c>
      <c r="R44" s="1381" t="s">
        <v>8</v>
      </c>
      <c r="S44" s="1382">
        <f t="shared" si="9"/>
        <v>100</v>
      </c>
      <c r="T44" s="1381" t="s">
        <v>8</v>
      </c>
      <c r="U44" s="1382">
        <f t="shared" si="10"/>
        <v>100</v>
      </c>
      <c r="V44" s="1381" t="s">
        <v>8</v>
      </c>
      <c r="W44" s="1382">
        <f t="shared" si="11"/>
        <v>100</v>
      </c>
      <c r="X44" s="1383"/>
      <c r="Y44" s="3904"/>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04"/>
      <c r="Q45" s="1385">
        <f t="shared" si="8"/>
        <v>111</v>
      </c>
      <c r="R45" s="1386" t="s">
        <v>8</v>
      </c>
      <c r="S45" s="1387">
        <f t="shared" si="9"/>
        <v>100</v>
      </c>
      <c r="T45" s="1386" t="s">
        <v>8</v>
      </c>
      <c r="U45" s="1387">
        <f t="shared" si="10"/>
        <v>100</v>
      </c>
      <c r="V45" s="1386" t="s">
        <v>8</v>
      </c>
      <c r="W45" s="1387">
        <f t="shared" si="11"/>
        <v>100</v>
      </c>
      <c r="X45" s="1380"/>
      <c r="Y45" s="3904"/>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97"/>
      <c r="Q46" s="1385">
        <f t="shared" si="8"/>
        <v>111</v>
      </c>
      <c r="R46" s="1386" t="s">
        <v>7</v>
      </c>
      <c r="S46" s="1387">
        <f t="shared" si="9"/>
        <v>100</v>
      </c>
      <c r="T46" s="1386" t="s">
        <v>7</v>
      </c>
      <c r="U46" s="1387">
        <f t="shared" si="10"/>
        <v>100</v>
      </c>
      <c r="V46" s="1386" t="s">
        <v>7</v>
      </c>
      <c r="W46" s="1387">
        <f t="shared" si="11"/>
        <v>100</v>
      </c>
      <c r="X46" s="1380"/>
      <c r="Y46" s="3997"/>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68" t="str">
        <f>A47</f>
        <v>成交单价（元/平方米）</v>
      </c>
      <c r="Q47" s="3868"/>
      <c r="R47" s="3996">
        <f>E47</f>
        <v>0</v>
      </c>
      <c r="S47" s="3996"/>
      <c r="T47" s="3996">
        <f>G47</f>
        <v>0</v>
      </c>
      <c r="U47" s="3996"/>
      <c r="V47" s="3996">
        <f>I47</f>
        <v>0</v>
      </c>
      <c r="W47" s="3996"/>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68" t="str">
        <f>A48</f>
        <v>比较价格（元/平方米）</v>
      </c>
      <c r="Q48" s="3868"/>
      <c r="R48" s="3996" t="e">
        <f>IF(F1="售价",ROUND(PRODUCT(R47,AA7:AA46),0),ROUND(PRODUCT(R47,AA7:AA46),1))</f>
        <v>#DIV/0!</v>
      </c>
      <c r="S48" s="3996"/>
      <c r="T48" s="3996" t="e">
        <f>IF(F1="售价",ROUND(PRODUCT(T47,AB7:AB46),0),ROUND(PRODUCT(T47,AB7:AB46),1))</f>
        <v>#DIV/0!</v>
      </c>
      <c r="U48" s="3996"/>
      <c r="V48" s="3996" t="e">
        <f>IF(F1="售价",ROUND(PRODUCT(V47,AC7:AC46),0),ROUND(PRODUCT(V47,AC7:AC46),1))</f>
        <v>#DIV/0!</v>
      </c>
      <c r="W48" s="3996"/>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905" t="str">
        <f>A49</f>
        <v>估价对象XX用房的比较价格（楼面单价，元/平方米）</v>
      </c>
      <c r="Q49" s="3906"/>
      <c r="R49" s="3995" t="e">
        <f>IF(F1="售价",ROUND(IF(D48="简单平均",AVERAGE(R48:V48),R48*F48+T48*H48+V48*J48),0),ROUND(IF(D48="简单平均",AVERAGE(R48:V48),R48*F48+T48*H48+V48*J48),1))</f>
        <v>#DIV/0!</v>
      </c>
      <c r="S49" s="3995"/>
      <c r="T49" s="3995"/>
      <c r="U49" s="3995"/>
      <c r="V49" s="3995"/>
      <c r="W49" s="3995"/>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1900-1</v>
      </c>
      <c r="D58" s="2284" t="e">
        <f>EDATE(C58,-1)</f>
        <v>#NUM!</v>
      </c>
      <c r="E58" s="2284" t="e">
        <f t="shared" ref="E58:O58" si="13">EDATE(D58,-1)</f>
        <v>#NUM!</v>
      </c>
      <c r="F58" s="2284" t="e">
        <f t="shared" si="13"/>
        <v>#NUM!</v>
      </c>
      <c r="G58" s="2284" t="e">
        <f t="shared" si="13"/>
        <v>#NUM!</v>
      </c>
      <c r="H58" s="2284" t="e">
        <f t="shared" si="13"/>
        <v>#NUM!</v>
      </c>
      <c r="I58" s="2284" t="e">
        <f t="shared" si="13"/>
        <v>#NUM!</v>
      </c>
      <c r="J58" s="2284" t="e">
        <f t="shared" si="13"/>
        <v>#NUM!</v>
      </c>
      <c r="K58" s="2284" t="e">
        <f t="shared" si="13"/>
        <v>#NUM!</v>
      </c>
      <c r="L58" s="2284" t="e">
        <f t="shared" si="13"/>
        <v>#NUM!</v>
      </c>
      <c r="M58" s="2284" t="e">
        <f t="shared" si="13"/>
        <v>#NUM!</v>
      </c>
      <c r="N58" s="2284" t="e">
        <f t="shared" si="13"/>
        <v>#NUM!</v>
      </c>
      <c r="O58" s="2284" t="e">
        <f t="shared" si="13"/>
        <v>#NUM!</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74" t="s">
        <v>471</v>
      </c>
      <c r="D4" s="3875"/>
      <c r="E4" s="3909" t="s">
        <v>472</v>
      </c>
      <c r="F4" s="3910"/>
      <c r="G4" s="3874" t="s">
        <v>473</v>
      </c>
      <c r="H4" s="3875"/>
      <c r="I4" s="3874" t="s">
        <v>474</v>
      </c>
      <c r="J4" s="3875"/>
      <c r="K4" s="484" t="s">
        <v>475</v>
      </c>
      <c r="L4" s="1856"/>
      <c r="M4" s="1857"/>
      <c r="N4" s="1857"/>
      <c r="O4" s="1857"/>
      <c r="P4" s="3876" t="s">
        <v>476</v>
      </c>
      <c r="Q4" s="3877"/>
      <c r="R4" s="3882" t="s">
        <v>472</v>
      </c>
      <c r="S4" s="3883"/>
      <c r="T4" s="3882" t="s">
        <v>473</v>
      </c>
      <c r="U4" s="3883"/>
      <c r="V4" s="3869" t="s">
        <v>474</v>
      </c>
      <c r="W4" s="3869"/>
      <c r="X4" s="1380"/>
      <c r="Y4" s="3882" t="s">
        <v>476</v>
      </c>
      <c r="Z4" s="3883"/>
      <c r="AA4" s="3871" t="s">
        <v>472</v>
      </c>
      <c r="AB4" s="3869" t="s">
        <v>473</v>
      </c>
      <c r="AC4" s="3871" t="s">
        <v>474</v>
      </c>
    </row>
    <row r="5" spans="1:29" ht="15">
      <c r="A5" s="485"/>
      <c r="B5" s="486"/>
      <c r="C5" s="3890" t="s">
        <v>2192</v>
      </c>
      <c r="D5" s="3891"/>
      <c r="E5" s="3911" t="s">
        <v>2193</v>
      </c>
      <c r="F5" s="3912"/>
      <c r="G5" s="3890" t="s">
        <v>2194</v>
      </c>
      <c r="H5" s="3891"/>
      <c r="I5" s="3890" t="s">
        <v>2195</v>
      </c>
      <c r="J5" s="3891"/>
      <c r="K5" s="484"/>
      <c r="L5" s="1856"/>
      <c r="M5" s="1857"/>
      <c r="N5" s="1857"/>
      <c r="O5" s="1857"/>
      <c r="P5" s="3878"/>
      <c r="Q5" s="3879"/>
      <c r="R5" s="3884"/>
      <c r="S5" s="3885"/>
      <c r="T5" s="3884"/>
      <c r="U5" s="3885"/>
      <c r="V5" s="3869"/>
      <c r="W5" s="3869"/>
      <c r="X5" s="1380"/>
      <c r="Y5" s="3884"/>
      <c r="Z5" s="3885"/>
      <c r="AA5" s="3872"/>
      <c r="AB5" s="3869"/>
      <c r="AC5" s="3872"/>
    </row>
    <row r="6" spans="1:29" ht="15.75" thickBot="1">
      <c r="A6" s="487"/>
      <c r="B6" s="488"/>
      <c r="C6" s="3888" t="s">
        <v>2196</v>
      </c>
      <c r="D6" s="3889"/>
      <c r="E6" s="3907" t="s">
        <v>2196</v>
      </c>
      <c r="F6" s="3908"/>
      <c r="G6" s="3888" t="s">
        <v>2196</v>
      </c>
      <c r="H6" s="3889"/>
      <c r="I6" s="3888" t="s">
        <v>2196</v>
      </c>
      <c r="J6" s="3889"/>
      <c r="K6" s="484" t="s">
        <v>477</v>
      </c>
      <c r="L6" s="1856"/>
      <c r="M6" s="1857"/>
      <c r="N6" s="1857"/>
      <c r="O6" s="1857"/>
      <c r="P6" s="3880"/>
      <c r="Q6" s="3881"/>
      <c r="R6" s="3884"/>
      <c r="S6" s="3885"/>
      <c r="T6" s="3886"/>
      <c r="U6" s="3887"/>
      <c r="V6" s="3869"/>
      <c r="W6" s="3869"/>
      <c r="X6" s="1380"/>
      <c r="Y6" s="3886"/>
      <c r="Z6" s="3887"/>
      <c r="AA6" s="3873"/>
      <c r="AB6" s="3869"/>
      <c r="AC6" s="3873"/>
    </row>
    <row r="7" spans="1:29" s="1118" customFormat="1" ht="15.75" thickBot="1">
      <c r="A7" s="2392"/>
      <c r="B7" s="2399" t="s">
        <v>478</v>
      </c>
      <c r="C7" s="489">
        <f>'数据-取费表'!B2</f>
        <v>0</v>
      </c>
      <c r="D7" s="490">
        <v>100</v>
      </c>
      <c r="E7" s="491"/>
      <c r="F7" s="492">
        <f>SUMIF(58:58,YEAR(E7)&amp;"-"&amp;MONTH(E7),59:59)</f>
        <v>100</v>
      </c>
      <c r="G7" s="491"/>
      <c r="H7" s="490">
        <f>SUMIF(58:58,YEAR(G7)&amp;"-"&amp;MONTH(G7),59:59)</f>
        <v>100</v>
      </c>
      <c r="I7" s="491"/>
      <c r="J7" s="490">
        <f>SUMIF(58:58,YEAR(I7)&amp;"-"&amp;MONTH(I7),59:59)</f>
        <v>100</v>
      </c>
      <c r="K7" s="494"/>
      <c r="L7" s="1858"/>
      <c r="M7" s="1859"/>
      <c r="N7" s="1859"/>
      <c r="O7" s="1859"/>
      <c r="P7" s="3898" t="s">
        <v>479</v>
      </c>
      <c r="Q7" s="3900"/>
      <c r="R7" s="1381" t="s">
        <v>5</v>
      </c>
      <c r="S7" s="1382">
        <f t="shared" ref="S7:S15" si="0">F7</f>
        <v>100</v>
      </c>
      <c r="T7" s="1381" t="s">
        <v>5</v>
      </c>
      <c r="U7" s="1382">
        <f t="shared" ref="U7:U15" si="1">H7</f>
        <v>100</v>
      </c>
      <c r="V7" s="1381" t="s">
        <v>5</v>
      </c>
      <c r="W7" s="1382">
        <f t="shared" ref="W7:W15" si="2">J7</f>
        <v>100</v>
      </c>
      <c r="X7" s="1383"/>
      <c r="Y7" s="3898" t="s">
        <v>479</v>
      </c>
      <c r="Z7" s="3899"/>
      <c r="AA7" s="1384">
        <f>D7/F7</f>
        <v>1</v>
      </c>
      <c r="AB7" s="1384">
        <f>D7/H7</f>
        <v>1</v>
      </c>
      <c r="AC7" s="1384">
        <f>D7/J7</f>
        <v>1</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98" t="s">
        <v>482</v>
      </c>
      <c r="Q8" s="3899"/>
      <c r="R8" s="1381" t="s">
        <v>5</v>
      </c>
      <c r="S8" s="1382">
        <f t="shared" si="0"/>
        <v>0</v>
      </c>
      <c r="T8" s="1381" t="s">
        <v>5</v>
      </c>
      <c r="U8" s="1382">
        <f t="shared" si="1"/>
        <v>0</v>
      </c>
      <c r="V8" s="1381" t="s">
        <v>5</v>
      </c>
      <c r="W8" s="1382">
        <f t="shared" si="2"/>
        <v>0</v>
      </c>
      <c r="X8" s="1383"/>
      <c r="Y8" s="3898" t="s">
        <v>482</v>
      </c>
      <c r="Z8" s="3899"/>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68" t="s">
        <v>484</v>
      </c>
      <c r="Q9" s="1050" t="str">
        <f t="shared" ref="Q9:Q15" si="6">B9</f>
        <v>用途</v>
      </c>
      <c r="R9" s="1381" t="s">
        <v>5</v>
      </c>
      <c r="S9" s="1382">
        <f t="shared" si="0"/>
        <v>100</v>
      </c>
      <c r="T9" s="1381" t="s">
        <v>5</v>
      </c>
      <c r="U9" s="1382">
        <f t="shared" si="1"/>
        <v>100</v>
      </c>
      <c r="V9" s="1381" t="s">
        <v>5</v>
      </c>
      <c r="W9" s="1382">
        <f t="shared" si="2"/>
        <v>100</v>
      </c>
      <c r="X9" s="1383"/>
      <c r="Y9" s="3812"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59"/>
      <c r="F10" s="246">
        <f>SUMIF(65:65,E10,66:66)-SUMIF(65:65,C10,66:66)+100</f>
        <v>100</v>
      </c>
      <c r="G10" s="3660"/>
      <c r="H10" s="246">
        <f>SUMIF(65:65,G10,66:66)-SUMIF(65:65,C10,66:66)+100</f>
        <v>100</v>
      </c>
      <c r="I10" s="3659"/>
      <c r="J10" s="246">
        <f>SUMIF(65:65,I10,66:66)-SUMIF(65:65,C10,66:66)+100</f>
        <v>100</v>
      </c>
      <c r="K10" s="494"/>
      <c r="L10" s="1861"/>
      <c r="M10" s="1900"/>
      <c r="N10" s="1900"/>
      <c r="O10" s="1862"/>
      <c r="P10" s="3868"/>
      <c r="Q10" s="1050" t="str">
        <f t="shared" si="6"/>
        <v>土地使用年限（年）</v>
      </c>
      <c r="R10" s="1381" t="s">
        <v>5</v>
      </c>
      <c r="S10" s="1382">
        <f t="shared" si="0"/>
        <v>100</v>
      </c>
      <c r="T10" s="1381" t="s">
        <v>5</v>
      </c>
      <c r="U10" s="1382">
        <f t="shared" si="1"/>
        <v>100</v>
      </c>
      <c r="V10" s="1381" t="s">
        <v>5</v>
      </c>
      <c r="W10" s="1382">
        <f t="shared" si="2"/>
        <v>100</v>
      </c>
      <c r="X10" s="1383"/>
      <c r="Y10" s="3812"/>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68"/>
      <c r="Q11" s="1050" t="str">
        <f t="shared" si="6"/>
        <v>容积率</v>
      </c>
      <c r="R11" s="1381" t="s">
        <v>5</v>
      </c>
      <c r="S11" s="1382" t="e">
        <f t="shared" si="0"/>
        <v>#N/A</v>
      </c>
      <c r="T11" s="1381" t="s">
        <v>5</v>
      </c>
      <c r="U11" s="1382" t="e">
        <f t="shared" si="1"/>
        <v>#N/A</v>
      </c>
      <c r="V11" s="1381" t="s">
        <v>5</v>
      </c>
      <c r="W11" s="1382" t="e">
        <f t="shared" si="2"/>
        <v>#N/A</v>
      </c>
      <c r="X11" s="1383"/>
      <c r="Y11" s="381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68"/>
      <c r="Q12" s="1050">
        <f t="shared" si="6"/>
        <v>111</v>
      </c>
      <c r="R12" s="1381" t="s">
        <v>5</v>
      </c>
      <c r="S12" s="1382">
        <f t="shared" si="0"/>
        <v>100</v>
      </c>
      <c r="T12" s="1381" t="s">
        <v>5</v>
      </c>
      <c r="U12" s="1382">
        <f t="shared" si="1"/>
        <v>100</v>
      </c>
      <c r="V12" s="1381" t="s">
        <v>5</v>
      </c>
      <c r="W12" s="1382">
        <f t="shared" si="2"/>
        <v>100</v>
      </c>
      <c r="X12" s="1383"/>
      <c r="Y12" s="3812"/>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68"/>
      <c r="Q13" s="1050">
        <f t="shared" si="6"/>
        <v>111</v>
      </c>
      <c r="R13" s="1381" t="s">
        <v>5</v>
      </c>
      <c r="S13" s="1382">
        <f t="shared" si="0"/>
        <v>100</v>
      </c>
      <c r="T13" s="1381" t="s">
        <v>5</v>
      </c>
      <c r="U13" s="1382">
        <f t="shared" si="1"/>
        <v>100</v>
      </c>
      <c r="V13" s="1381" t="s">
        <v>5</v>
      </c>
      <c r="W13" s="1382">
        <f t="shared" si="2"/>
        <v>100</v>
      </c>
      <c r="X13" s="1383"/>
      <c r="Y13" s="3812"/>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68"/>
      <c r="Q14" s="1050">
        <f t="shared" si="6"/>
        <v>111</v>
      </c>
      <c r="R14" s="1381" t="s">
        <v>5</v>
      </c>
      <c r="S14" s="1382">
        <f t="shared" si="0"/>
        <v>100</v>
      </c>
      <c r="T14" s="1381" t="s">
        <v>5</v>
      </c>
      <c r="U14" s="1382">
        <f t="shared" si="1"/>
        <v>100</v>
      </c>
      <c r="V14" s="1381" t="s">
        <v>5</v>
      </c>
      <c r="W14" s="1382">
        <f t="shared" si="2"/>
        <v>100</v>
      </c>
      <c r="X14" s="1383"/>
      <c r="Y14" s="3812"/>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01" t="s">
        <v>489</v>
      </c>
      <c r="Q15" s="1385" t="str">
        <f t="shared" si="6"/>
        <v>商业繁华度</v>
      </c>
      <c r="R15" s="1386" t="s">
        <v>5</v>
      </c>
      <c r="S15" s="1387">
        <f t="shared" si="0"/>
        <v>100</v>
      </c>
      <c r="T15" s="1386" t="s">
        <v>5</v>
      </c>
      <c r="U15" s="1387">
        <f t="shared" si="1"/>
        <v>100</v>
      </c>
      <c r="V15" s="1386" t="s">
        <v>5</v>
      </c>
      <c r="W15" s="1387">
        <f t="shared" si="2"/>
        <v>100</v>
      </c>
      <c r="X15" s="1380"/>
      <c r="Y15" s="3901"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02"/>
      <c r="Q16" s="1385"/>
      <c r="R16" s="1386"/>
      <c r="S16" s="1387"/>
      <c r="T16" s="1386"/>
      <c r="U16" s="1387"/>
      <c r="V16" s="1386"/>
      <c r="W16" s="1387"/>
      <c r="X16" s="1380"/>
      <c r="Y16" s="3902"/>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02"/>
      <c r="Q17" s="1385" t="str">
        <f>B17</f>
        <v>交通便捷度</v>
      </c>
      <c r="R17" s="1386" t="s">
        <v>5</v>
      </c>
      <c r="S17" s="1387">
        <f>F17</f>
        <v>100</v>
      </c>
      <c r="T17" s="1386" t="s">
        <v>5</v>
      </c>
      <c r="U17" s="1387">
        <f>H17</f>
        <v>100</v>
      </c>
      <c r="V17" s="1386" t="s">
        <v>5</v>
      </c>
      <c r="W17" s="1387">
        <f>J17</f>
        <v>100</v>
      </c>
      <c r="X17" s="1380"/>
      <c r="Y17" s="390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02"/>
      <c r="Q18" s="1385"/>
      <c r="R18" s="1386"/>
      <c r="S18" s="1387"/>
      <c r="T18" s="1386"/>
      <c r="U18" s="1387"/>
      <c r="V18" s="1386"/>
      <c r="W18" s="1387"/>
      <c r="X18" s="1380"/>
      <c r="Y18" s="3902"/>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02"/>
      <c r="Q19" s="1385" t="str">
        <f>B19</f>
        <v>公共配套设施</v>
      </c>
      <c r="R19" s="1386" t="s">
        <v>5</v>
      </c>
      <c r="S19" s="1387">
        <f>F19</f>
        <v>100</v>
      </c>
      <c r="T19" s="1386" t="s">
        <v>5</v>
      </c>
      <c r="U19" s="1387">
        <f>H19</f>
        <v>100</v>
      </c>
      <c r="V19" s="1386" t="s">
        <v>5</v>
      </c>
      <c r="W19" s="1387">
        <f>J19</f>
        <v>100</v>
      </c>
      <c r="X19" s="1380"/>
      <c r="Y19" s="3902"/>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02"/>
      <c r="Q20" s="1385"/>
      <c r="R20" s="1386"/>
      <c r="S20" s="1387"/>
      <c r="T20" s="1386"/>
      <c r="U20" s="1387"/>
      <c r="V20" s="1386"/>
      <c r="W20" s="1387"/>
      <c r="X20" s="1380"/>
      <c r="Y20" s="3902"/>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02"/>
      <c r="Q21" s="2193" t="str">
        <f>B21</f>
        <v>基础设施水平</v>
      </c>
      <c r="R21" s="1386" t="s">
        <v>5</v>
      </c>
      <c r="S21" s="1387">
        <f>F21</f>
        <v>100</v>
      </c>
      <c r="T21" s="1386" t="s">
        <v>5</v>
      </c>
      <c r="U21" s="1387">
        <f>H21</f>
        <v>100</v>
      </c>
      <c r="V21" s="1386" t="s">
        <v>5</v>
      </c>
      <c r="W21" s="1387">
        <f>J21</f>
        <v>100</v>
      </c>
      <c r="X21" s="2195"/>
      <c r="Y21" s="3902"/>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902"/>
      <c r="Q22" s="2193"/>
      <c r="R22" s="1386"/>
      <c r="S22" s="1387"/>
      <c r="T22" s="1386"/>
      <c r="U22" s="1387"/>
      <c r="V22" s="1386"/>
      <c r="W22" s="1387"/>
      <c r="X22" s="2195"/>
      <c r="Y22" s="3902"/>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02"/>
      <c r="Q23" s="1385" t="str">
        <f>B23</f>
        <v>自然及人文环境</v>
      </c>
      <c r="R23" s="1386" t="s">
        <v>5</v>
      </c>
      <c r="S23" s="1387">
        <f>F23</f>
        <v>100</v>
      </c>
      <c r="T23" s="1386" t="s">
        <v>5</v>
      </c>
      <c r="U23" s="1387">
        <f>H23</f>
        <v>100</v>
      </c>
      <c r="V23" s="1386" t="s">
        <v>5</v>
      </c>
      <c r="W23" s="1387">
        <f>J23</f>
        <v>100</v>
      </c>
      <c r="X23" s="1380"/>
      <c r="Y23" s="3902"/>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02"/>
      <c r="Q24" s="1385"/>
      <c r="R24" s="1386"/>
      <c r="S24" s="1387"/>
      <c r="T24" s="1386"/>
      <c r="U24" s="1387"/>
      <c r="V24" s="1386"/>
      <c r="W24" s="1387"/>
      <c r="X24" s="1380"/>
      <c r="Y24" s="3902"/>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02"/>
      <c r="Q25" s="1385" t="str">
        <f t="shared" ref="Q25:Q46" si="8">B25</f>
        <v>临街状况</v>
      </c>
      <c r="R25" s="1386" t="s">
        <v>5</v>
      </c>
      <c r="S25" s="1387">
        <f>F25</f>
        <v>100</v>
      </c>
      <c r="T25" s="1386" t="s">
        <v>5</v>
      </c>
      <c r="U25" s="1387">
        <f>H25</f>
        <v>100</v>
      </c>
      <c r="V25" s="1386" t="s">
        <v>5</v>
      </c>
      <c r="W25" s="1387">
        <f>J25</f>
        <v>100</v>
      </c>
      <c r="X25" s="1380"/>
      <c r="Y25" s="3902"/>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02"/>
      <c r="Q26" s="1385" t="str">
        <f t="shared" si="8"/>
        <v>平面位置/可视性</v>
      </c>
      <c r="R26" s="1386" t="s">
        <v>5</v>
      </c>
      <c r="S26" s="1387">
        <f>F26</f>
        <v>100</v>
      </c>
      <c r="T26" s="1386" t="s">
        <v>5</v>
      </c>
      <c r="U26" s="1387">
        <f>H26</f>
        <v>100</v>
      </c>
      <c r="V26" s="1386" t="s">
        <v>5</v>
      </c>
      <c r="W26" s="1387">
        <f>J26</f>
        <v>100</v>
      </c>
      <c r="X26" s="1380"/>
      <c r="Y26" s="3902"/>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02"/>
      <c r="Q27" s="1050" t="str">
        <f t="shared" si="8"/>
        <v>人流量</v>
      </c>
      <c r="R27" s="1381" t="s">
        <v>5</v>
      </c>
      <c r="S27" s="1382">
        <f>F27</f>
        <v>100</v>
      </c>
      <c r="T27" s="1381" t="s">
        <v>5</v>
      </c>
      <c r="U27" s="1382">
        <f>H27</f>
        <v>100</v>
      </c>
      <c r="V27" s="1381" t="s">
        <v>5</v>
      </c>
      <c r="W27" s="1382">
        <f>J27</f>
        <v>100</v>
      </c>
      <c r="X27" s="1383"/>
      <c r="Y27" s="3902"/>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02"/>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02"/>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02"/>
      <c r="Q29" s="1385">
        <f t="shared" si="8"/>
        <v>111</v>
      </c>
      <c r="R29" s="1386" t="s">
        <v>5</v>
      </c>
      <c r="S29" s="1387">
        <f t="shared" si="9"/>
        <v>100</v>
      </c>
      <c r="T29" s="1386" t="s">
        <v>5</v>
      </c>
      <c r="U29" s="1387">
        <f t="shared" si="10"/>
        <v>100</v>
      </c>
      <c r="V29" s="1386" t="s">
        <v>5</v>
      </c>
      <c r="W29" s="1387">
        <f t="shared" si="11"/>
        <v>100</v>
      </c>
      <c r="X29" s="1380"/>
      <c r="Y29" s="3902"/>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02"/>
      <c r="Q30" s="1385">
        <f t="shared" si="8"/>
        <v>111</v>
      </c>
      <c r="R30" s="1386" t="s">
        <v>5</v>
      </c>
      <c r="S30" s="1387">
        <f t="shared" si="9"/>
        <v>100</v>
      </c>
      <c r="T30" s="1386" t="s">
        <v>5</v>
      </c>
      <c r="U30" s="1387">
        <f t="shared" si="10"/>
        <v>100</v>
      </c>
      <c r="V30" s="1386" t="s">
        <v>5</v>
      </c>
      <c r="W30" s="1387">
        <f t="shared" si="11"/>
        <v>100</v>
      </c>
      <c r="X30" s="1380"/>
      <c r="Y30" s="3902"/>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02"/>
      <c r="Q31" s="1385">
        <f t="shared" si="8"/>
        <v>111</v>
      </c>
      <c r="R31" s="1386" t="s">
        <v>5</v>
      </c>
      <c r="S31" s="1387">
        <f t="shared" si="9"/>
        <v>100</v>
      </c>
      <c r="T31" s="1386" t="s">
        <v>5</v>
      </c>
      <c r="U31" s="1387">
        <f t="shared" si="10"/>
        <v>100</v>
      </c>
      <c r="V31" s="1386" t="s">
        <v>5</v>
      </c>
      <c r="W31" s="1387">
        <f t="shared" si="11"/>
        <v>100</v>
      </c>
      <c r="X31" s="1380"/>
      <c r="Y31" s="3902"/>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03" t="s">
        <v>499</v>
      </c>
      <c r="Q32" s="1385" t="str">
        <f t="shared" si="8"/>
        <v>商业类型</v>
      </c>
      <c r="R32" s="1386" t="s">
        <v>5</v>
      </c>
      <c r="S32" s="1387">
        <f t="shared" si="9"/>
        <v>100</v>
      </c>
      <c r="T32" s="1386" t="s">
        <v>5</v>
      </c>
      <c r="U32" s="1387">
        <f t="shared" si="10"/>
        <v>100</v>
      </c>
      <c r="V32" s="1386" t="s">
        <v>5</v>
      </c>
      <c r="W32" s="1387">
        <f t="shared" si="11"/>
        <v>100</v>
      </c>
      <c r="X32" s="1380"/>
      <c r="Y32" s="3904"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04"/>
      <c r="Q33" s="1414" t="str">
        <f t="shared" si="8"/>
        <v>项目建筑规模</v>
      </c>
      <c r="R33" s="1390" t="s">
        <v>5</v>
      </c>
      <c r="S33" s="1391" t="e">
        <f t="shared" si="9"/>
        <v>#N/A</v>
      </c>
      <c r="T33" s="1390" t="s">
        <v>5</v>
      </c>
      <c r="U33" s="1391" t="e">
        <f t="shared" si="10"/>
        <v>#N/A</v>
      </c>
      <c r="V33" s="1390" t="s">
        <v>5</v>
      </c>
      <c r="W33" s="1391" t="e">
        <f t="shared" si="11"/>
        <v>#N/A</v>
      </c>
      <c r="X33" s="1392"/>
      <c r="Y33" s="3904"/>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04"/>
      <c r="Q34" s="1385" t="str">
        <f t="shared" si="8"/>
        <v>建筑结构</v>
      </c>
      <c r="R34" s="1386" t="s">
        <v>5</v>
      </c>
      <c r="S34" s="1387">
        <f t="shared" si="9"/>
        <v>100</v>
      </c>
      <c r="T34" s="1386" t="s">
        <v>5</v>
      </c>
      <c r="U34" s="1387">
        <f t="shared" si="10"/>
        <v>100</v>
      </c>
      <c r="V34" s="1386" t="s">
        <v>5</v>
      </c>
      <c r="W34" s="1387">
        <f t="shared" si="11"/>
        <v>100</v>
      </c>
      <c r="X34" s="1380"/>
      <c r="Y34" s="3904"/>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04"/>
      <c r="Q35" s="1385" t="str">
        <f t="shared" si="8"/>
        <v>公共部分装修</v>
      </c>
      <c r="R35" s="1386" t="s">
        <v>5</v>
      </c>
      <c r="S35" s="1387">
        <f t="shared" si="9"/>
        <v>100</v>
      </c>
      <c r="T35" s="1386" t="s">
        <v>5</v>
      </c>
      <c r="U35" s="1387">
        <f t="shared" si="10"/>
        <v>100</v>
      </c>
      <c r="V35" s="1386" t="s">
        <v>5</v>
      </c>
      <c r="W35" s="1387">
        <f t="shared" si="11"/>
        <v>100</v>
      </c>
      <c r="X35" s="1380"/>
      <c r="Y35" s="3904"/>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04"/>
      <c r="Q36" s="1385" t="str">
        <f t="shared" si="8"/>
        <v>成新度</v>
      </c>
      <c r="R36" s="1386" t="s">
        <v>5</v>
      </c>
      <c r="S36" s="1387" t="e">
        <f t="shared" si="9"/>
        <v>#N/A</v>
      </c>
      <c r="T36" s="1386" t="s">
        <v>5</v>
      </c>
      <c r="U36" s="1387" t="e">
        <f t="shared" si="10"/>
        <v>#N/A</v>
      </c>
      <c r="V36" s="1386" t="s">
        <v>5</v>
      </c>
      <c r="W36" s="1387" t="e">
        <f t="shared" si="11"/>
        <v>#N/A</v>
      </c>
      <c r="X36" s="1380"/>
      <c r="Y36" s="3904"/>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04"/>
      <c r="Q37" s="1050" t="str">
        <f t="shared" si="8"/>
        <v>市政基础设施</v>
      </c>
      <c r="R37" s="1381" t="s">
        <v>5</v>
      </c>
      <c r="S37" s="1382">
        <f t="shared" si="9"/>
        <v>100</v>
      </c>
      <c r="T37" s="1381" t="s">
        <v>5</v>
      </c>
      <c r="U37" s="1382">
        <f t="shared" si="10"/>
        <v>100</v>
      </c>
      <c r="V37" s="1381" t="s">
        <v>5</v>
      </c>
      <c r="W37" s="1382">
        <f t="shared" si="11"/>
        <v>100</v>
      </c>
      <c r="X37" s="1383"/>
      <c r="Y37" s="3904"/>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04" t="s">
        <v>706</v>
      </c>
      <c r="Q38" s="1385" t="str">
        <f t="shared" si="8"/>
        <v>业态</v>
      </c>
      <c r="R38" s="1386" t="s">
        <v>5</v>
      </c>
      <c r="S38" s="1387">
        <f t="shared" si="9"/>
        <v>100</v>
      </c>
      <c r="T38" s="1386" t="s">
        <v>5</v>
      </c>
      <c r="U38" s="1387">
        <f t="shared" si="10"/>
        <v>100</v>
      </c>
      <c r="V38" s="1386" t="s">
        <v>5</v>
      </c>
      <c r="W38" s="1387">
        <f t="shared" si="11"/>
        <v>100</v>
      </c>
      <c r="X38" s="1380"/>
      <c r="Y38" s="3904"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04"/>
      <c r="Q39" s="1385" t="str">
        <f t="shared" si="8"/>
        <v>层高</v>
      </c>
      <c r="R39" s="1386" t="s">
        <v>5</v>
      </c>
      <c r="S39" s="1387">
        <f t="shared" si="9"/>
        <v>100</v>
      </c>
      <c r="T39" s="1386" t="s">
        <v>5</v>
      </c>
      <c r="U39" s="1387">
        <f t="shared" si="10"/>
        <v>100</v>
      </c>
      <c r="V39" s="1386" t="s">
        <v>5</v>
      </c>
      <c r="W39" s="1387">
        <f t="shared" si="11"/>
        <v>100</v>
      </c>
      <c r="X39" s="1380"/>
      <c r="Y39" s="3904"/>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04"/>
      <c r="Q40" s="1385" t="str">
        <f t="shared" si="8"/>
        <v>单套建筑面积</v>
      </c>
      <c r="R40" s="1386" t="s">
        <v>5</v>
      </c>
      <c r="S40" s="1387">
        <f t="shared" si="9"/>
        <v>100</v>
      </c>
      <c r="T40" s="1386" t="s">
        <v>5</v>
      </c>
      <c r="U40" s="1387">
        <f t="shared" si="10"/>
        <v>100</v>
      </c>
      <c r="V40" s="1386" t="s">
        <v>5</v>
      </c>
      <c r="W40" s="1387">
        <f t="shared" si="11"/>
        <v>100</v>
      </c>
      <c r="X40" s="1380"/>
      <c r="Y40" s="3904"/>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04"/>
      <c r="Q41" s="1414" t="str">
        <f t="shared" si="8"/>
        <v>进深比</v>
      </c>
      <c r="R41" s="1390" t="s">
        <v>5</v>
      </c>
      <c r="S41" s="1391">
        <f t="shared" si="9"/>
        <v>100</v>
      </c>
      <c r="T41" s="1390" t="s">
        <v>5</v>
      </c>
      <c r="U41" s="1391">
        <f t="shared" si="10"/>
        <v>100</v>
      </c>
      <c r="V41" s="1390" t="s">
        <v>5</v>
      </c>
      <c r="W41" s="1391">
        <f t="shared" si="11"/>
        <v>100</v>
      </c>
      <c r="X41" s="1392"/>
      <c r="Y41" s="3904"/>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04"/>
      <c r="Q42" s="1385" t="str">
        <f t="shared" si="8"/>
        <v>内部装修</v>
      </c>
      <c r="R42" s="1386" t="s">
        <v>5</v>
      </c>
      <c r="S42" s="1387">
        <f t="shared" si="9"/>
        <v>100</v>
      </c>
      <c r="T42" s="1386" t="s">
        <v>5</v>
      </c>
      <c r="U42" s="1387">
        <f t="shared" si="10"/>
        <v>100</v>
      </c>
      <c r="V42" s="1386" t="s">
        <v>5</v>
      </c>
      <c r="W42" s="1387">
        <f t="shared" si="11"/>
        <v>100</v>
      </c>
      <c r="X42" s="1380"/>
      <c r="Y42" s="3904"/>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04"/>
      <c r="Q43" s="1385" t="str">
        <f t="shared" si="8"/>
        <v>内部装修维护情况</v>
      </c>
      <c r="R43" s="1386" t="s">
        <v>5</v>
      </c>
      <c r="S43" s="1387">
        <f t="shared" si="9"/>
        <v>100</v>
      </c>
      <c r="T43" s="1386" t="s">
        <v>5</v>
      </c>
      <c r="U43" s="1387">
        <f t="shared" si="10"/>
        <v>100</v>
      </c>
      <c r="V43" s="1386" t="s">
        <v>5</v>
      </c>
      <c r="W43" s="1387">
        <f t="shared" si="11"/>
        <v>100</v>
      </c>
      <c r="X43" s="1380"/>
      <c r="Y43" s="3904"/>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04"/>
      <c r="Q44" s="1050">
        <f t="shared" si="8"/>
        <v>111</v>
      </c>
      <c r="R44" s="1381" t="s">
        <v>5</v>
      </c>
      <c r="S44" s="1382">
        <f t="shared" si="9"/>
        <v>100</v>
      </c>
      <c r="T44" s="1381" t="s">
        <v>5</v>
      </c>
      <c r="U44" s="1382">
        <f t="shared" si="10"/>
        <v>100</v>
      </c>
      <c r="V44" s="1381" t="s">
        <v>5</v>
      </c>
      <c r="W44" s="1382">
        <f t="shared" si="11"/>
        <v>100</v>
      </c>
      <c r="X44" s="1383"/>
      <c r="Y44" s="3904"/>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04"/>
      <c r="Q45" s="1385">
        <f t="shared" si="8"/>
        <v>111</v>
      </c>
      <c r="R45" s="1386" t="s">
        <v>5</v>
      </c>
      <c r="S45" s="1387">
        <f t="shared" si="9"/>
        <v>100</v>
      </c>
      <c r="T45" s="1386" t="s">
        <v>5</v>
      </c>
      <c r="U45" s="1387">
        <f t="shared" si="10"/>
        <v>100</v>
      </c>
      <c r="V45" s="1386" t="s">
        <v>5</v>
      </c>
      <c r="W45" s="1387">
        <f t="shared" si="11"/>
        <v>100</v>
      </c>
      <c r="X45" s="1380"/>
      <c r="Y45" s="3904"/>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97"/>
      <c r="Q46" s="1385">
        <f t="shared" si="8"/>
        <v>111</v>
      </c>
      <c r="R46" s="1386" t="s">
        <v>5</v>
      </c>
      <c r="S46" s="1387">
        <f t="shared" si="9"/>
        <v>100</v>
      </c>
      <c r="T46" s="1386" t="s">
        <v>5</v>
      </c>
      <c r="U46" s="1387">
        <f t="shared" si="10"/>
        <v>100</v>
      </c>
      <c r="V46" s="1386" t="s">
        <v>5</v>
      </c>
      <c r="W46" s="1387">
        <f t="shared" si="11"/>
        <v>100</v>
      </c>
      <c r="X46" s="1380"/>
      <c r="Y46" s="3997"/>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68" t="str">
        <f>A47</f>
        <v>成交单价（元/平方米）</v>
      </c>
      <c r="Q47" s="3868"/>
      <c r="R47" s="3996">
        <f>E47</f>
        <v>0</v>
      </c>
      <c r="S47" s="3996"/>
      <c r="T47" s="3996">
        <f>G47</f>
        <v>0</v>
      </c>
      <c r="U47" s="3996"/>
      <c r="V47" s="3996">
        <f>I47</f>
        <v>0</v>
      </c>
      <c r="W47" s="3996"/>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68" t="str">
        <f>A48</f>
        <v>比较价格（元/平方米）</v>
      </c>
      <c r="Q48" s="3868"/>
      <c r="R48" s="3996" t="e">
        <f>IF(F1="售价",ROUND(PRODUCT(R47,AA7:AA46),0),ROUND(PRODUCT(R47,AA7:AA46),1))</f>
        <v>#DIV/0!</v>
      </c>
      <c r="S48" s="3996"/>
      <c r="T48" s="3996" t="e">
        <f>IF(F1="售价",ROUND(PRODUCT(T47,AB7:AB46),0),ROUND(PRODUCT(T47,AB7:AB46),1))</f>
        <v>#DIV/0!</v>
      </c>
      <c r="U48" s="3996"/>
      <c r="V48" s="3996" t="e">
        <f>IF(F1="售价",ROUND(PRODUCT(V47,AC7:AC46),0),ROUND(PRODUCT(V47,AC7:AC46),1))</f>
        <v>#DIV/0!</v>
      </c>
      <c r="W48" s="3996"/>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905" t="str">
        <f>A49</f>
        <v>估价对象XX用房的比较价格（楼面单价，元/平方米）</v>
      </c>
      <c r="Q49" s="3906"/>
      <c r="R49" s="3995" t="e">
        <f>IF(F1="售价",ROUND(IF(D48="简单平均",AVERAGE(R48:V48),R48*F48+T48*H48+V48*J48),0),ROUND(IF(D48="简单平均",AVERAGE(R48:V48),R48*F48+T48*H48+V48*J48),1))</f>
        <v>#DIV/0!</v>
      </c>
      <c r="S49" s="3995"/>
      <c r="T49" s="3995"/>
      <c r="U49" s="3995"/>
      <c r="V49" s="3995"/>
      <c r="W49" s="3995"/>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1900-1</v>
      </c>
      <c r="D58" s="2284" t="e">
        <f>EDATE(C58,-1)</f>
        <v>#NUM!</v>
      </c>
      <c r="E58" s="2284" t="e">
        <f t="shared" ref="E58:O58" si="13">EDATE(D58,-1)</f>
        <v>#NUM!</v>
      </c>
      <c r="F58" s="2284" t="e">
        <f t="shared" si="13"/>
        <v>#NUM!</v>
      </c>
      <c r="G58" s="2284" t="e">
        <f t="shared" si="13"/>
        <v>#NUM!</v>
      </c>
      <c r="H58" s="2284" t="e">
        <f t="shared" si="13"/>
        <v>#NUM!</v>
      </c>
      <c r="I58" s="2284" t="e">
        <f t="shared" si="13"/>
        <v>#NUM!</v>
      </c>
      <c r="J58" s="2284" t="e">
        <f t="shared" si="13"/>
        <v>#NUM!</v>
      </c>
      <c r="K58" s="2284" t="e">
        <f t="shared" si="13"/>
        <v>#NUM!</v>
      </c>
      <c r="L58" s="2284" t="e">
        <f t="shared" si="13"/>
        <v>#NUM!</v>
      </c>
      <c r="M58" s="2284" t="e">
        <f t="shared" si="13"/>
        <v>#NUM!</v>
      </c>
      <c r="N58" s="2284" t="e">
        <f t="shared" si="13"/>
        <v>#NUM!</v>
      </c>
      <c r="O58" s="2284" t="e">
        <f t="shared" si="13"/>
        <v>#NUM!</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74" t="s">
        <v>471</v>
      </c>
      <c r="D4" s="3875"/>
      <c r="E4" s="3909" t="s">
        <v>472</v>
      </c>
      <c r="F4" s="3910"/>
      <c r="G4" s="3874" t="s">
        <v>473</v>
      </c>
      <c r="H4" s="3875"/>
      <c r="I4" s="3874" t="s">
        <v>474</v>
      </c>
      <c r="J4" s="3875"/>
      <c r="K4" s="484" t="s">
        <v>475</v>
      </c>
      <c r="L4" s="1856"/>
      <c r="M4" s="1857"/>
      <c r="N4" s="1857"/>
      <c r="O4" s="1857"/>
      <c r="P4" s="3999" t="s">
        <v>476</v>
      </c>
      <c r="Q4" s="3877"/>
      <c r="R4" s="3882" t="s">
        <v>472</v>
      </c>
      <c r="S4" s="3883"/>
      <c r="T4" s="3882" t="s">
        <v>473</v>
      </c>
      <c r="U4" s="3883"/>
      <c r="V4" s="3869" t="s">
        <v>474</v>
      </c>
      <c r="W4" s="3869"/>
      <c r="X4" s="1380"/>
      <c r="Y4" s="3882" t="s">
        <v>476</v>
      </c>
      <c r="Z4" s="3883"/>
      <c r="AA4" s="3871" t="s">
        <v>472</v>
      </c>
      <c r="AB4" s="3871" t="s">
        <v>473</v>
      </c>
      <c r="AC4" s="3871" t="s">
        <v>474</v>
      </c>
    </row>
    <row r="5" spans="1:29" ht="15">
      <c r="A5" s="485"/>
      <c r="B5" s="486"/>
      <c r="C5" s="3890" t="s">
        <v>2192</v>
      </c>
      <c r="D5" s="3891"/>
      <c r="E5" s="3911" t="s">
        <v>2193</v>
      </c>
      <c r="F5" s="3912"/>
      <c r="G5" s="3890" t="s">
        <v>2194</v>
      </c>
      <c r="H5" s="3891"/>
      <c r="I5" s="3890" t="s">
        <v>2195</v>
      </c>
      <c r="J5" s="3891"/>
      <c r="K5" s="484"/>
      <c r="L5" s="1856"/>
      <c r="M5" s="1857"/>
      <c r="N5" s="1857"/>
      <c r="O5" s="1857"/>
      <c r="P5" s="4000"/>
      <c r="Q5" s="3879"/>
      <c r="R5" s="3884"/>
      <c r="S5" s="3885"/>
      <c r="T5" s="3884"/>
      <c r="U5" s="3885"/>
      <c r="V5" s="3869"/>
      <c r="W5" s="3869"/>
      <c r="X5" s="1380"/>
      <c r="Y5" s="3884"/>
      <c r="Z5" s="3885"/>
      <c r="AA5" s="3872"/>
      <c r="AB5" s="3872"/>
      <c r="AC5" s="3872"/>
    </row>
    <row r="6" spans="1:29" ht="15.75" thickBot="1">
      <c r="A6" s="487"/>
      <c r="B6" s="488"/>
      <c r="C6" s="3888" t="s">
        <v>2196</v>
      </c>
      <c r="D6" s="3889"/>
      <c r="E6" s="3907" t="s">
        <v>2196</v>
      </c>
      <c r="F6" s="3908"/>
      <c r="G6" s="3888" t="s">
        <v>2196</v>
      </c>
      <c r="H6" s="3889"/>
      <c r="I6" s="3888" t="s">
        <v>2196</v>
      </c>
      <c r="J6" s="3889"/>
      <c r="K6" s="484" t="s">
        <v>477</v>
      </c>
      <c r="L6" s="1856"/>
      <c r="M6" s="1857"/>
      <c r="N6" s="1857"/>
      <c r="O6" s="1857"/>
      <c r="P6" s="4001"/>
      <c r="Q6" s="3881"/>
      <c r="R6" s="3884"/>
      <c r="S6" s="3885"/>
      <c r="T6" s="3886"/>
      <c r="U6" s="3887"/>
      <c r="V6" s="3869"/>
      <c r="W6" s="3869"/>
      <c r="X6" s="1380"/>
      <c r="Y6" s="3886"/>
      <c r="Z6" s="3887"/>
      <c r="AA6" s="3873"/>
      <c r="AB6" s="3873"/>
      <c r="AC6" s="3873"/>
    </row>
    <row r="7" spans="1:29" s="1118" customFormat="1" ht="15.75" thickBot="1">
      <c r="A7" s="2392"/>
      <c r="B7" s="2399" t="s">
        <v>478</v>
      </c>
      <c r="C7" s="489">
        <f>'数据-取费表'!B2</f>
        <v>0</v>
      </c>
      <c r="D7" s="490">
        <v>100</v>
      </c>
      <c r="E7" s="491"/>
      <c r="F7" s="492">
        <f>SUMIF(59:59,YEAR(E7)&amp;"-"&amp;MONTH(E7),60:60)</f>
        <v>100</v>
      </c>
      <c r="G7" s="491"/>
      <c r="H7" s="490">
        <f>SUMIF(59:59,YEAR(G7)&amp;"-"&amp;MONTH(G7),60:60)</f>
        <v>100</v>
      </c>
      <c r="I7" s="491"/>
      <c r="J7" s="490">
        <f>SUMIF(59:59,YEAR(I7)&amp;"-"&amp;MONTH(I7),60:60)</f>
        <v>100</v>
      </c>
      <c r="K7" s="494"/>
      <c r="L7" s="1858"/>
      <c r="M7" s="1859"/>
      <c r="N7" s="1859"/>
      <c r="O7" s="1859"/>
      <c r="P7" s="3900" t="s">
        <v>479</v>
      </c>
      <c r="Q7" s="3900"/>
      <c r="R7" s="1381" t="s">
        <v>5</v>
      </c>
      <c r="S7" s="1382">
        <f t="shared" ref="S7:S15" si="0">F7</f>
        <v>100</v>
      </c>
      <c r="T7" s="1381" t="s">
        <v>5</v>
      </c>
      <c r="U7" s="1382">
        <f t="shared" ref="U7:U15" si="1">H7</f>
        <v>100</v>
      </c>
      <c r="V7" s="1381" t="s">
        <v>5</v>
      </c>
      <c r="W7" s="1382">
        <f t="shared" ref="W7:W15" si="2">J7</f>
        <v>100</v>
      </c>
      <c r="X7" s="1383"/>
      <c r="Y7" s="3898" t="s">
        <v>479</v>
      </c>
      <c r="Z7" s="3899"/>
      <c r="AA7" s="1384">
        <f>D7/F7</f>
        <v>1</v>
      </c>
      <c r="AB7" s="1384">
        <f>D7/H7</f>
        <v>1</v>
      </c>
      <c r="AC7" s="1384">
        <f>D7/J7</f>
        <v>1</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00" t="s">
        <v>482</v>
      </c>
      <c r="Q8" s="3899"/>
      <c r="R8" s="1381" t="s">
        <v>5</v>
      </c>
      <c r="S8" s="1382">
        <f t="shared" si="0"/>
        <v>0</v>
      </c>
      <c r="T8" s="1381" t="s">
        <v>5</v>
      </c>
      <c r="U8" s="1382">
        <f t="shared" si="1"/>
        <v>0</v>
      </c>
      <c r="V8" s="1381" t="s">
        <v>5</v>
      </c>
      <c r="W8" s="1382">
        <f t="shared" si="2"/>
        <v>0</v>
      </c>
      <c r="X8" s="1383"/>
      <c r="Y8" s="3898" t="s">
        <v>482</v>
      </c>
      <c r="Z8" s="3899"/>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68" t="s">
        <v>484</v>
      </c>
      <c r="Q9" s="1050" t="str">
        <f t="shared" ref="Q9:Q15" si="6">B9</f>
        <v>用途</v>
      </c>
      <c r="R9" s="1381" t="s">
        <v>5</v>
      </c>
      <c r="S9" s="1382">
        <f t="shared" si="0"/>
        <v>100</v>
      </c>
      <c r="T9" s="1381" t="s">
        <v>5</v>
      </c>
      <c r="U9" s="1382">
        <f t="shared" si="1"/>
        <v>100</v>
      </c>
      <c r="V9" s="1381" t="s">
        <v>5</v>
      </c>
      <c r="W9" s="1382">
        <f t="shared" si="2"/>
        <v>100</v>
      </c>
      <c r="X9" s="1383"/>
      <c r="Y9" s="3812"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59"/>
      <c r="F10" s="246">
        <f>SUMIF(66:66,E10,67:67)-SUMIF(66:66,C10,67:67)+100</f>
        <v>100</v>
      </c>
      <c r="G10" s="3660"/>
      <c r="H10" s="246">
        <f>SUMIF(66:66,G10,67:67)-SUMIF(66:66,C10,67:67)+100</f>
        <v>100</v>
      </c>
      <c r="I10" s="3659"/>
      <c r="J10" s="246">
        <f>SUMIF(66:66,I10,67:67)-SUMIF(66:66,C10,67:67)+100</f>
        <v>100</v>
      </c>
      <c r="K10" s="494"/>
      <c r="L10" s="1861"/>
      <c r="M10" s="1900"/>
      <c r="N10" s="1900"/>
      <c r="O10" s="1900"/>
      <c r="P10" s="3868"/>
      <c r="Q10" s="1050" t="str">
        <f t="shared" si="6"/>
        <v>土地使用年限（年）</v>
      </c>
      <c r="R10" s="1381" t="s">
        <v>5</v>
      </c>
      <c r="S10" s="1382">
        <f t="shared" si="0"/>
        <v>100</v>
      </c>
      <c r="T10" s="1381" t="s">
        <v>5</v>
      </c>
      <c r="U10" s="1382">
        <f t="shared" si="1"/>
        <v>100</v>
      </c>
      <c r="V10" s="1381" t="s">
        <v>5</v>
      </c>
      <c r="W10" s="1382">
        <f t="shared" si="2"/>
        <v>100</v>
      </c>
      <c r="X10" s="1383"/>
      <c r="Y10" s="3812"/>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68"/>
      <c r="Q11" s="1050" t="str">
        <f t="shared" si="6"/>
        <v>容积率</v>
      </c>
      <c r="R11" s="1381" t="s">
        <v>5</v>
      </c>
      <c r="S11" s="1382" t="e">
        <f t="shared" si="0"/>
        <v>#N/A</v>
      </c>
      <c r="T11" s="1381" t="s">
        <v>5</v>
      </c>
      <c r="U11" s="1382" t="e">
        <f t="shared" si="1"/>
        <v>#N/A</v>
      </c>
      <c r="V11" s="1381" t="s">
        <v>5</v>
      </c>
      <c r="W11" s="1382" t="e">
        <f t="shared" si="2"/>
        <v>#N/A</v>
      </c>
      <c r="X11" s="1383"/>
      <c r="Y11" s="381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68"/>
      <c r="Q12" s="1050">
        <f t="shared" si="6"/>
        <v>111</v>
      </c>
      <c r="R12" s="1381" t="s">
        <v>5</v>
      </c>
      <c r="S12" s="1382">
        <f t="shared" si="0"/>
        <v>100</v>
      </c>
      <c r="T12" s="1381" t="s">
        <v>5</v>
      </c>
      <c r="U12" s="1382">
        <f t="shared" si="1"/>
        <v>100</v>
      </c>
      <c r="V12" s="1381" t="s">
        <v>5</v>
      </c>
      <c r="W12" s="1382">
        <f t="shared" si="2"/>
        <v>100</v>
      </c>
      <c r="X12" s="1383"/>
      <c r="Y12" s="3812"/>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68"/>
      <c r="Q13" s="1050">
        <f t="shared" si="6"/>
        <v>111</v>
      </c>
      <c r="R13" s="1381" t="s">
        <v>5</v>
      </c>
      <c r="S13" s="1382">
        <f t="shared" si="0"/>
        <v>100</v>
      </c>
      <c r="T13" s="1381" t="s">
        <v>5</v>
      </c>
      <c r="U13" s="1382">
        <f t="shared" si="1"/>
        <v>100</v>
      </c>
      <c r="V13" s="1381" t="s">
        <v>5</v>
      </c>
      <c r="W13" s="1382">
        <f t="shared" si="2"/>
        <v>100</v>
      </c>
      <c r="X13" s="1383"/>
      <c r="Y13" s="3812"/>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68"/>
      <c r="Q14" s="1050">
        <f t="shared" si="6"/>
        <v>111</v>
      </c>
      <c r="R14" s="1381" t="s">
        <v>5</v>
      </c>
      <c r="S14" s="1382">
        <f t="shared" si="0"/>
        <v>100</v>
      </c>
      <c r="T14" s="1381" t="s">
        <v>5</v>
      </c>
      <c r="U14" s="1382">
        <f t="shared" si="1"/>
        <v>100</v>
      </c>
      <c r="V14" s="1381" t="s">
        <v>5</v>
      </c>
      <c r="W14" s="1382">
        <f t="shared" si="2"/>
        <v>100</v>
      </c>
      <c r="X14" s="1383"/>
      <c r="Y14" s="3812"/>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01" t="s">
        <v>489</v>
      </c>
      <c r="Q15" s="1385" t="str">
        <f t="shared" si="6"/>
        <v>办公集聚程度</v>
      </c>
      <c r="R15" s="1386" t="s">
        <v>5</v>
      </c>
      <c r="S15" s="1387">
        <f t="shared" si="0"/>
        <v>100</v>
      </c>
      <c r="T15" s="1386" t="s">
        <v>5</v>
      </c>
      <c r="U15" s="1387">
        <f t="shared" si="1"/>
        <v>100</v>
      </c>
      <c r="V15" s="1386" t="s">
        <v>5</v>
      </c>
      <c r="W15" s="1387">
        <f t="shared" si="2"/>
        <v>100</v>
      </c>
      <c r="X15" s="1380"/>
      <c r="Y15" s="3901"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02"/>
      <c r="Q16" s="1385"/>
      <c r="R16" s="1386"/>
      <c r="S16" s="1387"/>
      <c r="T16" s="1386"/>
      <c r="U16" s="1387"/>
      <c r="V16" s="1386"/>
      <c r="W16" s="1387"/>
      <c r="X16" s="1380"/>
      <c r="Y16" s="3902"/>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02"/>
      <c r="Q17" s="1385" t="str">
        <f>B17</f>
        <v>交通便捷度</v>
      </c>
      <c r="R17" s="1386" t="s">
        <v>5</v>
      </c>
      <c r="S17" s="1387">
        <f>F17</f>
        <v>100</v>
      </c>
      <c r="T17" s="1386" t="s">
        <v>5</v>
      </c>
      <c r="U17" s="1387">
        <f>H17</f>
        <v>100</v>
      </c>
      <c r="V17" s="1386" t="s">
        <v>5</v>
      </c>
      <c r="W17" s="1387">
        <f>J17</f>
        <v>100</v>
      </c>
      <c r="X17" s="1380"/>
      <c r="Y17" s="3902"/>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02"/>
      <c r="Q18" s="1385"/>
      <c r="R18" s="1386"/>
      <c r="S18" s="1387"/>
      <c r="T18" s="1386"/>
      <c r="U18" s="1387"/>
      <c r="V18" s="1386"/>
      <c r="W18" s="1387"/>
      <c r="X18" s="1380"/>
      <c r="Y18" s="3902"/>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02"/>
      <c r="Q19" s="1385" t="str">
        <f>B19</f>
        <v>公共配套设施</v>
      </c>
      <c r="R19" s="1386" t="s">
        <v>5</v>
      </c>
      <c r="S19" s="1387">
        <f>F19</f>
        <v>100</v>
      </c>
      <c r="T19" s="1386" t="s">
        <v>5</v>
      </c>
      <c r="U19" s="1387">
        <f>H19</f>
        <v>100</v>
      </c>
      <c r="V19" s="1386" t="s">
        <v>5</v>
      </c>
      <c r="W19" s="1387">
        <f>J19</f>
        <v>100</v>
      </c>
      <c r="X19" s="1380"/>
      <c r="Y19" s="3902"/>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02"/>
      <c r="Q20" s="1385"/>
      <c r="R20" s="1386"/>
      <c r="S20" s="1387"/>
      <c r="T20" s="1386"/>
      <c r="U20" s="1387"/>
      <c r="V20" s="1386"/>
      <c r="W20" s="1387"/>
      <c r="X20" s="1380"/>
      <c r="Y20" s="3902"/>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02"/>
      <c r="Q21" s="2193" t="str">
        <f>B21</f>
        <v>基础设施水平</v>
      </c>
      <c r="R21" s="1386" t="s">
        <v>5</v>
      </c>
      <c r="S21" s="1387">
        <f>F21</f>
        <v>100</v>
      </c>
      <c r="T21" s="1386" t="s">
        <v>5</v>
      </c>
      <c r="U21" s="1387">
        <f>H21</f>
        <v>100</v>
      </c>
      <c r="V21" s="1386" t="s">
        <v>5</v>
      </c>
      <c r="W21" s="1387">
        <f>J21</f>
        <v>100</v>
      </c>
      <c r="X21" s="2195"/>
      <c r="Y21" s="3902"/>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902"/>
      <c r="Q22" s="2193"/>
      <c r="R22" s="1386"/>
      <c r="S22" s="1387"/>
      <c r="T22" s="1386"/>
      <c r="U22" s="1387"/>
      <c r="V22" s="1386"/>
      <c r="W22" s="1387"/>
      <c r="X22" s="2195"/>
      <c r="Y22" s="3902"/>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02"/>
      <c r="Q23" s="1385" t="str">
        <f>B23</f>
        <v>环境质量</v>
      </c>
      <c r="R23" s="1386" t="s">
        <v>5</v>
      </c>
      <c r="S23" s="1387">
        <f>F23</f>
        <v>100</v>
      </c>
      <c r="T23" s="1386" t="s">
        <v>5</v>
      </c>
      <c r="U23" s="1387">
        <f>H23</f>
        <v>100</v>
      </c>
      <c r="V23" s="1386" t="s">
        <v>5</v>
      </c>
      <c r="W23" s="1387">
        <f>J23</f>
        <v>100</v>
      </c>
      <c r="X23" s="1380"/>
      <c r="Y23" s="3902"/>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02"/>
      <c r="Q24" s="1385"/>
      <c r="R24" s="1386"/>
      <c r="S24" s="1387"/>
      <c r="T24" s="1386"/>
      <c r="U24" s="1387"/>
      <c r="V24" s="1386"/>
      <c r="W24" s="1387"/>
      <c r="X24" s="1380"/>
      <c r="Y24" s="3902"/>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02"/>
      <c r="Q25" s="1385" t="str">
        <f>B25</f>
        <v>毗邻道路的类型与等级</v>
      </c>
      <c r="R25" s="1386" t="s">
        <v>5</v>
      </c>
      <c r="S25" s="1387">
        <f>F25</f>
        <v>100</v>
      </c>
      <c r="T25" s="1386" t="s">
        <v>5</v>
      </c>
      <c r="U25" s="1387">
        <f>H25</f>
        <v>100</v>
      </c>
      <c r="V25" s="1386" t="s">
        <v>5</v>
      </c>
      <c r="W25" s="1387">
        <f>J25</f>
        <v>100</v>
      </c>
      <c r="X25" s="1380"/>
      <c r="Y25" s="3902"/>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02"/>
      <c r="Q26" s="1385"/>
      <c r="R26" s="1386"/>
      <c r="S26" s="1387"/>
      <c r="T26" s="1386"/>
      <c r="U26" s="1387"/>
      <c r="V26" s="1386"/>
      <c r="W26" s="1387"/>
      <c r="X26" s="1380"/>
      <c r="Y26" s="3902"/>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02"/>
      <c r="Q27" s="1385" t="str">
        <f t="shared" ref="Q27:Q47" si="8">B27</f>
        <v>楼层</v>
      </c>
      <c r="R27" s="1386" t="s">
        <v>5</v>
      </c>
      <c r="S27" s="1387">
        <f>F27</f>
        <v>100</v>
      </c>
      <c r="T27" s="1386" t="s">
        <v>5</v>
      </c>
      <c r="U27" s="1387">
        <f>H27</f>
        <v>100</v>
      </c>
      <c r="V27" s="1386" t="s">
        <v>5</v>
      </c>
      <c r="W27" s="1387">
        <f>J27</f>
        <v>100</v>
      </c>
      <c r="X27" s="1380"/>
      <c r="Y27" s="3902"/>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02"/>
      <c r="Q28" s="1050" t="str">
        <f t="shared" si="8"/>
        <v>朝向</v>
      </c>
      <c r="R28" s="1381" t="s">
        <v>5</v>
      </c>
      <c r="S28" s="1382">
        <f>F28</f>
        <v>100</v>
      </c>
      <c r="T28" s="1381" t="s">
        <v>5</v>
      </c>
      <c r="U28" s="1382">
        <f>H28</f>
        <v>100</v>
      </c>
      <c r="V28" s="1381" t="s">
        <v>5</v>
      </c>
      <c r="W28" s="1382">
        <f>J28</f>
        <v>100</v>
      </c>
      <c r="X28" s="1383"/>
      <c r="Y28" s="3902"/>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02"/>
      <c r="Q29" s="1385">
        <f t="shared" si="8"/>
        <v>111</v>
      </c>
      <c r="R29" s="1386" t="s">
        <v>5</v>
      </c>
      <c r="S29" s="1387">
        <f t="shared" ref="S29:S47" si="9">F29</f>
        <v>100</v>
      </c>
      <c r="T29" s="1386" t="s">
        <v>5</v>
      </c>
      <c r="U29" s="1387">
        <f t="shared" ref="U29:U47" si="10">H29</f>
        <v>100</v>
      </c>
      <c r="V29" s="1386" t="s">
        <v>5</v>
      </c>
      <c r="W29" s="1387">
        <f t="shared" ref="W29:W47" si="11">J29</f>
        <v>100</v>
      </c>
      <c r="X29" s="1380"/>
      <c r="Y29" s="3902"/>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02"/>
      <c r="Q30" s="1385">
        <f t="shared" si="8"/>
        <v>111</v>
      </c>
      <c r="R30" s="1386" t="s">
        <v>5</v>
      </c>
      <c r="S30" s="1387">
        <f t="shared" si="9"/>
        <v>100</v>
      </c>
      <c r="T30" s="1386" t="s">
        <v>5</v>
      </c>
      <c r="U30" s="1387">
        <f t="shared" si="10"/>
        <v>100</v>
      </c>
      <c r="V30" s="1386" t="s">
        <v>5</v>
      </c>
      <c r="W30" s="1387">
        <f t="shared" si="11"/>
        <v>100</v>
      </c>
      <c r="X30" s="1380"/>
      <c r="Y30" s="3902"/>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02"/>
      <c r="Q31" s="1385">
        <f t="shared" si="8"/>
        <v>111</v>
      </c>
      <c r="R31" s="1386" t="s">
        <v>5</v>
      </c>
      <c r="S31" s="1387">
        <f t="shared" si="9"/>
        <v>100</v>
      </c>
      <c r="T31" s="1386" t="s">
        <v>5</v>
      </c>
      <c r="U31" s="1387">
        <f t="shared" si="10"/>
        <v>100</v>
      </c>
      <c r="V31" s="1386" t="s">
        <v>5</v>
      </c>
      <c r="W31" s="1387">
        <f t="shared" si="11"/>
        <v>100</v>
      </c>
      <c r="X31" s="1380"/>
      <c r="Y31" s="3902"/>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02"/>
      <c r="Q32" s="1385">
        <f t="shared" si="8"/>
        <v>111</v>
      </c>
      <c r="R32" s="1386" t="s">
        <v>5</v>
      </c>
      <c r="S32" s="1387">
        <f t="shared" si="9"/>
        <v>100</v>
      </c>
      <c r="T32" s="1386" t="s">
        <v>5</v>
      </c>
      <c r="U32" s="1387">
        <f t="shared" si="10"/>
        <v>100</v>
      </c>
      <c r="V32" s="1386" t="s">
        <v>5</v>
      </c>
      <c r="W32" s="1387">
        <f t="shared" si="11"/>
        <v>100</v>
      </c>
      <c r="X32" s="1380"/>
      <c r="Y32" s="3902"/>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03" t="s">
        <v>499</v>
      </c>
      <c r="Q33" s="1385" t="str">
        <f t="shared" si="8"/>
        <v>建筑类型</v>
      </c>
      <c r="R33" s="1386" t="s">
        <v>5</v>
      </c>
      <c r="S33" s="1387">
        <f t="shared" si="9"/>
        <v>100</v>
      </c>
      <c r="T33" s="1386" t="s">
        <v>5</v>
      </c>
      <c r="U33" s="1387">
        <f t="shared" si="10"/>
        <v>100</v>
      </c>
      <c r="V33" s="1386" t="s">
        <v>5</v>
      </c>
      <c r="W33" s="1387">
        <f t="shared" si="11"/>
        <v>100</v>
      </c>
      <c r="X33" s="1380"/>
      <c r="Y33" s="3904"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04"/>
      <c r="Q34" s="1414" t="str">
        <f t="shared" si="8"/>
        <v>项目建筑规模</v>
      </c>
      <c r="R34" s="1390" t="s">
        <v>5</v>
      </c>
      <c r="S34" s="1391" t="e">
        <f t="shared" si="9"/>
        <v>#N/A</v>
      </c>
      <c r="T34" s="1390" t="s">
        <v>5</v>
      </c>
      <c r="U34" s="1391" t="e">
        <f t="shared" si="10"/>
        <v>#N/A</v>
      </c>
      <c r="V34" s="1390" t="s">
        <v>5</v>
      </c>
      <c r="W34" s="1391" t="e">
        <f t="shared" si="11"/>
        <v>#N/A</v>
      </c>
      <c r="X34" s="1392"/>
      <c r="Y34" s="3904"/>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04"/>
      <c r="Q35" s="1385" t="str">
        <f t="shared" si="8"/>
        <v>建筑结构</v>
      </c>
      <c r="R35" s="1386" t="s">
        <v>5</v>
      </c>
      <c r="S35" s="1387">
        <f t="shared" si="9"/>
        <v>100</v>
      </c>
      <c r="T35" s="1386" t="s">
        <v>5</v>
      </c>
      <c r="U35" s="1387">
        <f t="shared" si="10"/>
        <v>100</v>
      </c>
      <c r="V35" s="1386" t="s">
        <v>5</v>
      </c>
      <c r="W35" s="1387">
        <f t="shared" si="11"/>
        <v>100</v>
      </c>
      <c r="X35" s="1380"/>
      <c r="Y35" s="3904"/>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04"/>
      <c r="Q36" s="1385" t="str">
        <f t="shared" si="8"/>
        <v>公共部分装修</v>
      </c>
      <c r="R36" s="1386" t="s">
        <v>5</v>
      </c>
      <c r="S36" s="1387">
        <f t="shared" si="9"/>
        <v>100</v>
      </c>
      <c r="T36" s="1386" t="s">
        <v>5</v>
      </c>
      <c r="U36" s="1387">
        <f t="shared" si="10"/>
        <v>100</v>
      </c>
      <c r="V36" s="1386" t="s">
        <v>5</v>
      </c>
      <c r="W36" s="1387">
        <f t="shared" si="11"/>
        <v>100</v>
      </c>
      <c r="X36" s="1380"/>
      <c r="Y36" s="3904"/>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04"/>
      <c r="Q37" s="1385" t="str">
        <f t="shared" si="8"/>
        <v>成新度</v>
      </c>
      <c r="R37" s="1386" t="s">
        <v>5</v>
      </c>
      <c r="S37" s="1387" t="e">
        <f t="shared" si="9"/>
        <v>#N/A</v>
      </c>
      <c r="T37" s="1386" t="s">
        <v>5</v>
      </c>
      <c r="U37" s="1387" t="e">
        <f t="shared" si="10"/>
        <v>#N/A</v>
      </c>
      <c r="V37" s="1386" t="s">
        <v>5</v>
      </c>
      <c r="W37" s="1387" t="e">
        <f t="shared" si="11"/>
        <v>#N/A</v>
      </c>
      <c r="X37" s="1380"/>
      <c r="Y37" s="3904"/>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04"/>
      <c r="Q38" s="1050" t="str">
        <f t="shared" si="8"/>
        <v>写字楼等级</v>
      </c>
      <c r="R38" s="1381" t="s">
        <v>5</v>
      </c>
      <c r="S38" s="1382">
        <f t="shared" si="9"/>
        <v>100</v>
      </c>
      <c r="T38" s="1381" t="s">
        <v>5</v>
      </c>
      <c r="U38" s="1382">
        <f t="shared" si="10"/>
        <v>100</v>
      </c>
      <c r="V38" s="1381" t="s">
        <v>5</v>
      </c>
      <c r="W38" s="1382">
        <f t="shared" si="11"/>
        <v>100</v>
      </c>
      <c r="X38" s="1383"/>
      <c r="Y38" s="3904"/>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04" t="s">
        <v>499</v>
      </c>
      <c r="Q39" s="1385" t="str">
        <f t="shared" si="8"/>
        <v>物业管理</v>
      </c>
      <c r="R39" s="1386" t="s">
        <v>5</v>
      </c>
      <c r="S39" s="1387">
        <f t="shared" si="9"/>
        <v>100</v>
      </c>
      <c r="T39" s="1386" t="s">
        <v>5</v>
      </c>
      <c r="U39" s="1387">
        <f t="shared" si="10"/>
        <v>100</v>
      </c>
      <c r="V39" s="1386" t="s">
        <v>5</v>
      </c>
      <c r="W39" s="1387">
        <f t="shared" si="11"/>
        <v>100</v>
      </c>
      <c r="X39" s="1380"/>
      <c r="Y39" s="3904"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04"/>
      <c r="Q40" s="1385" t="str">
        <f t="shared" si="8"/>
        <v>市政基础设施</v>
      </c>
      <c r="R40" s="1386" t="s">
        <v>5</v>
      </c>
      <c r="S40" s="1387">
        <f t="shared" si="9"/>
        <v>100</v>
      </c>
      <c r="T40" s="1386" t="s">
        <v>5</v>
      </c>
      <c r="U40" s="1387">
        <f t="shared" si="10"/>
        <v>100</v>
      </c>
      <c r="V40" s="1386" t="s">
        <v>5</v>
      </c>
      <c r="W40" s="1387">
        <f t="shared" si="11"/>
        <v>100</v>
      </c>
      <c r="X40" s="1380"/>
      <c r="Y40" s="3904"/>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04"/>
      <c r="Q41" s="1385" t="str">
        <f t="shared" si="8"/>
        <v>层高</v>
      </c>
      <c r="R41" s="1386" t="s">
        <v>5</v>
      </c>
      <c r="S41" s="1387">
        <f t="shared" si="9"/>
        <v>100</v>
      </c>
      <c r="T41" s="1386" t="s">
        <v>5</v>
      </c>
      <c r="U41" s="1387">
        <f t="shared" si="10"/>
        <v>100</v>
      </c>
      <c r="V41" s="1386" t="s">
        <v>5</v>
      </c>
      <c r="W41" s="1387">
        <f t="shared" si="11"/>
        <v>100</v>
      </c>
      <c r="X41" s="1380"/>
      <c r="Y41" s="3904"/>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04"/>
      <c r="Q42" s="1414" t="str">
        <f t="shared" si="8"/>
        <v>单套建筑面积</v>
      </c>
      <c r="R42" s="1390" t="s">
        <v>5</v>
      </c>
      <c r="S42" s="1391">
        <f t="shared" si="9"/>
        <v>100</v>
      </c>
      <c r="T42" s="1390" t="s">
        <v>5</v>
      </c>
      <c r="U42" s="1391">
        <f t="shared" si="10"/>
        <v>100</v>
      </c>
      <c r="V42" s="1390" t="s">
        <v>5</v>
      </c>
      <c r="W42" s="1391">
        <f t="shared" si="11"/>
        <v>100</v>
      </c>
      <c r="X42" s="1392"/>
      <c r="Y42" s="3904"/>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04"/>
      <c r="Q43" s="1385" t="str">
        <f t="shared" si="8"/>
        <v>内部装修</v>
      </c>
      <c r="R43" s="1386" t="s">
        <v>5</v>
      </c>
      <c r="S43" s="1387">
        <f t="shared" si="9"/>
        <v>100</v>
      </c>
      <c r="T43" s="1386" t="s">
        <v>5</v>
      </c>
      <c r="U43" s="1387">
        <f t="shared" si="10"/>
        <v>100</v>
      </c>
      <c r="V43" s="1386" t="s">
        <v>5</v>
      </c>
      <c r="W43" s="1387">
        <f t="shared" si="11"/>
        <v>100</v>
      </c>
      <c r="X43" s="1380"/>
      <c r="Y43" s="3904"/>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04"/>
      <c r="Q44" s="1385" t="str">
        <f t="shared" si="8"/>
        <v>内部装修维护情况</v>
      </c>
      <c r="R44" s="1386" t="s">
        <v>5</v>
      </c>
      <c r="S44" s="1387">
        <f t="shared" si="9"/>
        <v>100</v>
      </c>
      <c r="T44" s="1386" t="s">
        <v>5</v>
      </c>
      <c r="U44" s="1387">
        <f t="shared" si="10"/>
        <v>100</v>
      </c>
      <c r="V44" s="1386" t="s">
        <v>5</v>
      </c>
      <c r="W44" s="1387">
        <f t="shared" si="11"/>
        <v>100</v>
      </c>
      <c r="X44" s="1380"/>
      <c r="Y44" s="3904"/>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04"/>
      <c r="Q45" s="1050">
        <f t="shared" si="8"/>
        <v>111</v>
      </c>
      <c r="R45" s="1381" t="s">
        <v>5</v>
      </c>
      <c r="S45" s="1382">
        <f t="shared" si="9"/>
        <v>100</v>
      </c>
      <c r="T45" s="1381" t="s">
        <v>5</v>
      </c>
      <c r="U45" s="1382">
        <f t="shared" si="10"/>
        <v>100</v>
      </c>
      <c r="V45" s="1381" t="s">
        <v>5</v>
      </c>
      <c r="W45" s="1382">
        <f t="shared" si="11"/>
        <v>100</v>
      </c>
      <c r="X45" s="1383"/>
      <c r="Y45" s="3904"/>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04"/>
      <c r="Q46" s="1385">
        <f t="shared" si="8"/>
        <v>111</v>
      </c>
      <c r="R46" s="1386" t="s">
        <v>5</v>
      </c>
      <c r="S46" s="1387">
        <f t="shared" si="9"/>
        <v>100</v>
      </c>
      <c r="T46" s="1386" t="s">
        <v>5</v>
      </c>
      <c r="U46" s="1387">
        <f t="shared" si="10"/>
        <v>100</v>
      </c>
      <c r="V46" s="1386" t="s">
        <v>5</v>
      </c>
      <c r="W46" s="1387">
        <f t="shared" si="11"/>
        <v>100</v>
      </c>
      <c r="X46" s="1380"/>
      <c r="Y46" s="3904"/>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97"/>
      <c r="Q47" s="1385">
        <f t="shared" si="8"/>
        <v>111</v>
      </c>
      <c r="R47" s="1386" t="s">
        <v>5</v>
      </c>
      <c r="S47" s="1387">
        <f t="shared" si="9"/>
        <v>100</v>
      </c>
      <c r="T47" s="1386" t="s">
        <v>5</v>
      </c>
      <c r="U47" s="1387">
        <f t="shared" si="10"/>
        <v>100</v>
      </c>
      <c r="V47" s="1386" t="s">
        <v>5</v>
      </c>
      <c r="W47" s="1387">
        <f t="shared" si="11"/>
        <v>100</v>
      </c>
      <c r="X47" s="1380"/>
      <c r="Y47" s="3997"/>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906" t="str">
        <f>A48</f>
        <v>成交单价（元/平方米）</v>
      </c>
      <c r="Q48" s="3868"/>
      <c r="R48" s="3996">
        <f>E48</f>
        <v>0</v>
      </c>
      <c r="S48" s="3996"/>
      <c r="T48" s="3996">
        <f>G48</f>
        <v>0</v>
      </c>
      <c r="U48" s="3996"/>
      <c r="V48" s="3996">
        <f>I48</f>
        <v>0</v>
      </c>
      <c r="W48" s="3996"/>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906" t="str">
        <f>A49</f>
        <v>比较价格（元/平方米）</v>
      </c>
      <c r="Q49" s="3868"/>
      <c r="R49" s="3996" t="e">
        <f>IF(F1="售价",ROUND(PRODUCT(R48,AA7:AA47),0),ROUND(PRODUCT(R48,AA7:AA47),1))</f>
        <v>#DIV/0!</v>
      </c>
      <c r="S49" s="3996"/>
      <c r="T49" s="3996" t="e">
        <f>IF(F1="售价",ROUND(PRODUCT(T48,AB7:AB47),0),ROUND(PRODUCT(T48,AB7:AB47),1))</f>
        <v>#DIV/0!</v>
      </c>
      <c r="U49" s="3996"/>
      <c r="V49" s="3996" t="e">
        <f>IF(F1="售价",ROUND(PRODUCT(V48,AC7:AC47),0),ROUND(PRODUCT(V48,AC7:AC47),1))</f>
        <v>#DIV/0!</v>
      </c>
      <c r="W49" s="3996"/>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3998" t="str">
        <f>A50</f>
        <v>估价对象XX用房的比较价格（楼面单价，元/平方米）</v>
      </c>
      <c r="Q50" s="3906"/>
      <c r="R50" s="3995" t="e">
        <f>IF(F1="售价",ROUND(IF(D49="简单平均",AVERAGE(R49:V49),R49*F49+T49*H49+V49*J49),0),ROUND(IF(D49="简单平均",AVERAGE(R49:V49),R49*F49+T49*H49+V49*J49),1))</f>
        <v>#DIV/0!</v>
      </c>
      <c r="S50" s="3995"/>
      <c r="T50" s="3995"/>
      <c r="U50" s="3995"/>
      <c r="V50" s="3995"/>
      <c r="W50" s="3995"/>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1900-1</v>
      </c>
      <c r="D59" s="2284" t="e">
        <f>EDATE(C59,-1)</f>
        <v>#NUM!</v>
      </c>
      <c r="E59" s="2284" t="e">
        <f t="shared" ref="E59:O59" si="13">EDATE(D59,-1)</f>
        <v>#NUM!</v>
      </c>
      <c r="F59" s="2284" t="e">
        <f t="shared" si="13"/>
        <v>#NUM!</v>
      </c>
      <c r="G59" s="2284" t="e">
        <f t="shared" si="13"/>
        <v>#NUM!</v>
      </c>
      <c r="H59" s="2284" t="e">
        <f t="shared" si="13"/>
        <v>#NUM!</v>
      </c>
      <c r="I59" s="2284" t="e">
        <f t="shared" si="13"/>
        <v>#NUM!</v>
      </c>
      <c r="J59" s="2284" t="e">
        <f t="shared" si="13"/>
        <v>#NUM!</v>
      </c>
      <c r="K59" s="2284" t="e">
        <f t="shared" si="13"/>
        <v>#NUM!</v>
      </c>
      <c r="L59" s="2284" t="e">
        <f t="shared" si="13"/>
        <v>#NUM!</v>
      </c>
      <c r="M59" s="2284" t="e">
        <f t="shared" si="13"/>
        <v>#NUM!</v>
      </c>
      <c r="N59" s="2284" t="e">
        <f t="shared" si="13"/>
        <v>#NUM!</v>
      </c>
      <c r="O59" s="2284" t="e">
        <f t="shared" si="13"/>
        <v>#NUM!</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74" t="s">
        <v>471</v>
      </c>
      <c r="D4" s="3875"/>
      <c r="E4" s="3909" t="s">
        <v>472</v>
      </c>
      <c r="F4" s="3910"/>
      <c r="G4" s="3874" t="s">
        <v>473</v>
      </c>
      <c r="H4" s="3875"/>
      <c r="I4" s="3874" t="s">
        <v>474</v>
      </c>
      <c r="J4" s="3875"/>
      <c r="K4" s="484" t="s">
        <v>475</v>
      </c>
      <c r="L4" s="1856"/>
      <c r="M4" s="1857"/>
      <c r="N4" s="1857"/>
      <c r="O4" s="1857"/>
      <c r="P4" s="3876" t="s">
        <v>476</v>
      </c>
      <c r="Q4" s="3877"/>
      <c r="R4" s="3882" t="s">
        <v>472</v>
      </c>
      <c r="S4" s="3883"/>
      <c r="T4" s="3882" t="s">
        <v>473</v>
      </c>
      <c r="U4" s="3883"/>
      <c r="V4" s="3869" t="s">
        <v>474</v>
      </c>
      <c r="W4" s="3869"/>
      <c r="X4" s="1380"/>
      <c r="Y4" s="3882" t="s">
        <v>476</v>
      </c>
      <c r="Z4" s="3883"/>
      <c r="AA4" s="3871" t="s">
        <v>472</v>
      </c>
      <c r="AB4" s="3872" t="s">
        <v>473</v>
      </c>
      <c r="AC4" s="3871" t="s">
        <v>474</v>
      </c>
    </row>
    <row r="5" spans="1:29" ht="15">
      <c r="A5" s="485"/>
      <c r="B5" s="486"/>
      <c r="C5" s="3890" t="s">
        <v>2192</v>
      </c>
      <c r="D5" s="3891"/>
      <c r="E5" s="3911" t="s">
        <v>2193</v>
      </c>
      <c r="F5" s="3912"/>
      <c r="G5" s="3890" t="s">
        <v>2194</v>
      </c>
      <c r="H5" s="3891"/>
      <c r="I5" s="3890" t="s">
        <v>2195</v>
      </c>
      <c r="J5" s="3891"/>
      <c r="K5" s="484"/>
      <c r="L5" s="1856"/>
      <c r="M5" s="1857"/>
      <c r="N5" s="1857"/>
      <c r="O5" s="1857"/>
      <c r="P5" s="3878"/>
      <c r="Q5" s="3879"/>
      <c r="R5" s="3884"/>
      <c r="S5" s="3885"/>
      <c r="T5" s="3884"/>
      <c r="U5" s="3885"/>
      <c r="V5" s="3869"/>
      <c r="W5" s="3869"/>
      <c r="X5" s="1380"/>
      <c r="Y5" s="3884"/>
      <c r="Z5" s="3885"/>
      <c r="AA5" s="3872"/>
      <c r="AB5" s="3872"/>
      <c r="AC5" s="3872"/>
    </row>
    <row r="6" spans="1:29" ht="15.75" thickBot="1">
      <c r="A6" s="487"/>
      <c r="B6" s="488"/>
      <c r="C6" s="3888" t="s">
        <v>2196</v>
      </c>
      <c r="D6" s="3889"/>
      <c r="E6" s="3907" t="s">
        <v>2196</v>
      </c>
      <c r="F6" s="3908"/>
      <c r="G6" s="3888" t="s">
        <v>2196</v>
      </c>
      <c r="H6" s="3889"/>
      <c r="I6" s="3888" t="s">
        <v>2196</v>
      </c>
      <c r="J6" s="3889"/>
      <c r="K6" s="484" t="s">
        <v>477</v>
      </c>
      <c r="L6" s="1856"/>
      <c r="M6" s="1857"/>
      <c r="N6" s="1857"/>
      <c r="O6" s="1857"/>
      <c r="P6" s="3880"/>
      <c r="Q6" s="3881"/>
      <c r="R6" s="3884"/>
      <c r="S6" s="3885"/>
      <c r="T6" s="3886"/>
      <c r="U6" s="3887"/>
      <c r="V6" s="3869"/>
      <c r="W6" s="3869"/>
      <c r="X6" s="1380"/>
      <c r="Y6" s="3886"/>
      <c r="Z6" s="3887"/>
      <c r="AA6" s="3873"/>
      <c r="AB6" s="3873"/>
      <c r="AC6" s="3873"/>
    </row>
    <row r="7" spans="1:29" s="1118" customFormat="1" ht="15.75" thickBot="1">
      <c r="A7" s="2392"/>
      <c r="B7" s="2399" t="s">
        <v>478</v>
      </c>
      <c r="C7" s="489">
        <f>'数据-取费表'!B2</f>
        <v>0</v>
      </c>
      <c r="D7" s="490">
        <v>100</v>
      </c>
      <c r="E7" s="491"/>
      <c r="F7" s="492">
        <f>SUMIF(52:52,YEAR(E7)&amp;"-"&amp;MONTH(E7),53:53)</f>
        <v>100</v>
      </c>
      <c r="G7" s="491"/>
      <c r="H7" s="490">
        <f>SUMIF(52:52,YEAR(G7)&amp;"-"&amp;MONTH(G7),53:53)</f>
        <v>100</v>
      </c>
      <c r="I7" s="491"/>
      <c r="J7" s="490">
        <f>SUMIF(52:52,YEAR(I7)&amp;"-"&amp;MONTH(I7),53:53)</f>
        <v>100</v>
      </c>
      <c r="K7" s="494"/>
      <c r="L7" s="1858"/>
      <c r="M7" s="1859"/>
      <c r="N7" s="1859"/>
      <c r="O7" s="1859"/>
      <c r="P7" s="3898" t="s">
        <v>479</v>
      </c>
      <c r="Q7" s="3900"/>
      <c r="R7" s="1381" t="s">
        <v>5</v>
      </c>
      <c r="S7" s="1382">
        <f t="shared" ref="S7:S15" si="0">F7</f>
        <v>100</v>
      </c>
      <c r="T7" s="1381" t="s">
        <v>5</v>
      </c>
      <c r="U7" s="1382">
        <f t="shared" ref="U7:U15" si="1">H7</f>
        <v>100</v>
      </c>
      <c r="V7" s="1381" t="s">
        <v>5</v>
      </c>
      <c r="W7" s="1382">
        <f t="shared" ref="W7:W15" si="2">J7</f>
        <v>100</v>
      </c>
      <c r="X7" s="1383"/>
      <c r="Y7" s="3898" t="s">
        <v>479</v>
      </c>
      <c r="Z7" s="3899"/>
      <c r="AA7" s="1384">
        <f>D7/F7</f>
        <v>1</v>
      </c>
      <c r="AB7" s="1384">
        <f>D7/H7</f>
        <v>1</v>
      </c>
      <c r="AC7" s="1384">
        <f>D7/J7</f>
        <v>1</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98" t="s">
        <v>482</v>
      </c>
      <c r="Q8" s="3899"/>
      <c r="R8" s="1381" t="s">
        <v>5</v>
      </c>
      <c r="S8" s="1382">
        <f t="shared" si="0"/>
        <v>0</v>
      </c>
      <c r="T8" s="1381" t="s">
        <v>5</v>
      </c>
      <c r="U8" s="1382">
        <f t="shared" si="1"/>
        <v>0</v>
      </c>
      <c r="V8" s="1381" t="s">
        <v>5</v>
      </c>
      <c r="W8" s="1382">
        <f t="shared" si="2"/>
        <v>0</v>
      </c>
      <c r="X8" s="1383"/>
      <c r="Y8" s="3898" t="s">
        <v>482</v>
      </c>
      <c r="Z8" s="3899"/>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68" t="s">
        <v>484</v>
      </c>
      <c r="Q9" s="1050" t="str">
        <f t="shared" ref="Q9:Q15" si="6">B9</f>
        <v>用途</v>
      </c>
      <c r="R9" s="1381" t="s">
        <v>5</v>
      </c>
      <c r="S9" s="1382">
        <f t="shared" si="0"/>
        <v>100</v>
      </c>
      <c r="T9" s="1381" t="s">
        <v>5</v>
      </c>
      <c r="U9" s="1382">
        <f t="shared" si="1"/>
        <v>100</v>
      </c>
      <c r="V9" s="1381" t="s">
        <v>5</v>
      </c>
      <c r="W9" s="1382">
        <f t="shared" si="2"/>
        <v>100</v>
      </c>
      <c r="X9" s="1383"/>
      <c r="Y9" s="3812"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59"/>
      <c r="F10" s="246">
        <f>SUMIF(59:59,E10,60:60)-SUMIF(59:59,C10,60:60)+100</f>
        <v>100</v>
      </c>
      <c r="G10" s="3660"/>
      <c r="H10" s="246">
        <f>SUMIF(59:59,G10,60:60)-SUMIF(59:59,C10,60:60)+100</f>
        <v>100</v>
      </c>
      <c r="I10" s="3659"/>
      <c r="J10" s="246">
        <f>SUMIF(59:59,I10,60:60)-SUMIF(59:59,C10,60:60)+100</f>
        <v>100</v>
      </c>
      <c r="K10" s="494"/>
      <c r="L10" s="1861"/>
      <c r="M10" s="1900"/>
      <c r="N10" s="1900"/>
      <c r="O10" s="1862"/>
      <c r="P10" s="3868"/>
      <c r="Q10" s="1050" t="str">
        <f t="shared" si="6"/>
        <v>土地使用年限（年）</v>
      </c>
      <c r="R10" s="1381" t="s">
        <v>5</v>
      </c>
      <c r="S10" s="1382">
        <f t="shared" si="0"/>
        <v>100</v>
      </c>
      <c r="T10" s="1381" t="s">
        <v>5</v>
      </c>
      <c r="U10" s="1382">
        <f t="shared" si="1"/>
        <v>100</v>
      </c>
      <c r="V10" s="1381" t="s">
        <v>5</v>
      </c>
      <c r="W10" s="1382">
        <f t="shared" si="2"/>
        <v>100</v>
      </c>
      <c r="X10" s="1383"/>
      <c r="Y10" s="3812"/>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68"/>
      <c r="Q11" s="1050" t="str">
        <f t="shared" si="6"/>
        <v>容积率</v>
      </c>
      <c r="R11" s="1381" t="s">
        <v>5</v>
      </c>
      <c r="S11" s="1382" t="e">
        <f t="shared" si="0"/>
        <v>#N/A</v>
      </c>
      <c r="T11" s="1381" t="s">
        <v>5</v>
      </c>
      <c r="U11" s="1382" t="e">
        <f t="shared" si="1"/>
        <v>#N/A</v>
      </c>
      <c r="V11" s="1381" t="s">
        <v>5</v>
      </c>
      <c r="W11" s="1382" t="e">
        <f t="shared" si="2"/>
        <v>#N/A</v>
      </c>
      <c r="X11" s="1383"/>
      <c r="Y11" s="381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68"/>
      <c r="Q12" s="1050">
        <f t="shared" si="6"/>
        <v>111</v>
      </c>
      <c r="R12" s="1381" t="s">
        <v>5</v>
      </c>
      <c r="S12" s="1382">
        <f t="shared" si="0"/>
        <v>100</v>
      </c>
      <c r="T12" s="1381" t="s">
        <v>5</v>
      </c>
      <c r="U12" s="1382">
        <f t="shared" si="1"/>
        <v>100</v>
      </c>
      <c r="V12" s="1381" t="s">
        <v>5</v>
      </c>
      <c r="W12" s="1382">
        <f t="shared" si="2"/>
        <v>100</v>
      </c>
      <c r="X12" s="1383"/>
      <c r="Y12" s="3812"/>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68"/>
      <c r="Q13" s="1050">
        <f t="shared" si="6"/>
        <v>111</v>
      </c>
      <c r="R13" s="1381" t="s">
        <v>5</v>
      </c>
      <c r="S13" s="1382">
        <f t="shared" si="0"/>
        <v>100</v>
      </c>
      <c r="T13" s="1381" t="s">
        <v>5</v>
      </c>
      <c r="U13" s="1382">
        <f t="shared" si="1"/>
        <v>100</v>
      </c>
      <c r="V13" s="1381" t="s">
        <v>5</v>
      </c>
      <c r="W13" s="1382">
        <f t="shared" si="2"/>
        <v>100</v>
      </c>
      <c r="X13" s="1383"/>
      <c r="Y13" s="3812"/>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68"/>
      <c r="Q14" s="1050">
        <f t="shared" si="6"/>
        <v>111</v>
      </c>
      <c r="R14" s="1381" t="s">
        <v>5</v>
      </c>
      <c r="S14" s="1382">
        <f t="shared" si="0"/>
        <v>100</v>
      </c>
      <c r="T14" s="1381" t="s">
        <v>5</v>
      </c>
      <c r="U14" s="1382">
        <f t="shared" si="1"/>
        <v>100</v>
      </c>
      <c r="V14" s="1381" t="s">
        <v>5</v>
      </c>
      <c r="W14" s="1382">
        <f t="shared" si="2"/>
        <v>100</v>
      </c>
      <c r="X14" s="1383"/>
      <c r="Y14" s="3812"/>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01" t="s">
        <v>489</v>
      </c>
      <c r="Q15" s="1385" t="str">
        <f t="shared" si="6"/>
        <v>产业集聚程度</v>
      </c>
      <c r="R15" s="1386" t="s">
        <v>5</v>
      </c>
      <c r="S15" s="1387">
        <f t="shared" si="0"/>
        <v>100</v>
      </c>
      <c r="T15" s="1386" t="s">
        <v>5</v>
      </c>
      <c r="U15" s="1387">
        <f t="shared" si="1"/>
        <v>100</v>
      </c>
      <c r="V15" s="1386" t="s">
        <v>5</v>
      </c>
      <c r="W15" s="1387">
        <f t="shared" si="2"/>
        <v>100</v>
      </c>
      <c r="X15" s="1380"/>
      <c r="Y15" s="3901"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02"/>
      <c r="Q16" s="1385"/>
      <c r="R16" s="1386"/>
      <c r="S16" s="1387"/>
      <c r="T16" s="1386"/>
      <c r="U16" s="1387"/>
      <c r="V16" s="1386"/>
      <c r="W16" s="1387"/>
      <c r="X16" s="1380"/>
      <c r="Y16" s="3902"/>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02"/>
      <c r="Q17" s="1385" t="str">
        <f>B17</f>
        <v>交通便捷度</v>
      </c>
      <c r="R17" s="1386" t="s">
        <v>5</v>
      </c>
      <c r="S17" s="1387">
        <f>F17</f>
        <v>100</v>
      </c>
      <c r="T17" s="1386" t="s">
        <v>5</v>
      </c>
      <c r="U17" s="1387">
        <f>H17</f>
        <v>100</v>
      </c>
      <c r="V17" s="1386" t="s">
        <v>5</v>
      </c>
      <c r="W17" s="1387">
        <f>J17</f>
        <v>100</v>
      </c>
      <c r="X17" s="1380"/>
      <c r="Y17" s="390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02"/>
      <c r="Q18" s="1385"/>
      <c r="R18" s="1386"/>
      <c r="S18" s="1387"/>
      <c r="T18" s="1386"/>
      <c r="U18" s="1387"/>
      <c r="V18" s="1386"/>
      <c r="W18" s="1387"/>
      <c r="X18" s="1380"/>
      <c r="Y18" s="3902"/>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02"/>
      <c r="Q19" s="1385" t="str">
        <f>B19</f>
        <v>公共配套设施</v>
      </c>
      <c r="R19" s="1386" t="s">
        <v>5</v>
      </c>
      <c r="S19" s="1387">
        <f>F19</f>
        <v>100</v>
      </c>
      <c r="T19" s="1386" t="s">
        <v>5</v>
      </c>
      <c r="U19" s="1387">
        <f>H19</f>
        <v>100</v>
      </c>
      <c r="V19" s="1386" t="s">
        <v>5</v>
      </c>
      <c r="W19" s="1387">
        <f>J19</f>
        <v>100</v>
      </c>
      <c r="X19" s="1380"/>
      <c r="Y19" s="3902"/>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02"/>
      <c r="Q20" s="1385"/>
      <c r="R20" s="1386"/>
      <c r="S20" s="1387"/>
      <c r="T20" s="1386"/>
      <c r="U20" s="1387"/>
      <c r="V20" s="1386"/>
      <c r="W20" s="1387"/>
      <c r="X20" s="1380"/>
      <c r="Y20" s="3902"/>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02"/>
      <c r="Q21" s="2193" t="str">
        <f>B21</f>
        <v>基础设施水平</v>
      </c>
      <c r="R21" s="1386" t="s">
        <v>5</v>
      </c>
      <c r="S21" s="1387">
        <f>F21</f>
        <v>100</v>
      </c>
      <c r="T21" s="1386" t="s">
        <v>5</v>
      </c>
      <c r="U21" s="1387">
        <f>H21</f>
        <v>100</v>
      </c>
      <c r="V21" s="1386" t="s">
        <v>5</v>
      </c>
      <c r="W21" s="1387">
        <f>J21</f>
        <v>100</v>
      </c>
      <c r="X21" s="2195"/>
      <c r="Y21" s="3902"/>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902"/>
      <c r="Q22" s="2193"/>
      <c r="R22" s="1386"/>
      <c r="S22" s="1387"/>
      <c r="T22" s="1386"/>
      <c r="U22" s="1387"/>
      <c r="V22" s="1386"/>
      <c r="W22" s="1387"/>
      <c r="X22" s="2195"/>
      <c r="Y22" s="3902"/>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02"/>
      <c r="Q23" s="1385" t="str">
        <f>B23</f>
        <v>环境质量</v>
      </c>
      <c r="R23" s="1386" t="s">
        <v>5</v>
      </c>
      <c r="S23" s="1387">
        <f>F23</f>
        <v>100</v>
      </c>
      <c r="T23" s="1386" t="s">
        <v>5</v>
      </c>
      <c r="U23" s="1387">
        <f>H23</f>
        <v>100</v>
      </c>
      <c r="V23" s="1386" t="s">
        <v>5</v>
      </c>
      <c r="W23" s="1387">
        <f>J23</f>
        <v>100</v>
      </c>
      <c r="X23" s="1380"/>
      <c r="Y23" s="3902"/>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02"/>
      <c r="Q24" s="1385"/>
      <c r="R24" s="1386"/>
      <c r="S24" s="1387"/>
      <c r="T24" s="1386"/>
      <c r="U24" s="1387"/>
      <c r="V24" s="1386"/>
      <c r="W24" s="1387"/>
      <c r="X24" s="1380"/>
      <c r="Y24" s="3902"/>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02"/>
      <c r="Q25" s="1385">
        <f>B25</f>
        <v>111</v>
      </c>
      <c r="R25" s="1386" t="s">
        <v>5</v>
      </c>
      <c r="S25" s="1387">
        <f>F25</f>
        <v>100</v>
      </c>
      <c r="T25" s="1386" t="s">
        <v>5</v>
      </c>
      <c r="U25" s="1387">
        <f>H25</f>
        <v>100</v>
      </c>
      <c r="V25" s="1386" t="s">
        <v>5</v>
      </c>
      <c r="W25" s="1387">
        <f>J25</f>
        <v>100</v>
      </c>
      <c r="X25" s="1380"/>
      <c r="Y25" s="3902"/>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02"/>
      <c r="Q26" s="1385">
        <f t="shared" ref="Q26:Q40" si="8">B26</f>
        <v>111</v>
      </c>
      <c r="R26" s="1386" t="s">
        <v>5</v>
      </c>
      <c r="S26" s="1387">
        <f>F26</f>
        <v>100</v>
      </c>
      <c r="T26" s="1386" t="s">
        <v>5</v>
      </c>
      <c r="U26" s="1387">
        <f>H26</f>
        <v>100</v>
      </c>
      <c r="V26" s="1386" t="s">
        <v>5</v>
      </c>
      <c r="W26" s="1387">
        <f>J26</f>
        <v>100</v>
      </c>
      <c r="X26" s="1380"/>
      <c r="Y26" s="3902"/>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02"/>
      <c r="Q27" s="1050">
        <f t="shared" si="8"/>
        <v>111</v>
      </c>
      <c r="R27" s="1381" t="s">
        <v>5</v>
      </c>
      <c r="S27" s="1382">
        <f>F27</f>
        <v>100</v>
      </c>
      <c r="T27" s="1381" t="s">
        <v>5</v>
      </c>
      <c r="U27" s="1382">
        <f>H27</f>
        <v>100</v>
      </c>
      <c r="V27" s="1381" t="s">
        <v>5</v>
      </c>
      <c r="W27" s="1382">
        <f>J27</f>
        <v>100</v>
      </c>
      <c r="X27" s="1383"/>
      <c r="Y27" s="3902"/>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02"/>
      <c r="Q28" s="1385">
        <f t="shared" si="8"/>
        <v>111</v>
      </c>
      <c r="R28" s="1386" t="s">
        <v>5</v>
      </c>
      <c r="S28" s="1387">
        <f t="shared" ref="S28:S40" si="9">F28</f>
        <v>100</v>
      </c>
      <c r="T28" s="1386" t="s">
        <v>5</v>
      </c>
      <c r="U28" s="1387">
        <f t="shared" ref="U28:U40" si="10">H28</f>
        <v>100</v>
      </c>
      <c r="V28" s="1386" t="s">
        <v>5</v>
      </c>
      <c r="W28" s="1387">
        <f t="shared" ref="W28:W40" si="11">J28</f>
        <v>100</v>
      </c>
      <c r="X28" s="1380"/>
      <c r="Y28" s="3902"/>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03" t="s">
        <v>499</v>
      </c>
      <c r="Q29" s="1385" t="str">
        <f t="shared" si="8"/>
        <v>建筑类型</v>
      </c>
      <c r="R29" s="1386" t="s">
        <v>5</v>
      </c>
      <c r="S29" s="1387">
        <f t="shared" si="9"/>
        <v>100</v>
      </c>
      <c r="T29" s="1386" t="s">
        <v>5</v>
      </c>
      <c r="U29" s="1387">
        <f t="shared" si="10"/>
        <v>100</v>
      </c>
      <c r="V29" s="1386" t="s">
        <v>5</v>
      </c>
      <c r="W29" s="1387">
        <f t="shared" si="11"/>
        <v>100</v>
      </c>
      <c r="X29" s="1380"/>
      <c r="Y29" s="3904"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04"/>
      <c r="Q30" s="1414" t="str">
        <f t="shared" si="8"/>
        <v>项目建筑规模</v>
      </c>
      <c r="R30" s="1390" t="s">
        <v>5</v>
      </c>
      <c r="S30" s="1391" t="e">
        <f t="shared" si="9"/>
        <v>#N/A</v>
      </c>
      <c r="T30" s="1390" t="s">
        <v>5</v>
      </c>
      <c r="U30" s="1391" t="e">
        <f t="shared" si="10"/>
        <v>#N/A</v>
      </c>
      <c r="V30" s="1390" t="s">
        <v>5</v>
      </c>
      <c r="W30" s="1391" t="e">
        <f t="shared" si="11"/>
        <v>#N/A</v>
      </c>
      <c r="X30" s="1392"/>
      <c r="Y30" s="3904"/>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04"/>
      <c r="Q31" s="1385" t="str">
        <f t="shared" si="8"/>
        <v>建筑结构</v>
      </c>
      <c r="R31" s="1386" t="s">
        <v>5</v>
      </c>
      <c r="S31" s="1387">
        <f t="shared" si="9"/>
        <v>100</v>
      </c>
      <c r="T31" s="1386" t="s">
        <v>5</v>
      </c>
      <c r="U31" s="1387">
        <f t="shared" si="10"/>
        <v>100</v>
      </c>
      <c r="V31" s="1386" t="s">
        <v>5</v>
      </c>
      <c r="W31" s="1387">
        <f t="shared" si="11"/>
        <v>100</v>
      </c>
      <c r="X31" s="1380"/>
      <c r="Y31" s="3904"/>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04"/>
      <c r="Q32" s="1385" t="str">
        <f t="shared" si="8"/>
        <v>公共部分装修</v>
      </c>
      <c r="R32" s="1386" t="s">
        <v>5</v>
      </c>
      <c r="S32" s="1387">
        <f t="shared" si="9"/>
        <v>100</v>
      </c>
      <c r="T32" s="1386" t="s">
        <v>5</v>
      </c>
      <c r="U32" s="1387">
        <f t="shared" si="10"/>
        <v>100</v>
      </c>
      <c r="V32" s="1386" t="s">
        <v>5</v>
      </c>
      <c r="W32" s="1387">
        <f t="shared" si="11"/>
        <v>100</v>
      </c>
      <c r="X32" s="1380"/>
      <c r="Y32" s="3904"/>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04"/>
      <c r="Q33" s="1385" t="str">
        <f t="shared" si="8"/>
        <v>成新度</v>
      </c>
      <c r="R33" s="1386" t="s">
        <v>5</v>
      </c>
      <c r="S33" s="1387" t="e">
        <f t="shared" si="9"/>
        <v>#N/A</v>
      </c>
      <c r="T33" s="1386" t="s">
        <v>5</v>
      </c>
      <c r="U33" s="1387" t="e">
        <f t="shared" si="10"/>
        <v>#N/A</v>
      </c>
      <c r="V33" s="1386" t="s">
        <v>5</v>
      </c>
      <c r="W33" s="1387" t="e">
        <f t="shared" si="11"/>
        <v>#N/A</v>
      </c>
      <c r="X33" s="1380"/>
      <c r="Y33" s="3904"/>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04"/>
      <c r="Q34" s="1050" t="str">
        <f t="shared" si="8"/>
        <v>物业管理</v>
      </c>
      <c r="R34" s="1381" t="s">
        <v>5</v>
      </c>
      <c r="S34" s="1382">
        <f t="shared" si="9"/>
        <v>100</v>
      </c>
      <c r="T34" s="1381" t="s">
        <v>5</v>
      </c>
      <c r="U34" s="1382">
        <f t="shared" si="10"/>
        <v>100</v>
      </c>
      <c r="V34" s="1381" t="s">
        <v>5</v>
      </c>
      <c r="W34" s="1382">
        <f t="shared" si="11"/>
        <v>100</v>
      </c>
      <c r="X34" s="1383"/>
      <c r="Y34" s="3904"/>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04" t="s">
        <v>499</v>
      </c>
      <c r="Q35" s="1385" t="str">
        <f t="shared" si="8"/>
        <v>市政基础设施</v>
      </c>
      <c r="R35" s="1386" t="s">
        <v>5</v>
      </c>
      <c r="S35" s="1387">
        <f t="shared" si="9"/>
        <v>100</v>
      </c>
      <c r="T35" s="1386" t="s">
        <v>5</v>
      </c>
      <c r="U35" s="1387">
        <f t="shared" si="10"/>
        <v>100</v>
      </c>
      <c r="V35" s="1386" t="s">
        <v>5</v>
      </c>
      <c r="W35" s="1387">
        <f t="shared" si="11"/>
        <v>100</v>
      </c>
      <c r="X35" s="1380"/>
      <c r="Y35" s="3904"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04"/>
      <c r="Q36" s="1385" t="str">
        <f t="shared" si="8"/>
        <v>内部装修</v>
      </c>
      <c r="R36" s="1386" t="s">
        <v>5</v>
      </c>
      <c r="S36" s="1387">
        <f t="shared" si="9"/>
        <v>100</v>
      </c>
      <c r="T36" s="1386" t="s">
        <v>5</v>
      </c>
      <c r="U36" s="1387">
        <f t="shared" si="10"/>
        <v>100</v>
      </c>
      <c r="V36" s="1386" t="s">
        <v>5</v>
      </c>
      <c r="W36" s="1387">
        <f t="shared" si="11"/>
        <v>100</v>
      </c>
      <c r="X36" s="1380"/>
      <c r="Y36" s="3904"/>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04"/>
      <c r="Q37" s="1385" t="str">
        <f t="shared" si="8"/>
        <v>内部装修状况</v>
      </c>
      <c r="R37" s="1386" t="s">
        <v>5</v>
      </c>
      <c r="S37" s="1387">
        <f t="shared" si="9"/>
        <v>100</v>
      </c>
      <c r="T37" s="1386" t="s">
        <v>5</v>
      </c>
      <c r="U37" s="1387">
        <f t="shared" si="10"/>
        <v>100</v>
      </c>
      <c r="V37" s="1386" t="s">
        <v>5</v>
      </c>
      <c r="W37" s="1387">
        <f t="shared" si="11"/>
        <v>100</v>
      </c>
      <c r="X37" s="1380"/>
      <c r="Y37" s="3904"/>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04"/>
      <c r="Q38" s="1414">
        <f t="shared" si="8"/>
        <v>111</v>
      </c>
      <c r="R38" s="1390" t="s">
        <v>5</v>
      </c>
      <c r="S38" s="1391">
        <f t="shared" si="9"/>
        <v>100</v>
      </c>
      <c r="T38" s="1390" t="s">
        <v>5</v>
      </c>
      <c r="U38" s="1391">
        <f t="shared" si="10"/>
        <v>100</v>
      </c>
      <c r="V38" s="1390" t="s">
        <v>5</v>
      </c>
      <c r="W38" s="1391">
        <f t="shared" si="11"/>
        <v>100</v>
      </c>
      <c r="X38" s="1392"/>
      <c r="Y38" s="3904"/>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04"/>
      <c r="Q39" s="1385">
        <f t="shared" si="8"/>
        <v>111</v>
      </c>
      <c r="R39" s="1386" t="s">
        <v>5</v>
      </c>
      <c r="S39" s="1387">
        <f t="shared" si="9"/>
        <v>100</v>
      </c>
      <c r="T39" s="1386" t="s">
        <v>5</v>
      </c>
      <c r="U39" s="1387">
        <f t="shared" si="10"/>
        <v>100</v>
      </c>
      <c r="V39" s="1386" t="s">
        <v>5</v>
      </c>
      <c r="W39" s="1387">
        <f t="shared" si="11"/>
        <v>100</v>
      </c>
      <c r="X39" s="1380"/>
      <c r="Y39" s="3904"/>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97"/>
      <c r="Q40" s="1385">
        <f t="shared" si="8"/>
        <v>111</v>
      </c>
      <c r="R40" s="1386" t="s">
        <v>5</v>
      </c>
      <c r="S40" s="1387">
        <f t="shared" si="9"/>
        <v>100</v>
      </c>
      <c r="T40" s="1386" t="s">
        <v>5</v>
      </c>
      <c r="U40" s="1387">
        <f t="shared" si="10"/>
        <v>100</v>
      </c>
      <c r="V40" s="1386" t="s">
        <v>5</v>
      </c>
      <c r="W40" s="1387">
        <f t="shared" si="11"/>
        <v>100</v>
      </c>
      <c r="X40" s="1380"/>
      <c r="Y40" s="3997"/>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68" t="str">
        <f>A41</f>
        <v>成交单价（元/平方米）</v>
      </c>
      <c r="Q41" s="3868"/>
      <c r="R41" s="3996">
        <f>E41</f>
        <v>0</v>
      </c>
      <c r="S41" s="3996"/>
      <c r="T41" s="3996">
        <f>G41</f>
        <v>0</v>
      </c>
      <c r="U41" s="3996"/>
      <c r="V41" s="3996">
        <f>I41</f>
        <v>0</v>
      </c>
      <c r="W41" s="3996"/>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68" t="str">
        <f>A42</f>
        <v>比较价格（元/平方米）</v>
      </c>
      <c r="Q42" s="3868"/>
      <c r="R42" s="3996" t="e">
        <f>IF(F1="售价",ROUND(PRODUCT(R41,AA7:AA40),0),ROUND(PRODUCT(R41,AA7:AA40),1))</f>
        <v>#DIV/0!</v>
      </c>
      <c r="S42" s="3996"/>
      <c r="T42" s="3996" t="e">
        <f>IF(F1="售价",ROUND(PRODUCT(T41,AB7:AB40),0),ROUND(PRODUCT(T41,AB7:AB40),1))</f>
        <v>#DIV/0!</v>
      </c>
      <c r="U42" s="3996"/>
      <c r="V42" s="3996" t="e">
        <f>IF(F1="售价",ROUND(PRODUCT(V41,AC7:AC40),0),ROUND(PRODUCT(V41,AC7:AC40),1))</f>
        <v>#DIV/0!</v>
      </c>
      <c r="W42" s="3996"/>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905" t="str">
        <f>A43</f>
        <v>估价对象XX用房的比较价格（楼面单价，元/平方米）</v>
      </c>
      <c r="Q43" s="3906"/>
      <c r="R43" s="3995" t="e">
        <f>IF(F1="售价",ROUND(IF(D42="简单平均",AVERAGE(R42:V42),R42*F42+T42*H42+V42*J42),0),ROUND(IF(D42="简单平均",AVERAGE(R42:V42),R42*F42+T42*H42+V42*J42),1))</f>
        <v>#DIV/0!</v>
      </c>
      <c r="S43" s="3995"/>
      <c r="T43" s="3995"/>
      <c r="U43" s="3995"/>
      <c r="V43" s="3995"/>
      <c r="W43" s="3995"/>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1900-1</v>
      </c>
      <c r="D52" s="2284" t="e">
        <f>EDATE(C52,-1)</f>
        <v>#NUM!</v>
      </c>
      <c r="E52" s="2284" t="e">
        <f t="shared" ref="E52:O52" si="13">EDATE(D52,-1)</f>
        <v>#NUM!</v>
      </c>
      <c r="F52" s="2284" t="e">
        <f t="shared" si="13"/>
        <v>#NUM!</v>
      </c>
      <c r="G52" s="2284" t="e">
        <f t="shared" si="13"/>
        <v>#NUM!</v>
      </c>
      <c r="H52" s="2284" t="e">
        <f t="shared" si="13"/>
        <v>#NUM!</v>
      </c>
      <c r="I52" s="2284" t="e">
        <f t="shared" si="13"/>
        <v>#NUM!</v>
      </c>
      <c r="J52" s="2284" t="e">
        <f t="shared" si="13"/>
        <v>#NUM!</v>
      </c>
      <c r="K52" s="2284" t="e">
        <f t="shared" si="13"/>
        <v>#NUM!</v>
      </c>
      <c r="L52" s="2284" t="e">
        <f t="shared" si="13"/>
        <v>#NUM!</v>
      </c>
      <c r="M52" s="2284" t="e">
        <f t="shared" si="13"/>
        <v>#NUM!</v>
      </c>
      <c r="N52" s="2284" t="e">
        <f t="shared" si="13"/>
        <v>#NUM!</v>
      </c>
      <c r="O52" s="2284" t="e">
        <f t="shared" si="13"/>
        <v>#NUM!</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74" t="s">
        <v>738</v>
      </c>
      <c r="D4" s="3875"/>
      <c r="E4" s="3874" t="s">
        <v>739</v>
      </c>
      <c r="F4" s="3875"/>
      <c r="G4" s="3874" t="s">
        <v>740</v>
      </c>
      <c r="H4" s="3875"/>
      <c r="I4" s="3874" t="s">
        <v>741</v>
      </c>
      <c r="J4" s="3875"/>
      <c r="K4" s="484" t="s">
        <v>742</v>
      </c>
      <c r="L4" s="1856"/>
      <c r="M4" s="1857"/>
      <c r="N4" s="1857"/>
      <c r="O4" s="1857"/>
      <c r="P4" s="3876" t="s">
        <v>743</v>
      </c>
      <c r="Q4" s="3877"/>
      <c r="R4" s="3882" t="s">
        <v>739</v>
      </c>
      <c r="S4" s="3883"/>
      <c r="T4" s="3882" t="s">
        <v>740</v>
      </c>
      <c r="U4" s="3883"/>
      <c r="V4" s="3869" t="s">
        <v>741</v>
      </c>
      <c r="W4" s="3869"/>
      <c r="X4" s="1380"/>
      <c r="Y4" s="3882" t="s">
        <v>743</v>
      </c>
      <c r="Z4" s="3883"/>
      <c r="AA4" s="3871" t="s">
        <v>739</v>
      </c>
      <c r="AB4" s="3872" t="s">
        <v>740</v>
      </c>
      <c r="AC4" s="3871" t="s">
        <v>741</v>
      </c>
    </row>
    <row r="5" spans="1:29" ht="15">
      <c r="A5" s="485"/>
      <c r="B5" s="486"/>
      <c r="C5" s="3890" t="s">
        <v>2192</v>
      </c>
      <c r="D5" s="3891"/>
      <c r="E5" s="3890" t="s">
        <v>2193</v>
      </c>
      <c r="F5" s="3891"/>
      <c r="G5" s="3890" t="s">
        <v>2194</v>
      </c>
      <c r="H5" s="3891"/>
      <c r="I5" s="3890" t="s">
        <v>2195</v>
      </c>
      <c r="J5" s="3891"/>
      <c r="K5" s="484"/>
      <c r="L5" s="1856"/>
      <c r="M5" s="1857"/>
      <c r="N5" s="1857"/>
      <c r="O5" s="1857"/>
      <c r="P5" s="3878"/>
      <c r="Q5" s="3879"/>
      <c r="R5" s="3884"/>
      <c r="S5" s="3885"/>
      <c r="T5" s="3884"/>
      <c r="U5" s="3885"/>
      <c r="V5" s="3869"/>
      <c r="W5" s="3869"/>
      <c r="X5" s="1380"/>
      <c r="Y5" s="3884"/>
      <c r="Z5" s="3885"/>
      <c r="AA5" s="3872"/>
      <c r="AB5" s="3872"/>
      <c r="AC5" s="3872"/>
    </row>
    <row r="6" spans="1:29" ht="15.75" thickBot="1">
      <c r="A6" s="487"/>
      <c r="B6" s="488"/>
      <c r="C6" s="3888" t="s">
        <v>2196</v>
      </c>
      <c r="D6" s="3889"/>
      <c r="E6" s="3892" t="s">
        <v>2196</v>
      </c>
      <c r="F6" s="3893"/>
      <c r="G6" s="3888" t="s">
        <v>2196</v>
      </c>
      <c r="H6" s="3889"/>
      <c r="I6" s="3888" t="s">
        <v>2196</v>
      </c>
      <c r="J6" s="3889"/>
      <c r="K6" s="484" t="s">
        <v>477</v>
      </c>
      <c r="L6" s="1856"/>
      <c r="M6" s="1857"/>
      <c r="N6" s="1857"/>
      <c r="O6" s="1857"/>
      <c r="P6" s="3880"/>
      <c r="Q6" s="3881"/>
      <c r="R6" s="3884"/>
      <c r="S6" s="3885"/>
      <c r="T6" s="3886"/>
      <c r="U6" s="3887"/>
      <c r="V6" s="3869"/>
      <c r="W6" s="3869"/>
      <c r="X6" s="1380"/>
      <c r="Y6" s="3886"/>
      <c r="Z6" s="3887"/>
      <c r="AA6" s="3873"/>
      <c r="AB6" s="3873"/>
      <c r="AC6" s="3873"/>
    </row>
    <row r="7" spans="1:29" s="1118" customFormat="1" ht="15.75" thickBot="1">
      <c r="A7" s="2392"/>
      <c r="B7" s="2399" t="s">
        <v>478</v>
      </c>
      <c r="C7" s="489">
        <f>'数据-取费表'!B2</f>
        <v>0</v>
      </c>
      <c r="D7" s="490">
        <v>100</v>
      </c>
      <c r="E7" s="491"/>
      <c r="F7" s="492">
        <f>SUMIF(48:48,YEAR(E7)&amp;"-"&amp;MONTH(E7),49:49)</f>
        <v>100</v>
      </c>
      <c r="G7" s="493"/>
      <c r="H7" s="490">
        <f>SUMIF(48:48,YEAR(G7)&amp;"-"&amp;MONTH(G7),49:49)</f>
        <v>100</v>
      </c>
      <c r="I7" s="493"/>
      <c r="J7" s="490">
        <f>SUMIF(48:48,YEAR(I7)&amp;"-"&amp;MONTH(I7),49:49)</f>
        <v>100</v>
      </c>
      <c r="K7" s="494"/>
      <c r="L7" s="1858"/>
      <c r="M7" s="1859"/>
      <c r="N7" s="1859"/>
      <c r="O7" s="1859"/>
      <c r="P7" s="3898" t="s">
        <v>479</v>
      </c>
      <c r="Q7" s="3900"/>
      <c r="R7" s="1381" t="s">
        <v>5</v>
      </c>
      <c r="S7" s="1382">
        <f t="shared" ref="S7:S14" si="0">F7</f>
        <v>100</v>
      </c>
      <c r="T7" s="1381" t="s">
        <v>5</v>
      </c>
      <c r="U7" s="1382">
        <f t="shared" ref="U7:U14" si="1">H7</f>
        <v>100</v>
      </c>
      <c r="V7" s="1381" t="s">
        <v>5</v>
      </c>
      <c r="W7" s="1382">
        <f t="shared" ref="W7:W14" si="2">J7</f>
        <v>100</v>
      </c>
      <c r="X7" s="1383"/>
      <c r="Y7" s="3898" t="s">
        <v>479</v>
      </c>
      <c r="Z7" s="3899"/>
      <c r="AA7" s="1384">
        <f>D7/F7</f>
        <v>1</v>
      </c>
      <c r="AB7" s="1384">
        <f>D7/H7</f>
        <v>1</v>
      </c>
      <c r="AC7" s="1384">
        <f>D7/J7</f>
        <v>1</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98" t="s">
        <v>482</v>
      </c>
      <c r="Q8" s="3899"/>
      <c r="R8" s="1381" t="s">
        <v>5</v>
      </c>
      <c r="S8" s="1382">
        <f t="shared" si="0"/>
        <v>0</v>
      </c>
      <c r="T8" s="1381" t="s">
        <v>5</v>
      </c>
      <c r="U8" s="1382">
        <f t="shared" si="1"/>
        <v>0</v>
      </c>
      <c r="V8" s="1381" t="s">
        <v>5</v>
      </c>
      <c r="W8" s="1382">
        <f t="shared" si="2"/>
        <v>0</v>
      </c>
      <c r="X8" s="1383"/>
      <c r="Y8" s="3898" t="s">
        <v>482</v>
      </c>
      <c r="Z8" s="3899"/>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68" t="s">
        <v>484</v>
      </c>
      <c r="Q9" s="1050" t="str">
        <f t="shared" ref="Q9:Q14" si="6">B9</f>
        <v>用途</v>
      </c>
      <c r="R9" s="1381" t="s">
        <v>5</v>
      </c>
      <c r="S9" s="1382">
        <f t="shared" si="0"/>
        <v>100</v>
      </c>
      <c r="T9" s="1381" t="s">
        <v>5</v>
      </c>
      <c r="U9" s="1382">
        <f t="shared" si="1"/>
        <v>100</v>
      </c>
      <c r="V9" s="1381" t="s">
        <v>5</v>
      </c>
      <c r="W9" s="1382">
        <f t="shared" si="2"/>
        <v>100</v>
      </c>
      <c r="X9" s="1383"/>
      <c r="Y9" s="3812" t="s">
        <v>485</v>
      </c>
      <c r="Z9" s="1049" t="str">
        <f t="shared" ref="Z9:Z14" si="7">Q9</f>
        <v>用途</v>
      </c>
      <c r="AA9" s="1384">
        <f t="shared" si="3"/>
        <v>1</v>
      </c>
      <c r="AB9" s="1384">
        <f t="shared" si="4"/>
        <v>1</v>
      </c>
      <c r="AC9" s="1384">
        <f t="shared" si="5"/>
        <v>1</v>
      </c>
    </row>
    <row r="10" spans="1:29" s="1199" customFormat="1" ht="27">
      <c r="A10" s="2395"/>
      <c r="B10" s="2400" t="s">
        <v>2039</v>
      </c>
      <c r="C10" s="3659"/>
      <c r="D10" s="246">
        <v>100</v>
      </c>
      <c r="E10" s="3659"/>
      <c r="F10" s="246">
        <f>SUMIF(55:55,E10,56:56)-SUMIF(55:55,C10,56:56)+100</f>
        <v>100</v>
      </c>
      <c r="G10" s="3660"/>
      <c r="H10" s="246">
        <f>SUMIF(55:55,G10,56:56)-SUMIF(55:55,C10,56:56)+100</f>
        <v>100</v>
      </c>
      <c r="I10" s="3659"/>
      <c r="J10" s="246">
        <f>SUMIF(55:55,I10,56:56)-SUMIF(55:55,C10,56:56)+100</f>
        <v>100</v>
      </c>
      <c r="K10" s="494"/>
      <c r="L10" s="1861"/>
      <c r="M10" s="1900"/>
      <c r="N10" s="1900"/>
      <c r="O10" s="1862"/>
      <c r="P10" s="3868"/>
      <c r="Q10" s="1050" t="str">
        <f t="shared" si="6"/>
        <v>土地使用年限（年）</v>
      </c>
      <c r="R10" s="1381" t="s">
        <v>5</v>
      </c>
      <c r="S10" s="1382">
        <f t="shared" si="0"/>
        <v>100</v>
      </c>
      <c r="T10" s="1381" t="s">
        <v>5</v>
      </c>
      <c r="U10" s="1382">
        <f t="shared" si="1"/>
        <v>100</v>
      </c>
      <c r="V10" s="1381" t="s">
        <v>5</v>
      </c>
      <c r="W10" s="1382">
        <f t="shared" si="2"/>
        <v>100</v>
      </c>
      <c r="X10" s="1383"/>
      <c r="Y10" s="3812"/>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68"/>
      <c r="Q11" s="1050">
        <f t="shared" si="6"/>
        <v>111</v>
      </c>
      <c r="R11" s="1381" t="s">
        <v>5</v>
      </c>
      <c r="S11" s="1382">
        <f t="shared" si="0"/>
        <v>100</v>
      </c>
      <c r="T11" s="1381" t="s">
        <v>5</v>
      </c>
      <c r="U11" s="1382">
        <f t="shared" si="1"/>
        <v>100</v>
      </c>
      <c r="V11" s="1381" t="s">
        <v>5</v>
      </c>
      <c r="W11" s="1382">
        <f t="shared" si="2"/>
        <v>100</v>
      </c>
      <c r="X11" s="1383"/>
      <c r="Y11" s="3812"/>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68"/>
      <c r="Q12" s="1050">
        <f t="shared" si="6"/>
        <v>111</v>
      </c>
      <c r="R12" s="1381" t="s">
        <v>5</v>
      </c>
      <c r="S12" s="1382">
        <f t="shared" si="0"/>
        <v>100</v>
      </c>
      <c r="T12" s="1381" t="s">
        <v>5</v>
      </c>
      <c r="U12" s="1382">
        <f t="shared" si="1"/>
        <v>100</v>
      </c>
      <c r="V12" s="1381" t="s">
        <v>5</v>
      </c>
      <c r="W12" s="1382">
        <f t="shared" si="2"/>
        <v>100</v>
      </c>
      <c r="X12" s="1383"/>
      <c r="Y12" s="3812"/>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68"/>
      <c r="Q13" s="1050">
        <f t="shared" si="6"/>
        <v>111</v>
      </c>
      <c r="R13" s="1381" t="s">
        <v>5</v>
      </c>
      <c r="S13" s="1382">
        <f t="shared" si="0"/>
        <v>100</v>
      </c>
      <c r="T13" s="1381" t="s">
        <v>5</v>
      </c>
      <c r="U13" s="1382">
        <f t="shared" si="1"/>
        <v>100</v>
      </c>
      <c r="V13" s="1381" t="s">
        <v>5</v>
      </c>
      <c r="W13" s="1382">
        <f t="shared" si="2"/>
        <v>100</v>
      </c>
      <c r="X13" s="1383"/>
      <c r="Y13" s="3812"/>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901" t="s">
        <v>489</v>
      </c>
      <c r="Q14" s="1385" t="str">
        <f t="shared" si="6"/>
        <v>交通便捷度</v>
      </c>
      <c r="R14" s="1386" t="s">
        <v>5</v>
      </c>
      <c r="S14" s="1387">
        <f t="shared" si="0"/>
        <v>100</v>
      </c>
      <c r="T14" s="1386" t="s">
        <v>5</v>
      </c>
      <c r="U14" s="1387">
        <f t="shared" si="1"/>
        <v>100</v>
      </c>
      <c r="V14" s="1386" t="s">
        <v>5</v>
      </c>
      <c r="W14" s="1387">
        <f t="shared" si="2"/>
        <v>100</v>
      </c>
      <c r="X14" s="1380"/>
      <c r="Y14" s="3901"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902"/>
      <c r="Q15" s="1385"/>
      <c r="R15" s="1386"/>
      <c r="S15" s="1387"/>
      <c r="T15" s="1386"/>
      <c r="U15" s="1387"/>
      <c r="V15" s="1386"/>
      <c r="W15" s="1387"/>
      <c r="X15" s="1380"/>
      <c r="Y15" s="3902"/>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902"/>
      <c r="Q16" s="1385" t="str">
        <f>B16</f>
        <v>公共配套设施</v>
      </c>
      <c r="R16" s="1386" t="s">
        <v>5</v>
      </c>
      <c r="S16" s="1387">
        <f>F16</f>
        <v>100</v>
      </c>
      <c r="T16" s="1386" t="s">
        <v>5</v>
      </c>
      <c r="U16" s="1387">
        <f>H16</f>
        <v>100</v>
      </c>
      <c r="V16" s="1386" t="s">
        <v>5</v>
      </c>
      <c r="W16" s="1387">
        <f>J16</f>
        <v>100</v>
      </c>
      <c r="X16" s="1380"/>
      <c r="Y16" s="3902"/>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902"/>
      <c r="Q17" s="1385"/>
      <c r="R17" s="1386"/>
      <c r="S17" s="1387"/>
      <c r="T17" s="1386"/>
      <c r="U17" s="1387"/>
      <c r="V17" s="1386"/>
      <c r="W17" s="1387"/>
      <c r="X17" s="1380"/>
      <c r="Y17" s="3902"/>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902"/>
      <c r="Q18" s="2193" t="str">
        <f>B18</f>
        <v>基础设施水平</v>
      </c>
      <c r="R18" s="1386" t="s">
        <v>5</v>
      </c>
      <c r="S18" s="1387">
        <f>F18</f>
        <v>100</v>
      </c>
      <c r="T18" s="1386" t="s">
        <v>5</v>
      </c>
      <c r="U18" s="1387">
        <f>H18</f>
        <v>100</v>
      </c>
      <c r="V18" s="1386" t="s">
        <v>5</v>
      </c>
      <c r="W18" s="1387">
        <f>J18</f>
        <v>100</v>
      </c>
      <c r="X18" s="2195"/>
      <c r="Y18" s="3902"/>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902"/>
      <c r="Q19" s="2193"/>
      <c r="R19" s="1386"/>
      <c r="S19" s="1387"/>
      <c r="T19" s="1386"/>
      <c r="U19" s="1387"/>
      <c r="V19" s="1386"/>
      <c r="W19" s="1387"/>
      <c r="X19" s="2195"/>
      <c r="Y19" s="3902"/>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902"/>
      <c r="Q20" s="1385" t="str">
        <f>B20</f>
        <v>自然及人文环境</v>
      </c>
      <c r="R20" s="1386" t="s">
        <v>5</v>
      </c>
      <c r="S20" s="1387">
        <f>F20</f>
        <v>100</v>
      </c>
      <c r="T20" s="1386" t="s">
        <v>5</v>
      </c>
      <c r="U20" s="1387">
        <f>H20</f>
        <v>100</v>
      </c>
      <c r="V20" s="1386" t="s">
        <v>5</v>
      </c>
      <c r="W20" s="1387">
        <f>J20</f>
        <v>100</v>
      </c>
      <c r="X20" s="1380"/>
      <c r="Y20" s="3902"/>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902"/>
      <c r="Q21" s="1385"/>
      <c r="R21" s="1386"/>
      <c r="S21" s="1387"/>
      <c r="T21" s="1386"/>
      <c r="U21" s="1387"/>
      <c r="V21" s="1386"/>
      <c r="W21" s="1387"/>
      <c r="X21" s="1380"/>
      <c r="Y21" s="3902"/>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02"/>
      <c r="Q22" s="1385" t="str">
        <f>B22</f>
        <v>楼层</v>
      </c>
      <c r="R22" s="1386" t="s">
        <v>5</v>
      </c>
      <c r="S22" s="1387">
        <f>F22</f>
        <v>100</v>
      </c>
      <c r="T22" s="1386" t="s">
        <v>5</v>
      </c>
      <c r="U22" s="1387">
        <f>H22</f>
        <v>100</v>
      </c>
      <c r="V22" s="1386" t="s">
        <v>5</v>
      </c>
      <c r="W22" s="1387">
        <f>J22</f>
        <v>100</v>
      </c>
      <c r="X22" s="1380"/>
      <c r="Y22" s="3902"/>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02"/>
      <c r="Q23" s="1385">
        <f>B23</f>
        <v>111</v>
      </c>
      <c r="R23" s="1386" t="s">
        <v>5</v>
      </c>
      <c r="S23" s="1387">
        <f>F23</f>
        <v>100</v>
      </c>
      <c r="T23" s="1386" t="s">
        <v>5</v>
      </c>
      <c r="U23" s="1387">
        <f>H23</f>
        <v>100</v>
      </c>
      <c r="V23" s="1386" t="s">
        <v>5</v>
      </c>
      <c r="W23" s="1387">
        <f>J23</f>
        <v>100</v>
      </c>
      <c r="X23" s="1380"/>
      <c r="Y23" s="3902"/>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02"/>
      <c r="Q24" s="1385">
        <f t="shared" ref="Q24:Q36" si="8">B24</f>
        <v>111</v>
      </c>
      <c r="R24" s="1386" t="s">
        <v>5</v>
      </c>
      <c r="S24" s="1387">
        <f>F24</f>
        <v>100</v>
      </c>
      <c r="T24" s="1386" t="s">
        <v>5</v>
      </c>
      <c r="U24" s="1387">
        <f>H24</f>
        <v>100</v>
      </c>
      <c r="V24" s="1386" t="s">
        <v>5</v>
      </c>
      <c r="W24" s="1387">
        <f>J24</f>
        <v>100</v>
      </c>
      <c r="X24" s="1380"/>
      <c r="Y24" s="3902"/>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02"/>
      <c r="Q25" s="1050">
        <f t="shared" si="8"/>
        <v>111</v>
      </c>
      <c r="R25" s="1381" t="s">
        <v>5</v>
      </c>
      <c r="S25" s="1382">
        <f>F25</f>
        <v>100</v>
      </c>
      <c r="T25" s="1381" t="s">
        <v>5</v>
      </c>
      <c r="U25" s="1382">
        <f>H25</f>
        <v>100</v>
      </c>
      <c r="V25" s="1381" t="s">
        <v>5</v>
      </c>
      <c r="W25" s="1382">
        <f>J25</f>
        <v>100</v>
      </c>
      <c r="X25" s="1383"/>
      <c r="Y25" s="3902"/>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03"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04"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04"/>
      <c r="Q27" s="1414" t="str">
        <f t="shared" si="8"/>
        <v>项目停车位配比</v>
      </c>
      <c r="R27" s="1390" t="s">
        <v>5</v>
      </c>
      <c r="S27" s="1391">
        <f t="shared" si="9"/>
        <v>100</v>
      </c>
      <c r="T27" s="1390" t="s">
        <v>5</v>
      </c>
      <c r="U27" s="1391">
        <f t="shared" si="10"/>
        <v>100</v>
      </c>
      <c r="V27" s="1390" t="s">
        <v>5</v>
      </c>
      <c r="W27" s="1391">
        <f t="shared" si="11"/>
        <v>100</v>
      </c>
      <c r="X27" s="1392"/>
      <c r="Y27" s="3904"/>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04"/>
      <c r="Q28" s="1385" t="str">
        <f t="shared" si="8"/>
        <v>公共部分装修</v>
      </c>
      <c r="R28" s="1386" t="s">
        <v>5</v>
      </c>
      <c r="S28" s="1387">
        <f t="shared" si="9"/>
        <v>100</v>
      </c>
      <c r="T28" s="1386" t="s">
        <v>5</v>
      </c>
      <c r="U28" s="1387">
        <f t="shared" si="10"/>
        <v>100</v>
      </c>
      <c r="V28" s="1386" t="s">
        <v>5</v>
      </c>
      <c r="W28" s="1387">
        <f t="shared" si="11"/>
        <v>100</v>
      </c>
      <c r="X28" s="1380"/>
      <c r="Y28" s="3904"/>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04"/>
      <c r="Q29" s="1385" t="str">
        <f t="shared" si="8"/>
        <v>成新率</v>
      </c>
      <c r="R29" s="1386" t="s">
        <v>5</v>
      </c>
      <c r="S29" s="1387" t="e">
        <f t="shared" si="9"/>
        <v>#N/A</v>
      </c>
      <c r="T29" s="1386" t="s">
        <v>5</v>
      </c>
      <c r="U29" s="1387" t="e">
        <f t="shared" si="10"/>
        <v>#N/A</v>
      </c>
      <c r="V29" s="1386" t="s">
        <v>5</v>
      </c>
      <c r="W29" s="1387" t="e">
        <f t="shared" si="11"/>
        <v>#N/A</v>
      </c>
      <c r="X29" s="1380"/>
      <c r="Y29" s="3904"/>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04"/>
      <c r="Q30" s="1385" t="str">
        <f t="shared" si="8"/>
        <v>物业等级</v>
      </c>
      <c r="R30" s="1386" t="s">
        <v>5</v>
      </c>
      <c r="S30" s="1387">
        <f t="shared" si="9"/>
        <v>100</v>
      </c>
      <c r="T30" s="1386" t="s">
        <v>5</v>
      </c>
      <c r="U30" s="1387">
        <f t="shared" si="10"/>
        <v>100</v>
      </c>
      <c r="V30" s="1386" t="s">
        <v>5</v>
      </c>
      <c r="W30" s="1387">
        <f t="shared" si="11"/>
        <v>100</v>
      </c>
      <c r="X30" s="1380"/>
      <c r="Y30" s="3904"/>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04"/>
      <c r="Q31" s="1050" t="str">
        <f t="shared" si="8"/>
        <v>停车位面积</v>
      </c>
      <c r="R31" s="1381" t="s">
        <v>5</v>
      </c>
      <c r="S31" s="1382" t="e">
        <f t="shared" si="9"/>
        <v>#N/A</v>
      </c>
      <c r="T31" s="1381" t="s">
        <v>5</v>
      </c>
      <c r="U31" s="1382" t="e">
        <f t="shared" si="10"/>
        <v>#N/A</v>
      </c>
      <c r="V31" s="1381" t="s">
        <v>5</v>
      </c>
      <c r="W31" s="1382" t="e">
        <f t="shared" si="11"/>
        <v>#N/A</v>
      </c>
      <c r="X31" s="1383"/>
      <c r="Y31" s="3904"/>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04" t="s">
        <v>499</v>
      </c>
      <c r="Q32" s="1385" t="str">
        <f t="shared" si="8"/>
        <v>车位类型</v>
      </c>
      <c r="R32" s="1386" t="s">
        <v>5</v>
      </c>
      <c r="S32" s="1387">
        <f t="shared" si="9"/>
        <v>100</v>
      </c>
      <c r="T32" s="1386" t="s">
        <v>5</v>
      </c>
      <c r="U32" s="1387">
        <f t="shared" si="10"/>
        <v>100</v>
      </c>
      <c r="V32" s="1386" t="s">
        <v>5</v>
      </c>
      <c r="W32" s="1387">
        <f t="shared" si="11"/>
        <v>100</v>
      </c>
      <c r="X32" s="1380"/>
      <c r="Y32" s="3904"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04"/>
      <c r="Q33" s="1385" t="str">
        <f t="shared" si="8"/>
        <v>是否直接入户</v>
      </c>
      <c r="R33" s="1386" t="s">
        <v>5</v>
      </c>
      <c r="S33" s="1387">
        <f t="shared" si="9"/>
        <v>100</v>
      </c>
      <c r="T33" s="1386" t="s">
        <v>5</v>
      </c>
      <c r="U33" s="1387">
        <f t="shared" si="10"/>
        <v>100</v>
      </c>
      <c r="V33" s="1386" t="s">
        <v>5</v>
      </c>
      <c r="W33" s="1387">
        <f t="shared" si="11"/>
        <v>100</v>
      </c>
      <c r="X33" s="1380"/>
      <c r="Y33" s="3904"/>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04"/>
      <c r="Q34" s="1385">
        <f t="shared" si="8"/>
        <v>111</v>
      </c>
      <c r="R34" s="1386" t="s">
        <v>5</v>
      </c>
      <c r="S34" s="1387">
        <f t="shared" si="9"/>
        <v>100</v>
      </c>
      <c r="T34" s="1386" t="s">
        <v>5</v>
      </c>
      <c r="U34" s="1387">
        <f t="shared" si="10"/>
        <v>100</v>
      </c>
      <c r="V34" s="1386" t="s">
        <v>5</v>
      </c>
      <c r="W34" s="1387">
        <f t="shared" si="11"/>
        <v>100</v>
      </c>
      <c r="X34" s="1380"/>
      <c r="Y34" s="3904"/>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04"/>
      <c r="Q35" s="1414">
        <f t="shared" si="8"/>
        <v>111</v>
      </c>
      <c r="R35" s="1390" t="s">
        <v>5</v>
      </c>
      <c r="S35" s="1391">
        <f t="shared" si="9"/>
        <v>100</v>
      </c>
      <c r="T35" s="1390" t="s">
        <v>5</v>
      </c>
      <c r="U35" s="1391">
        <f t="shared" si="10"/>
        <v>100</v>
      </c>
      <c r="V35" s="1390" t="s">
        <v>5</v>
      </c>
      <c r="W35" s="1391">
        <f t="shared" si="11"/>
        <v>100</v>
      </c>
      <c r="X35" s="1392"/>
      <c r="Y35" s="3904"/>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04"/>
      <c r="Q36" s="1385">
        <f t="shared" si="8"/>
        <v>111</v>
      </c>
      <c r="R36" s="1386" t="s">
        <v>5</v>
      </c>
      <c r="S36" s="1387">
        <f t="shared" si="9"/>
        <v>100</v>
      </c>
      <c r="T36" s="1386" t="s">
        <v>5</v>
      </c>
      <c r="U36" s="1387">
        <f t="shared" si="10"/>
        <v>100</v>
      </c>
      <c r="V36" s="1386" t="s">
        <v>5</v>
      </c>
      <c r="W36" s="1387">
        <f t="shared" si="11"/>
        <v>100</v>
      </c>
      <c r="X36" s="1380"/>
      <c r="Y36" s="3904"/>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68" t="str">
        <f>A37</f>
        <v>成交单价</v>
      </c>
      <c r="Q37" s="3868"/>
      <c r="R37" s="3996">
        <f>E37</f>
        <v>0</v>
      </c>
      <c r="S37" s="3996"/>
      <c r="T37" s="3996">
        <f>G37</f>
        <v>0</v>
      </c>
      <c r="U37" s="3996"/>
      <c r="V37" s="3996">
        <f>I37</f>
        <v>0</v>
      </c>
      <c r="W37" s="3996"/>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68" t="str">
        <f>A38</f>
        <v>比较价格（元/平方米）</v>
      </c>
      <c r="Q38" s="3868"/>
      <c r="R38" s="3996" t="e">
        <f>IF(F1="售价",ROUND(PRODUCT(R37,AA7:AA36),0),ROUND(PRODUCT(R37,AA7:AA36),1))</f>
        <v>#DIV/0!</v>
      </c>
      <c r="S38" s="3996"/>
      <c r="T38" s="3996" t="e">
        <f>IF(F1="售价",ROUND(PRODUCT(T37,AB7:AB36),0),ROUND(PRODUCT(T37,AB7:AB36),1))</f>
        <v>#DIV/0!</v>
      </c>
      <c r="U38" s="3996"/>
      <c r="V38" s="3996" t="e">
        <f>IF(F1="售价",ROUND(PRODUCT(V37,AC7:AC36),0),ROUND(PRODUCT(V37,AC7:AC36),1))</f>
        <v>#DIV/0!</v>
      </c>
      <c r="W38" s="3996"/>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905" t="str">
        <f>A39</f>
        <v>估价对象XX用房的比较价格（楼面单价，元/平方米）</v>
      </c>
      <c r="Q39" s="3906"/>
      <c r="R39" s="3995" t="e">
        <f>IF(F1="售价",ROUND(IF(D38="简单平均",AVERAGE(R38:W38),R38*F38+T38*H38+V38*J38),0),ROUND(IF(D38="简单平均",AVERAGE(R38:V38),R38*F38+T38*H38+V38*J38),1))</f>
        <v>#DIV/0!</v>
      </c>
      <c r="S39" s="3995"/>
      <c r="T39" s="3995"/>
      <c r="U39" s="3995"/>
      <c r="V39" s="3995"/>
      <c r="W39" s="3995"/>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1900-1</v>
      </c>
      <c r="D48" s="2284" t="e">
        <f>EDATE(C48,-1)</f>
        <v>#NUM!</v>
      </c>
      <c r="E48" s="2284" t="e">
        <f t="shared" ref="E48:O48" si="13">EDATE(D48,-1)</f>
        <v>#NUM!</v>
      </c>
      <c r="F48" s="2284" t="e">
        <f t="shared" si="13"/>
        <v>#NUM!</v>
      </c>
      <c r="G48" s="2284" t="e">
        <f t="shared" si="13"/>
        <v>#NUM!</v>
      </c>
      <c r="H48" s="2284" t="e">
        <f t="shared" si="13"/>
        <v>#NUM!</v>
      </c>
      <c r="I48" s="2284" t="e">
        <f t="shared" si="13"/>
        <v>#NUM!</v>
      </c>
      <c r="J48" s="2284" t="e">
        <f t="shared" si="13"/>
        <v>#NUM!</v>
      </c>
      <c r="K48" s="2284" t="e">
        <f t="shared" si="13"/>
        <v>#NUM!</v>
      </c>
      <c r="L48" s="2284" t="e">
        <f t="shared" si="13"/>
        <v>#NUM!</v>
      </c>
      <c r="M48" s="2284" t="e">
        <f t="shared" si="13"/>
        <v>#NUM!</v>
      </c>
      <c r="N48" s="2284" t="e">
        <f t="shared" si="13"/>
        <v>#NUM!</v>
      </c>
      <c r="O48" s="2284" t="e">
        <f t="shared" si="13"/>
        <v>#NUM!</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受贵公司委托，我公司对出让国有建设用地使用权进行了预评估。</v>
      </c>
    </row>
    <row r="5" spans="1:4" ht="18.75">
      <c r="A5" s="1582" t="s">
        <v>1429</v>
      </c>
    </row>
    <row r="6" spans="1:4" ht="18.75">
      <c r="A6" s="1579"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353" t="s">
        <v>2030</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（评估专业人员勘察现场之日）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18.75">
      <c r="A20" s="2177"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26" spans="1:1" ht="9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74" t="s">
        <v>738</v>
      </c>
      <c r="D4" s="3875"/>
      <c r="E4" s="3909" t="s">
        <v>739</v>
      </c>
      <c r="F4" s="3910"/>
      <c r="G4" s="3874" t="s">
        <v>740</v>
      </c>
      <c r="H4" s="3875"/>
      <c r="I4" s="3874" t="s">
        <v>741</v>
      </c>
      <c r="J4" s="3875"/>
      <c r="K4" s="484" t="s">
        <v>742</v>
      </c>
      <c r="L4" s="1856"/>
      <c r="M4" s="1857"/>
      <c r="N4" s="1857"/>
      <c r="O4" s="1857"/>
      <c r="P4" s="3876" t="s">
        <v>743</v>
      </c>
      <c r="Q4" s="3877"/>
      <c r="R4" s="3882" t="s">
        <v>739</v>
      </c>
      <c r="S4" s="3883"/>
      <c r="T4" s="3882" t="s">
        <v>740</v>
      </c>
      <c r="U4" s="3883"/>
      <c r="V4" s="3869" t="s">
        <v>741</v>
      </c>
      <c r="W4" s="3869"/>
      <c r="X4" s="1380"/>
      <c r="Y4" s="3882" t="s">
        <v>743</v>
      </c>
      <c r="Z4" s="3883"/>
      <c r="AA4" s="3871" t="s">
        <v>739</v>
      </c>
      <c r="AB4" s="3872" t="s">
        <v>740</v>
      </c>
      <c r="AC4" s="3871" t="s">
        <v>741</v>
      </c>
    </row>
    <row r="5" spans="1:29" ht="15">
      <c r="A5" s="485"/>
      <c r="B5" s="486"/>
      <c r="C5" s="3890" t="s">
        <v>2192</v>
      </c>
      <c r="D5" s="3891"/>
      <c r="E5" s="3911" t="s">
        <v>2193</v>
      </c>
      <c r="F5" s="3912"/>
      <c r="G5" s="3890" t="s">
        <v>2194</v>
      </c>
      <c r="H5" s="3891"/>
      <c r="I5" s="3890" t="s">
        <v>2195</v>
      </c>
      <c r="J5" s="3891"/>
      <c r="K5" s="484"/>
      <c r="L5" s="1856"/>
      <c r="M5" s="1857"/>
      <c r="N5" s="1857"/>
      <c r="O5" s="1857"/>
      <c r="P5" s="3878"/>
      <c r="Q5" s="3879"/>
      <c r="R5" s="3884"/>
      <c r="S5" s="3885"/>
      <c r="T5" s="3884"/>
      <c r="U5" s="3885"/>
      <c r="V5" s="3869"/>
      <c r="W5" s="3869"/>
      <c r="X5" s="1380"/>
      <c r="Y5" s="3884"/>
      <c r="Z5" s="3885"/>
      <c r="AA5" s="3872"/>
      <c r="AB5" s="3872"/>
      <c r="AC5" s="3872"/>
    </row>
    <row r="6" spans="1:29" ht="15.75" thickBot="1">
      <c r="A6" s="487"/>
      <c r="B6" s="488"/>
      <c r="C6" s="3888" t="s">
        <v>2196</v>
      </c>
      <c r="D6" s="3889"/>
      <c r="E6" s="3907" t="s">
        <v>2196</v>
      </c>
      <c r="F6" s="3908"/>
      <c r="G6" s="3888" t="s">
        <v>2196</v>
      </c>
      <c r="H6" s="3889"/>
      <c r="I6" s="3888" t="s">
        <v>2196</v>
      </c>
      <c r="J6" s="3889"/>
      <c r="K6" s="484" t="s">
        <v>477</v>
      </c>
      <c r="L6" s="1856"/>
      <c r="M6" s="1857"/>
      <c r="N6" s="1857"/>
      <c r="O6" s="1857"/>
      <c r="P6" s="3880"/>
      <c r="Q6" s="3881"/>
      <c r="R6" s="3884"/>
      <c r="S6" s="3885"/>
      <c r="T6" s="3886"/>
      <c r="U6" s="3887"/>
      <c r="V6" s="3869"/>
      <c r="W6" s="3869"/>
      <c r="X6" s="1380"/>
      <c r="Y6" s="3886"/>
      <c r="Z6" s="3887"/>
      <c r="AA6" s="3873"/>
      <c r="AB6" s="3873"/>
      <c r="AC6" s="3873"/>
    </row>
    <row r="7" spans="1:29" s="1118" customFormat="1" ht="15.75" thickBot="1">
      <c r="A7" s="2392"/>
      <c r="B7" s="2399" t="s">
        <v>478</v>
      </c>
      <c r="C7" s="489">
        <f>'数据-取费表'!B2</f>
        <v>0</v>
      </c>
      <c r="D7" s="490">
        <v>100</v>
      </c>
      <c r="E7" s="491"/>
      <c r="F7" s="492">
        <f>SUMIF(46:46,YEAR(E7)&amp;"-"&amp;MONTH(E7),47:47)</f>
        <v>100</v>
      </c>
      <c r="G7" s="493"/>
      <c r="H7" s="490">
        <f>SUMIF(46:46,YEAR(G7)&amp;"-"&amp;MONTH(G7),47:47)</f>
        <v>100</v>
      </c>
      <c r="I7" s="493"/>
      <c r="J7" s="490">
        <f>SUMIF(46:46,YEAR(I7)&amp;"-"&amp;MONTH(I7),47:47)</f>
        <v>100</v>
      </c>
      <c r="K7" s="494"/>
      <c r="L7" s="1858"/>
      <c r="M7" s="1859"/>
      <c r="N7" s="1859"/>
      <c r="O7" s="1859"/>
      <c r="P7" s="3898" t="s">
        <v>479</v>
      </c>
      <c r="Q7" s="3900"/>
      <c r="R7" s="1381" t="s">
        <v>5</v>
      </c>
      <c r="S7" s="1382">
        <f t="shared" ref="S7:S14" si="0">F7</f>
        <v>100</v>
      </c>
      <c r="T7" s="1381" t="s">
        <v>5</v>
      </c>
      <c r="U7" s="1382">
        <f t="shared" ref="U7:U14" si="1">H7</f>
        <v>100</v>
      </c>
      <c r="V7" s="1381" t="s">
        <v>5</v>
      </c>
      <c r="W7" s="1382">
        <f t="shared" ref="W7:W14" si="2">J7</f>
        <v>100</v>
      </c>
      <c r="X7" s="1383"/>
      <c r="Y7" s="3898" t="s">
        <v>479</v>
      </c>
      <c r="Z7" s="3899"/>
      <c r="AA7" s="1384">
        <f>D7/F7</f>
        <v>1</v>
      </c>
      <c r="AB7" s="1384">
        <f>D7/H7</f>
        <v>1</v>
      </c>
      <c r="AC7" s="1384">
        <f>D7/J7</f>
        <v>1</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98" t="s">
        <v>482</v>
      </c>
      <c r="Q8" s="3899"/>
      <c r="R8" s="1381" t="s">
        <v>5</v>
      </c>
      <c r="S8" s="1382">
        <f t="shared" si="0"/>
        <v>0</v>
      </c>
      <c r="T8" s="1381" t="s">
        <v>5</v>
      </c>
      <c r="U8" s="1382">
        <f t="shared" si="1"/>
        <v>0</v>
      </c>
      <c r="V8" s="1381" t="s">
        <v>5</v>
      </c>
      <c r="W8" s="1382">
        <f t="shared" si="2"/>
        <v>0</v>
      </c>
      <c r="X8" s="1383"/>
      <c r="Y8" s="3898" t="s">
        <v>482</v>
      </c>
      <c r="Z8" s="3899"/>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68" t="s">
        <v>484</v>
      </c>
      <c r="Q9" s="1050" t="str">
        <f t="shared" ref="Q9:Q14" si="6">B9</f>
        <v>用途</v>
      </c>
      <c r="R9" s="1381" t="s">
        <v>5</v>
      </c>
      <c r="S9" s="1382">
        <f t="shared" si="0"/>
        <v>100</v>
      </c>
      <c r="T9" s="1381" t="s">
        <v>5</v>
      </c>
      <c r="U9" s="1382">
        <f t="shared" si="1"/>
        <v>100</v>
      </c>
      <c r="V9" s="1381" t="s">
        <v>5</v>
      </c>
      <c r="W9" s="1382">
        <f t="shared" si="2"/>
        <v>100</v>
      </c>
      <c r="X9" s="1383"/>
      <c r="Y9" s="3812" t="s">
        <v>485</v>
      </c>
      <c r="Z9" s="1049" t="str">
        <f t="shared" ref="Z9:Z14" si="7">Q9</f>
        <v>用途</v>
      </c>
      <c r="AA9" s="1384">
        <f t="shared" si="3"/>
        <v>1</v>
      </c>
      <c r="AB9" s="1384">
        <f t="shared" si="4"/>
        <v>1</v>
      </c>
      <c r="AC9" s="1384">
        <f t="shared" si="5"/>
        <v>1</v>
      </c>
    </row>
    <row r="10" spans="1:29" s="1199" customFormat="1" ht="27">
      <c r="A10" s="2395"/>
      <c r="B10" s="2400" t="s">
        <v>2039</v>
      </c>
      <c r="C10" s="3659"/>
      <c r="D10" s="246">
        <v>100</v>
      </c>
      <c r="E10" s="3659"/>
      <c r="F10" s="246">
        <f>SUMIF(53:53,E10,54:54)-SUMIF(53:53,C10,54:54)+100</f>
        <v>100</v>
      </c>
      <c r="G10" s="3660"/>
      <c r="H10" s="246">
        <f>SUMIF(53:53,G10,54:54)-SUMIF(53:53,C10,54:54)+100</f>
        <v>100</v>
      </c>
      <c r="I10" s="3659"/>
      <c r="J10" s="246">
        <f>SUMIF(53:53,I10,54:54)-SUMIF(53:53,C10,54:54)+100</f>
        <v>100</v>
      </c>
      <c r="K10" s="494"/>
      <c r="L10" s="1861"/>
      <c r="M10" s="1900"/>
      <c r="N10" s="1900"/>
      <c r="O10" s="1862"/>
      <c r="P10" s="3868"/>
      <c r="Q10" s="1050" t="str">
        <f t="shared" si="6"/>
        <v>土地使用年限（年）</v>
      </c>
      <c r="R10" s="1381" t="s">
        <v>5</v>
      </c>
      <c r="S10" s="1382">
        <f t="shared" si="0"/>
        <v>100</v>
      </c>
      <c r="T10" s="1381" t="s">
        <v>5</v>
      </c>
      <c r="U10" s="1382">
        <f t="shared" si="1"/>
        <v>100</v>
      </c>
      <c r="V10" s="1381" t="s">
        <v>5</v>
      </c>
      <c r="W10" s="1382">
        <f t="shared" si="2"/>
        <v>100</v>
      </c>
      <c r="X10" s="1383"/>
      <c r="Y10" s="3812"/>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68"/>
      <c r="Q11" s="1050">
        <f t="shared" si="6"/>
        <v>111</v>
      </c>
      <c r="R11" s="1381" t="s">
        <v>5</v>
      </c>
      <c r="S11" s="1382">
        <f t="shared" si="0"/>
        <v>100</v>
      </c>
      <c r="T11" s="1381" t="s">
        <v>5</v>
      </c>
      <c r="U11" s="1382">
        <f t="shared" si="1"/>
        <v>100</v>
      </c>
      <c r="V11" s="1381" t="s">
        <v>5</v>
      </c>
      <c r="W11" s="1382">
        <f t="shared" si="2"/>
        <v>100</v>
      </c>
      <c r="X11" s="1383"/>
      <c r="Y11" s="3812"/>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68"/>
      <c r="Q12" s="1050">
        <f t="shared" si="6"/>
        <v>111</v>
      </c>
      <c r="R12" s="1381" t="s">
        <v>5</v>
      </c>
      <c r="S12" s="1382">
        <f t="shared" si="0"/>
        <v>100</v>
      </c>
      <c r="T12" s="1381" t="s">
        <v>5</v>
      </c>
      <c r="U12" s="1382">
        <f t="shared" si="1"/>
        <v>100</v>
      </c>
      <c r="V12" s="1381" t="s">
        <v>5</v>
      </c>
      <c r="W12" s="1382">
        <f t="shared" si="2"/>
        <v>100</v>
      </c>
      <c r="X12" s="1383"/>
      <c r="Y12" s="3812"/>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68"/>
      <c r="Q13" s="1050">
        <f t="shared" si="6"/>
        <v>111</v>
      </c>
      <c r="R13" s="1381" t="s">
        <v>5</v>
      </c>
      <c r="S13" s="1382">
        <f t="shared" si="0"/>
        <v>100</v>
      </c>
      <c r="T13" s="1381" t="s">
        <v>5</v>
      </c>
      <c r="U13" s="1382">
        <f t="shared" si="1"/>
        <v>100</v>
      </c>
      <c r="V13" s="1381" t="s">
        <v>5</v>
      </c>
      <c r="W13" s="1382">
        <f t="shared" si="2"/>
        <v>100</v>
      </c>
      <c r="X13" s="1383"/>
      <c r="Y13" s="3812"/>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01" t="s">
        <v>489</v>
      </c>
      <c r="Q14" s="1385" t="str">
        <f t="shared" si="6"/>
        <v>交通便捷度</v>
      </c>
      <c r="R14" s="1386" t="s">
        <v>5</v>
      </c>
      <c r="S14" s="1387">
        <f t="shared" si="0"/>
        <v>100</v>
      </c>
      <c r="T14" s="1386" t="s">
        <v>5</v>
      </c>
      <c r="U14" s="1387">
        <f t="shared" si="1"/>
        <v>100</v>
      </c>
      <c r="V14" s="1386" t="s">
        <v>5</v>
      </c>
      <c r="W14" s="1387">
        <f t="shared" si="2"/>
        <v>100</v>
      </c>
      <c r="X14" s="1380"/>
      <c r="Y14" s="3901"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02"/>
      <c r="Q15" s="1385"/>
      <c r="R15" s="1386"/>
      <c r="S15" s="1387"/>
      <c r="T15" s="1386"/>
      <c r="U15" s="1387"/>
      <c r="V15" s="1386"/>
      <c r="W15" s="1387"/>
      <c r="X15" s="1380"/>
      <c r="Y15" s="3902"/>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02"/>
      <c r="Q16" s="1385" t="str">
        <f>B16</f>
        <v>公共配套设施</v>
      </c>
      <c r="R16" s="1386" t="s">
        <v>5</v>
      </c>
      <c r="S16" s="1387">
        <f>F16</f>
        <v>100</v>
      </c>
      <c r="T16" s="1386" t="s">
        <v>5</v>
      </c>
      <c r="U16" s="1387">
        <f>H16</f>
        <v>100</v>
      </c>
      <c r="V16" s="1386" t="s">
        <v>5</v>
      </c>
      <c r="W16" s="1387">
        <f>J16</f>
        <v>100</v>
      </c>
      <c r="X16" s="1380"/>
      <c r="Y16" s="3902"/>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02"/>
      <c r="Q17" s="1385"/>
      <c r="R17" s="1386"/>
      <c r="S17" s="1387"/>
      <c r="T17" s="1386"/>
      <c r="U17" s="1387"/>
      <c r="V17" s="1386"/>
      <c r="W17" s="1387"/>
      <c r="X17" s="1380"/>
      <c r="Y17" s="3902"/>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02"/>
      <c r="Q18" s="2193" t="str">
        <f>B18</f>
        <v>基础设施水平</v>
      </c>
      <c r="R18" s="1386" t="s">
        <v>5</v>
      </c>
      <c r="S18" s="1387">
        <f>F18</f>
        <v>100</v>
      </c>
      <c r="T18" s="1386" t="s">
        <v>5</v>
      </c>
      <c r="U18" s="1387">
        <f>H18</f>
        <v>100</v>
      </c>
      <c r="V18" s="1386" t="s">
        <v>5</v>
      </c>
      <c r="W18" s="1387">
        <f>J18</f>
        <v>100</v>
      </c>
      <c r="X18" s="2195"/>
      <c r="Y18" s="3902"/>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902"/>
      <c r="Q19" s="2193"/>
      <c r="R19" s="1386"/>
      <c r="S19" s="1387"/>
      <c r="T19" s="1386"/>
      <c r="U19" s="1387"/>
      <c r="V19" s="1386"/>
      <c r="W19" s="1387"/>
      <c r="X19" s="2195"/>
      <c r="Y19" s="3902"/>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02"/>
      <c r="Q20" s="1385" t="str">
        <f>B20</f>
        <v>自然及人文环境</v>
      </c>
      <c r="R20" s="1386" t="s">
        <v>5</v>
      </c>
      <c r="S20" s="1387">
        <f>F20</f>
        <v>100</v>
      </c>
      <c r="T20" s="1386" t="s">
        <v>5</v>
      </c>
      <c r="U20" s="1387">
        <f>H20</f>
        <v>100</v>
      </c>
      <c r="V20" s="1386" t="s">
        <v>5</v>
      </c>
      <c r="W20" s="1387">
        <f>J20</f>
        <v>100</v>
      </c>
      <c r="X20" s="1380"/>
      <c r="Y20" s="3902"/>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02"/>
      <c r="Q21" s="1385"/>
      <c r="R21" s="1386"/>
      <c r="S21" s="1387"/>
      <c r="T21" s="1386"/>
      <c r="U21" s="1387"/>
      <c r="V21" s="1386"/>
      <c r="W21" s="1387"/>
      <c r="X21" s="1380"/>
      <c r="Y21" s="3902"/>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02"/>
      <c r="Q22" s="1385" t="str">
        <f>B22</f>
        <v>楼层</v>
      </c>
      <c r="R22" s="1386" t="s">
        <v>5</v>
      </c>
      <c r="S22" s="1387">
        <f>F22</f>
        <v>100</v>
      </c>
      <c r="T22" s="1386" t="s">
        <v>5</v>
      </c>
      <c r="U22" s="1387">
        <f>H22</f>
        <v>100</v>
      </c>
      <c r="V22" s="1386" t="s">
        <v>5</v>
      </c>
      <c r="W22" s="1387">
        <f>J22</f>
        <v>100</v>
      </c>
      <c r="X22" s="1380"/>
      <c r="Y22" s="3902"/>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02"/>
      <c r="Q23" s="1385">
        <f>B23</f>
        <v>111</v>
      </c>
      <c r="R23" s="1386" t="s">
        <v>5</v>
      </c>
      <c r="S23" s="1387">
        <f>F23</f>
        <v>100</v>
      </c>
      <c r="T23" s="1386" t="s">
        <v>5</v>
      </c>
      <c r="U23" s="1387">
        <f>H23</f>
        <v>100</v>
      </c>
      <c r="V23" s="1386" t="s">
        <v>5</v>
      </c>
      <c r="W23" s="1387">
        <f>J23</f>
        <v>100</v>
      </c>
      <c r="X23" s="1380"/>
      <c r="Y23" s="3902"/>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02"/>
      <c r="Q24" s="1385">
        <f t="shared" ref="Q24:Q34" si="8">B24</f>
        <v>111</v>
      </c>
      <c r="R24" s="1386" t="s">
        <v>5</v>
      </c>
      <c r="S24" s="1387">
        <f>F24</f>
        <v>100</v>
      </c>
      <c r="T24" s="1386" t="s">
        <v>5</v>
      </c>
      <c r="U24" s="1387">
        <f>H24</f>
        <v>100</v>
      </c>
      <c r="V24" s="1386" t="s">
        <v>5</v>
      </c>
      <c r="W24" s="1387">
        <f>J24</f>
        <v>100</v>
      </c>
      <c r="X24" s="1380"/>
      <c r="Y24" s="3902"/>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02"/>
      <c r="Q25" s="1050">
        <f t="shared" si="8"/>
        <v>111</v>
      </c>
      <c r="R25" s="1381" t="s">
        <v>5</v>
      </c>
      <c r="S25" s="1382">
        <f>F25</f>
        <v>100</v>
      </c>
      <c r="T25" s="1381" t="s">
        <v>5</v>
      </c>
      <c r="U25" s="1382">
        <f>H25</f>
        <v>100</v>
      </c>
      <c r="V25" s="1381" t="s">
        <v>5</v>
      </c>
      <c r="W25" s="1382">
        <f>J25</f>
        <v>100</v>
      </c>
      <c r="X25" s="1383"/>
      <c r="Y25" s="3902"/>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03"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04"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04"/>
      <c r="Q27" s="1414" t="str">
        <f t="shared" si="8"/>
        <v>成新率</v>
      </c>
      <c r="R27" s="1390" t="s">
        <v>5</v>
      </c>
      <c r="S27" s="1391" t="e">
        <f t="shared" si="9"/>
        <v>#N/A</v>
      </c>
      <c r="T27" s="1390" t="s">
        <v>5</v>
      </c>
      <c r="U27" s="1391" t="e">
        <f t="shared" si="10"/>
        <v>#N/A</v>
      </c>
      <c r="V27" s="1390" t="s">
        <v>5</v>
      </c>
      <c r="W27" s="1391" t="e">
        <f t="shared" si="11"/>
        <v>#N/A</v>
      </c>
      <c r="X27" s="1392"/>
      <c r="Y27" s="3904"/>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04"/>
      <c r="Q28" s="1385" t="str">
        <f t="shared" si="8"/>
        <v>物业等级</v>
      </c>
      <c r="R28" s="1386" t="s">
        <v>5</v>
      </c>
      <c r="S28" s="1387">
        <f t="shared" si="9"/>
        <v>100</v>
      </c>
      <c r="T28" s="1386" t="s">
        <v>5</v>
      </c>
      <c r="U28" s="1387">
        <f t="shared" si="10"/>
        <v>100</v>
      </c>
      <c r="V28" s="1386" t="s">
        <v>5</v>
      </c>
      <c r="W28" s="1387">
        <f t="shared" si="11"/>
        <v>100</v>
      </c>
      <c r="X28" s="1380"/>
      <c r="Y28" s="3904"/>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04"/>
      <c r="Q29" s="1385" t="str">
        <f t="shared" si="8"/>
        <v>有无电梯</v>
      </c>
      <c r="R29" s="1386" t="s">
        <v>5</v>
      </c>
      <c r="S29" s="1387">
        <f t="shared" si="9"/>
        <v>100</v>
      </c>
      <c r="T29" s="1386" t="s">
        <v>5</v>
      </c>
      <c r="U29" s="1387">
        <f t="shared" si="10"/>
        <v>100</v>
      </c>
      <c r="V29" s="1386" t="s">
        <v>5</v>
      </c>
      <c r="W29" s="1387">
        <f t="shared" si="11"/>
        <v>100</v>
      </c>
      <c r="X29" s="1380"/>
      <c r="Y29" s="3904"/>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04"/>
      <c r="Q30" s="1385" t="str">
        <f t="shared" si="8"/>
        <v>建筑面积</v>
      </c>
      <c r="R30" s="1386" t="s">
        <v>5</v>
      </c>
      <c r="S30" s="1387" t="e">
        <f t="shared" si="9"/>
        <v>#N/A</v>
      </c>
      <c r="T30" s="1386" t="s">
        <v>5</v>
      </c>
      <c r="U30" s="1387" t="e">
        <f t="shared" si="10"/>
        <v>#N/A</v>
      </c>
      <c r="V30" s="1386" t="s">
        <v>5</v>
      </c>
      <c r="W30" s="1387" t="e">
        <f t="shared" si="11"/>
        <v>#N/A</v>
      </c>
      <c r="X30" s="1380"/>
      <c r="Y30" s="3904"/>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04"/>
      <c r="Q31" s="1050" t="str">
        <f t="shared" si="8"/>
        <v>是否封闭</v>
      </c>
      <c r="R31" s="1381" t="s">
        <v>5</v>
      </c>
      <c r="S31" s="1382">
        <f t="shared" si="9"/>
        <v>100</v>
      </c>
      <c r="T31" s="1381" t="s">
        <v>5</v>
      </c>
      <c r="U31" s="1382">
        <f t="shared" si="10"/>
        <v>100</v>
      </c>
      <c r="V31" s="1381" t="s">
        <v>5</v>
      </c>
      <c r="W31" s="1382">
        <f t="shared" si="11"/>
        <v>100</v>
      </c>
      <c r="X31" s="1383"/>
      <c r="Y31" s="3904"/>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04" t="s">
        <v>499</v>
      </c>
      <c r="Q32" s="1385">
        <f t="shared" si="8"/>
        <v>111</v>
      </c>
      <c r="R32" s="1386" t="s">
        <v>5</v>
      </c>
      <c r="S32" s="1387">
        <f t="shared" si="9"/>
        <v>100</v>
      </c>
      <c r="T32" s="1386" t="s">
        <v>5</v>
      </c>
      <c r="U32" s="1387">
        <f t="shared" si="10"/>
        <v>100</v>
      </c>
      <c r="V32" s="1386" t="s">
        <v>5</v>
      </c>
      <c r="W32" s="1387">
        <f t="shared" si="11"/>
        <v>100</v>
      </c>
      <c r="X32" s="1380"/>
      <c r="Y32" s="3904"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04"/>
      <c r="Q33" s="1385">
        <f t="shared" si="8"/>
        <v>111</v>
      </c>
      <c r="R33" s="1386" t="s">
        <v>5</v>
      </c>
      <c r="S33" s="1387">
        <f t="shared" si="9"/>
        <v>100</v>
      </c>
      <c r="T33" s="1386" t="s">
        <v>5</v>
      </c>
      <c r="U33" s="1387">
        <f t="shared" si="10"/>
        <v>100</v>
      </c>
      <c r="V33" s="1386" t="s">
        <v>5</v>
      </c>
      <c r="W33" s="1387">
        <f t="shared" si="11"/>
        <v>100</v>
      </c>
      <c r="X33" s="1380"/>
      <c r="Y33" s="3904"/>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04"/>
      <c r="Q34" s="1385">
        <f t="shared" si="8"/>
        <v>111</v>
      </c>
      <c r="R34" s="1386" t="s">
        <v>5</v>
      </c>
      <c r="S34" s="1387">
        <f t="shared" si="9"/>
        <v>100</v>
      </c>
      <c r="T34" s="1386" t="s">
        <v>5</v>
      </c>
      <c r="U34" s="1387">
        <f t="shared" si="10"/>
        <v>100</v>
      </c>
      <c r="V34" s="1386" t="s">
        <v>5</v>
      </c>
      <c r="W34" s="1387">
        <f t="shared" si="11"/>
        <v>100</v>
      </c>
      <c r="X34" s="1380"/>
      <c r="Y34" s="3904"/>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68" t="str">
        <f>A35</f>
        <v>成交单价（元/平方米）</v>
      </c>
      <c r="Q35" s="3868"/>
      <c r="R35" s="3996">
        <f>E35</f>
        <v>0</v>
      </c>
      <c r="S35" s="3996"/>
      <c r="T35" s="3996">
        <f>G35</f>
        <v>0</v>
      </c>
      <c r="U35" s="3996"/>
      <c r="V35" s="3996">
        <f>I35</f>
        <v>0</v>
      </c>
      <c r="W35" s="3996"/>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68" t="str">
        <f>A36</f>
        <v>比较价格（元/平方米）</v>
      </c>
      <c r="Q36" s="3868"/>
      <c r="R36" s="3996" t="e">
        <f>IF(F1="售价",ROUND(PRODUCT(R35,AA7:AA34),0),ROUND(PRODUCT(R35,AA7:AA34),1))</f>
        <v>#DIV/0!</v>
      </c>
      <c r="S36" s="3996"/>
      <c r="T36" s="3996" t="e">
        <f>IF(F1="售价",ROUND(PRODUCT(T35,AB7:AB34),0),ROUND(PRODUCT(T35,AB7:AB34),1))</f>
        <v>#DIV/0!</v>
      </c>
      <c r="U36" s="3996"/>
      <c r="V36" s="3996" t="e">
        <f>IF(F1="售价",ROUND(PRODUCT(V35,AC7:AC34),0),ROUND(PRODUCT(V35,AC7:AC34),1))</f>
        <v>#DIV/0!</v>
      </c>
      <c r="W36" s="3996"/>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905" t="str">
        <f>A37</f>
        <v>估价对象XX用房的比较价格（楼面单价，元/平方米）</v>
      </c>
      <c r="Q37" s="3906"/>
      <c r="R37" s="3995" t="e">
        <f>IF(F1="售价",ROUND(IF(D36="简单平均",AVERAGE(R36:W36),R36*F36+T36*H36+V36*J36),0),ROUND(IF(D36="简单平均",AVERAGE(R36:V36),R36*F36+T36*H36+V36*J36),1))</f>
        <v>#DIV/0!</v>
      </c>
      <c r="S37" s="3995"/>
      <c r="T37" s="3995"/>
      <c r="U37" s="3995"/>
      <c r="V37" s="3995"/>
      <c r="W37" s="3995"/>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1900-1</v>
      </c>
      <c r="D46" s="2284" t="e">
        <f>EDATE(C46,-1)</f>
        <v>#NUM!</v>
      </c>
      <c r="E46" s="2284" t="e">
        <f t="shared" ref="E46:O46" si="13">EDATE(D46,-1)</f>
        <v>#NUM!</v>
      </c>
      <c r="F46" s="2284" t="e">
        <f t="shared" si="13"/>
        <v>#NUM!</v>
      </c>
      <c r="G46" s="2284" t="e">
        <f t="shared" si="13"/>
        <v>#NUM!</v>
      </c>
      <c r="H46" s="2284" t="e">
        <f t="shared" si="13"/>
        <v>#NUM!</v>
      </c>
      <c r="I46" s="2284" t="e">
        <f t="shared" si="13"/>
        <v>#NUM!</v>
      </c>
      <c r="J46" s="2284" t="e">
        <f t="shared" si="13"/>
        <v>#NUM!</v>
      </c>
      <c r="K46" s="2284" t="e">
        <f t="shared" si="13"/>
        <v>#NUM!</v>
      </c>
      <c r="L46" s="2284" t="e">
        <f t="shared" si="13"/>
        <v>#NUM!</v>
      </c>
      <c r="M46" s="2284" t="e">
        <f t="shared" si="13"/>
        <v>#NUM!</v>
      </c>
      <c r="N46" s="2284" t="e">
        <f t="shared" si="13"/>
        <v>#NUM!</v>
      </c>
      <c r="O46" s="2284" t="e">
        <f t="shared" si="13"/>
        <v>#NUM!</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05" t="s">
        <v>1661</v>
      </c>
      <c r="D1" s="4006"/>
      <c r="E1" s="4006"/>
      <c r="F1" s="4006"/>
      <c r="G1" s="4006"/>
      <c r="H1" s="4006"/>
      <c r="I1" s="4006"/>
      <c r="J1" s="4006"/>
      <c r="K1" s="4006"/>
      <c r="L1" s="4006"/>
      <c r="M1" s="4006"/>
      <c r="N1" s="4006"/>
      <c r="O1" s="4006"/>
      <c r="P1" s="4006"/>
      <c r="Q1" s="4006"/>
      <c r="R1" s="4006"/>
      <c r="S1" s="4007"/>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02" t="s">
        <v>14</v>
      </c>
      <c r="D22" s="4003"/>
      <c r="E22" s="4003"/>
      <c r="F22" s="4003"/>
      <c r="G22" s="4003"/>
      <c r="H22" s="4003"/>
      <c r="I22" s="4003"/>
      <c r="J22" s="4003"/>
      <c r="K22" s="4003"/>
      <c r="L22" s="4003"/>
      <c r="M22" s="4003"/>
      <c r="N22" s="4003"/>
      <c r="O22" s="4003"/>
      <c r="P22" s="4003"/>
      <c r="Q22" s="4004"/>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6" sqref="E6"/>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0</v>
      </c>
      <c r="H1" s="2417">
        <f>IF(C1&gt;C13,0,MATCH(C1,C$13:C$115,-1))+IF(SUMIF(C13:C115,C1,D13:D115)=0,13,12)</f>
        <v>73</v>
      </c>
      <c r="I1" s="2417">
        <f ca="1">MATCH(C2,H3:H7,1)+IF(SUMIF(H3:H7,C2,I3:I7)=0,2,1)</f>
        <v>3</v>
      </c>
      <c r="J1" s="2475">
        <f ca="1">MATCH(C3,H3:H7,1)+IF(SUMIF(H3:H7,C3,J3:J7)=0,2,1)</f>
        <v>3</v>
      </c>
      <c r="N1" s="2417">
        <f>IF(C1&gt;M13,0,MATCH(C1,M$13:M$100,-1))+IF(SUMIF(M13:M100,C1,N13:N100)=0,13,12)</f>
        <v>52</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0</v>
      </c>
      <c r="D2" s="2478" t="s">
        <v>2066</v>
      </c>
      <c r="E2" s="2481">
        <f ca="1">IF(OR(C1&lt;C27,C2&lt;=1),INDIRECT("I"&amp;$I$1)/100,ROUND((I5+(C2-H5)*(I7-I5)/(H7-H5))/100,4))</f>
        <v>0</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IF(OR(C3&lt;C27,C2&lt;=1),INDIRECT("J"&amp;$J$1)/100,ROUND((I5+(C2-H5)*(I7-I5)/(H7-H5))/100,4))</f>
        <v>0</v>
      </c>
      <c r="G3" s="2421" t="s">
        <v>2069</v>
      </c>
      <c r="H3" s="2422">
        <v>0</v>
      </c>
      <c r="I3" s="2423">
        <f ca="1">INDIRECT("d"&amp;$H$1)</f>
        <v>0</v>
      </c>
      <c r="J3" s="2423">
        <f ca="1">INDIRECT("d"&amp;$H$1)</f>
        <v>0</v>
      </c>
      <c r="K3" s="2420"/>
      <c r="L3" s="2420"/>
      <c r="M3" s="2424">
        <v>0.5</v>
      </c>
      <c r="N3" s="2425">
        <f ca="1">INDIRECT("p"&amp;$N$1)</f>
        <v>0</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0</v>
      </c>
      <c r="G4" s="2427" t="s">
        <v>2070</v>
      </c>
      <c r="H4" s="2428">
        <v>0.5</v>
      </c>
      <c r="I4" s="2429">
        <f ca="1">INDIRECT("e"&amp;$H$1)</f>
        <v>0</v>
      </c>
      <c r="J4" s="2429">
        <f ca="1">INDIRECT("e"&amp;$H$1)</f>
        <v>0</v>
      </c>
      <c r="K4" s="2420"/>
      <c r="L4" s="2420"/>
      <c r="M4" s="2430">
        <v>1</v>
      </c>
      <c r="N4" s="2431">
        <f ca="1">INDIRECT("q"&amp;$N$1)</f>
        <v>0</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0</v>
      </c>
      <c r="J5" s="2429">
        <f ca="1">INDIRECT("f"&amp;$H$1)</f>
        <v>0</v>
      </c>
      <c r="K5" s="2420"/>
      <c r="L5" s="2420"/>
      <c r="M5" s="2430">
        <v>2</v>
      </c>
      <c r="N5" s="2431">
        <f ca="1">INDIRECT("r"&amp;$N$1)</f>
        <v>0</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0</v>
      </c>
      <c r="J6" s="2429">
        <f ca="1">INDIRECT("g"&amp;$H$1)</f>
        <v>0</v>
      </c>
      <c r="K6" s="2420"/>
      <c r="L6" s="2420"/>
      <c r="M6" s="2430">
        <v>3</v>
      </c>
      <c r="N6" s="2431">
        <f ca="1">INDIRECT("s"&amp;$N$1)</f>
        <v>0</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0</v>
      </c>
      <c r="J7" s="2434">
        <f ca="1">INDIRECT("h"&amp;$H$1)</f>
        <v>0</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45797</v>
      </c>
      <c r="D13" s="2465">
        <v>3</v>
      </c>
      <c r="E13" s="2465">
        <f t="shared" ref="E13:E18" si="0">D13</f>
        <v>3</v>
      </c>
      <c r="F13" s="2465">
        <f t="shared" ref="F13:F18" si="1">D13</f>
        <v>3</v>
      </c>
      <c r="G13" s="2465">
        <f t="shared" ref="G13:G18" si="2">D13</f>
        <v>3</v>
      </c>
      <c r="H13" s="2465">
        <v>3.5</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45586</v>
      </c>
      <c r="D14" s="2469">
        <v>3.1</v>
      </c>
      <c r="E14" s="2469">
        <f t="shared" si="0"/>
        <v>3.1</v>
      </c>
      <c r="F14" s="2469">
        <f t="shared" si="1"/>
        <v>3.1</v>
      </c>
      <c r="G14" s="2469">
        <f t="shared" si="2"/>
        <v>3.1</v>
      </c>
      <c r="H14" s="2469">
        <v>3.6</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45495</v>
      </c>
      <c r="D15" s="2469">
        <v>3.35</v>
      </c>
      <c r="E15" s="2469">
        <f t="shared" si="0"/>
        <v>3.35</v>
      </c>
      <c r="F15" s="2469">
        <f t="shared" si="1"/>
        <v>3.35</v>
      </c>
      <c r="G15" s="2469">
        <f t="shared" si="2"/>
        <v>3.35</v>
      </c>
      <c r="H15" s="2469">
        <v>3.85</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45342</v>
      </c>
      <c r="D16" s="2469">
        <v>3.45</v>
      </c>
      <c r="E16" s="2469">
        <f t="shared" si="0"/>
        <v>3.45</v>
      </c>
      <c r="F16" s="2469">
        <f t="shared" si="1"/>
        <v>3.45</v>
      </c>
      <c r="G16" s="2469">
        <f t="shared" si="2"/>
        <v>3.45</v>
      </c>
      <c r="H16" s="2469">
        <v>3.95</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3"/>
      <c r="C17" s="2470">
        <v>45159</v>
      </c>
      <c r="D17" s="2469">
        <v>3.45</v>
      </c>
      <c r="E17" s="2469">
        <f t="shared" si="0"/>
        <v>3.45</v>
      </c>
      <c r="F17" s="2469">
        <f t="shared" si="1"/>
        <v>3.45</v>
      </c>
      <c r="G17" s="2469">
        <f t="shared" si="2"/>
        <v>3.45</v>
      </c>
      <c r="H17" s="2469">
        <v>4.2</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3"/>
      <c r="C18" s="2470">
        <v>45097</v>
      </c>
      <c r="D18" s="2469">
        <v>3.55</v>
      </c>
      <c r="E18" s="2469">
        <f t="shared" si="0"/>
        <v>3.55</v>
      </c>
      <c r="F18" s="2469">
        <f t="shared" si="1"/>
        <v>3.55</v>
      </c>
      <c r="G18" s="2469">
        <f t="shared" si="2"/>
        <v>3.55</v>
      </c>
      <c r="H18" s="2469">
        <v>4.2</v>
      </c>
      <c r="I18" s="2465"/>
      <c r="J18" s="246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3"/>
      <c r="C19" s="2470">
        <v>44795</v>
      </c>
      <c r="D19" s="2469">
        <v>3.65</v>
      </c>
      <c r="E19" s="2469">
        <v>3.65</v>
      </c>
      <c r="F19" s="2469">
        <v>3.65</v>
      </c>
      <c r="G19" s="2469">
        <v>3.65</v>
      </c>
      <c r="H19" s="2469">
        <v>4.3</v>
      </c>
      <c r="I19" s="2465"/>
      <c r="J19" s="2465"/>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3"/>
      <c r="C20" s="2470">
        <v>44701</v>
      </c>
      <c r="D20" s="2469">
        <v>3.7</v>
      </c>
      <c r="E20" s="2469">
        <f>D20</f>
        <v>3.7</v>
      </c>
      <c r="F20" s="2469">
        <f>D20</f>
        <v>3.7</v>
      </c>
      <c r="G20" s="2469">
        <f>D20</f>
        <v>3.7</v>
      </c>
      <c r="H20" s="2469">
        <v>4.45</v>
      </c>
      <c r="I20" s="2465"/>
      <c r="J20" s="2465"/>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c r="C21" s="2470">
        <v>44581</v>
      </c>
      <c r="D21" s="2469">
        <v>3.7</v>
      </c>
      <c r="E21" s="2469">
        <f>D21</f>
        <v>3.7</v>
      </c>
      <c r="F21" s="2469">
        <f>D21</f>
        <v>3.7</v>
      </c>
      <c r="G21" s="2469">
        <f>D21</f>
        <v>3.7</v>
      </c>
      <c r="H21" s="2469">
        <v>4.5999999999999996</v>
      </c>
      <c r="I21" s="2465"/>
      <c r="J21" s="2465"/>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2462"/>
      <c r="B22" s="2463"/>
      <c r="C22" s="2470">
        <v>44550</v>
      </c>
      <c r="D22" s="2469">
        <v>3.8</v>
      </c>
      <c r="E22" s="2469">
        <f>D22</f>
        <v>3.8</v>
      </c>
      <c r="F22" s="2469">
        <f>D22</f>
        <v>3.8</v>
      </c>
      <c r="G22" s="2469">
        <f>D22</f>
        <v>3.8</v>
      </c>
      <c r="H22" s="2469">
        <v>4.6500000000000004</v>
      </c>
      <c r="I22" s="2465"/>
      <c r="J22" s="2465"/>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4.25">
      <c r="A23" s="3023"/>
      <c r="B23" s="2469"/>
      <c r="C23" s="2470">
        <v>43941</v>
      </c>
      <c r="D23" s="2469">
        <v>3.85</v>
      </c>
      <c r="E23" s="2469">
        <v>3.85</v>
      </c>
      <c r="F23" s="2469">
        <v>3.85</v>
      </c>
      <c r="G23" s="2469">
        <v>3.85</v>
      </c>
      <c r="H23" s="2469">
        <v>4.6500000000000004</v>
      </c>
      <c r="I23" s="2469"/>
      <c r="J23" s="2469"/>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43881</v>
      </c>
      <c r="D24" s="2469">
        <v>4.05</v>
      </c>
      <c r="E24" s="2469">
        <v>4.05</v>
      </c>
      <c r="F24" s="2469">
        <v>4.05</v>
      </c>
      <c r="G24" s="2469">
        <v>4.05</v>
      </c>
      <c r="H24" s="2469">
        <v>4.75</v>
      </c>
      <c r="I24" s="2469"/>
      <c r="J24" s="2469"/>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43789</v>
      </c>
      <c r="D25" s="2469">
        <v>4.1500000000000004</v>
      </c>
      <c r="E25" s="2469">
        <v>4.1500000000000004</v>
      </c>
      <c r="F25" s="2469">
        <v>4.1500000000000004</v>
      </c>
      <c r="G25" s="2469">
        <v>4.1500000000000004</v>
      </c>
      <c r="H25" s="2469">
        <v>4.8</v>
      </c>
      <c r="I25" s="2469"/>
      <c r="J25" s="2469"/>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43728</v>
      </c>
      <c r="D26" s="2469">
        <v>4.2</v>
      </c>
      <c r="E26" s="2469">
        <v>4.2</v>
      </c>
      <c r="F26" s="2469">
        <v>4.2</v>
      </c>
      <c r="G26" s="2469">
        <v>4.2</v>
      </c>
      <c r="H26" s="2469">
        <v>4.8499999999999996</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ht="14.25">
      <c r="B27" s="2463" t="s">
        <v>2286</v>
      </c>
      <c r="C27" s="2471">
        <v>43697</v>
      </c>
      <c r="D27" s="3020">
        <v>4.25</v>
      </c>
      <c r="E27" s="3020">
        <v>4.25</v>
      </c>
      <c r="F27" s="3020">
        <v>4.25</v>
      </c>
      <c r="G27" s="3020">
        <v>4.25</v>
      </c>
      <c r="H27" s="3020">
        <v>4.8499999999999996</v>
      </c>
      <c r="I27" s="3020"/>
      <c r="J27" s="3020"/>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ht="14.25">
      <c r="B28" s="3024"/>
      <c r="C28" s="3025">
        <v>42301</v>
      </c>
      <c r="D28" s="3026">
        <v>4.3499999999999996</v>
      </c>
      <c r="E28" s="3026">
        <v>4.3499999999999996</v>
      </c>
      <c r="F28" s="3026">
        <v>4.75</v>
      </c>
      <c r="G28" s="3026">
        <v>4.75</v>
      </c>
      <c r="H28" s="3026">
        <v>4.9000000000000004</v>
      </c>
      <c r="I28" s="3026"/>
      <c r="J28" s="3026"/>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42242</v>
      </c>
      <c r="D29" s="2469">
        <v>4.5999999999999996</v>
      </c>
      <c r="E29" s="2469">
        <v>4.5999999999999996</v>
      </c>
      <c r="F29" s="2469">
        <v>5</v>
      </c>
      <c r="G29" s="2469">
        <v>5</v>
      </c>
      <c r="H29" s="2469">
        <v>5.15</v>
      </c>
      <c r="I29" s="2469">
        <v>2.75</v>
      </c>
      <c r="J29" s="2469">
        <v>3.25</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42183</v>
      </c>
      <c r="D30" s="2469">
        <v>4.8499999999999996</v>
      </c>
      <c r="E30" s="2469">
        <v>4.8499999999999996</v>
      </c>
      <c r="F30" s="2469">
        <v>5.25</v>
      </c>
      <c r="G30" s="2469">
        <v>5.25</v>
      </c>
      <c r="H30" s="2469">
        <v>5.4</v>
      </c>
      <c r="I30" s="2469">
        <v>3</v>
      </c>
      <c r="J30" s="2469">
        <v>3.5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42135</v>
      </c>
      <c r="D31" s="2469">
        <v>5.0999999999999996</v>
      </c>
      <c r="E31" s="2469">
        <v>5.0999999999999996</v>
      </c>
      <c r="F31" s="2469">
        <v>5.5</v>
      </c>
      <c r="G31" s="2469">
        <v>5.5</v>
      </c>
      <c r="H31" s="2469">
        <v>5.65</v>
      </c>
      <c r="I31" s="2469">
        <v>3.25</v>
      </c>
      <c r="J31" s="2469">
        <v>3.75</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42064</v>
      </c>
      <c r="D32" s="2469">
        <v>5.35</v>
      </c>
      <c r="E32" s="2469">
        <v>5.35</v>
      </c>
      <c r="F32" s="2469">
        <v>5.75</v>
      </c>
      <c r="G32" s="2469">
        <v>5.75</v>
      </c>
      <c r="H32" s="2469">
        <v>5.9</v>
      </c>
      <c r="I32" s="2469"/>
      <c r="J32" s="2469"/>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41965</v>
      </c>
      <c r="D33" s="2469">
        <v>5.6</v>
      </c>
      <c r="E33" s="2469">
        <v>5.6</v>
      </c>
      <c r="F33" s="2469">
        <v>6</v>
      </c>
      <c r="G33" s="2469">
        <v>6</v>
      </c>
      <c r="H33" s="2469">
        <v>6.15</v>
      </c>
      <c r="I33" s="2469"/>
      <c r="J33" s="2469"/>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41096</v>
      </c>
      <c r="D34" s="2469">
        <v>5.6</v>
      </c>
      <c r="E34" s="2469">
        <v>6</v>
      </c>
      <c r="F34" s="2469">
        <v>6.15</v>
      </c>
      <c r="G34" s="2469">
        <v>6.4</v>
      </c>
      <c r="H34" s="2469">
        <v>6.55</v>
      </c>
      <c r="I34" s="2469">
        <v>4</v>
      </c>
      <c r="J34" s="2469">
        <v>4.5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41068</v>
      </c>
      <c r="D35" s="2469">
        <v>5.85</v>
      </c>
      <c r="E35" s="2469">
        <v>6.31</v>
      </c>
      <c r="F35" s="2469">
        <v>6.4</v>
      </c>
      <c r="G35" s="2469">
        <v>6.65</v>
      </c>
      <c r="H35" s="2469">
        <v>6.8</v>
      </c>
      <c r="I35" s="2469">
        <v>4.2</v>
      </c>
      <c r="J35" s="2469">
        <v>4.7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40731</v>
      </c>
      <c r="D36" s="2469">
        <v>6.1</v>
      </c>
      <c r="E36" s="2469">
        <v>6.56</v>
      </c>
      <c r="F36" s="2469">
        <v>6.65</v>
      </c>
      <c r="G36" s="2469">
        <v>6.9</v>
      </c>
      <c r="H36" s="2469">
        <v>7.05</v>
      </c>
      <c r="I36" s="2469">
        <v>4.45</v>
      </c>
      <c r="J36" s="2469">
        <v>4.9000000000000004</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40639</v>
      </c>
      <c r="D37" s="2469">
        <v>5.85</v>
      </c>
      <c r="E37" s="2469">
        <v>6.31</v>
      </c>
      <c r="F37" s="2469">
        <v>6.4</v>
      </c>
      <c r="G37" s="2469">
        <v>6.65</v>
      </c>
      <c r="H37" s="2469">
        <v>6.8</v>
      </c>
      <c r="I37" s="2469">
        <v>4.2</v>
      </c>
      <c r="J37" s="2469">
        <v>4.7</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40583</v>
      </c>
      <c r="D38" s="2469">
        <v>5.6</v>
      </c>
      <c r="E38" s="2469">
        <v>6.06</v>
      </c>
      <c r="F38" s="2469">
        <v>6.1</v>
      </c>
      <c r="G38" s="2469">
        <v>6.45</v>
      </c>
      <c r="H38" s="2469">
        <v>6.6</v>
      </c>
      <c r="I38" s="2469">
        <v>4</v>
      </c>
      <c r="J38" s="2469">
        <v>4.5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40538</v>
      </c>
      <c r="D39" s="2469">
        <v>5.35</v>
      </c>
      <c r="E39" s="2469">
        <v>5.81</v>
      </c>
      <c r="F39" s="2469">
        <v>5.85</v>
      </c>
      <c r="G39" s="2469">
        <v>6.22</v>
      </c>
      <c r="H39" s="2469">
        <v>6.4</v>
      </c>
      <c r="I39" s="2469">
        <v>3.75</v>
      </c>
      <c r="J39" s="2469">
        <v>4.3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40471</v>
      </c>
      <c r="D40" s="2469">
        <v>5.0999999999999996</v>
      </c>
      <c r="E40" s="2469">
        <v>5.56</v>
      </c>
      <c r="F40" s="2469">
        <v>5.6</v>
      </c>
      <c r="G40" s="2469">
        <v>5.96</v>
      </c>
      <c r="H40" s="2469">
        <v>6.14</v>
      </c>
      <c r="I40" s="2469">
        <v>3.5</v>
      </c>
      <c r="J40" s="2469">
        <v>4.05</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39805</v>
      </c>
      <c r="D41" s="2469">
        <v>4.8600000000000003</v>
      </c>
      <c r="E41" s="2469">
        <v>5.31</v>
      </c>
      <c r="F41" s="2469">
        <v>5.4</v>
      </c>
      <c r="G41" s="2469">
        <v>5.76</v>
      </c>
      <c r="H41" s="2469">
        <v>5.94</v>
      </c>
      <c r="I41" s="2469">
        <v>3.33</v>
      </c>
      <c r="J41" s="2469">
        <v>3.87</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39779</v>
      </c>
      <c r="D42" s="2469">
        <v>5.04</v>
      </c>
      <c r="E42" s="2469">
        <v>5.58</v>
      </c>
      <c r="F42" s="2469">
        <v>5.67</v>
      </c>
      <c r="G42" s="2469">
        <v>5.94</v>
      </c>
      <c r="H42" s="2469">
        <v>6.12</v>
      </c>
      <c r="I42" s="2469">
        <v>3.51</v>
      </c>
      <c r="J42" s="2469">
        <v>4.05</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39751</v>
      </c>
      <c r="D43" s="2469">
        <v>6.03</v>
      </c>
      <c r="E43" s="2469">
        <v>6.66</v>
      </c>
      <c r="F43" s="2469">
        <v>6.75</v>
      </c>
      <c r="G43" s="2469">
        <v>7.02</v>
      </c>
      <c r="H43" s="2469">
        <v>7.2</v>
      </c>
      <c r="I43" s="2469">
        <v>4.05</v>
      </c>
      <c r="J43" s="2469">
        <v>4.59</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1">
        <v>39748</v>
      </c>
      <c r="D44" s="2469">
        <v>6.12</v>
      </c>
      <c r="E44" s="2469">
        <v>6.93</v>
      </c>
      <c r="F44" s="2469">
        <v>7.02</v>
      </c>
      <c r="G44" s="2469">
        <v>7.29</v>
      </c>
      <c r="H44" s="2469">
        <v>7.47</v>
      </c>
      <c r="I44" s="2469">
        <v>4.05</v>
      </c>
      <c r="J44" s="2469">
        <v>4.59</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39730</v>
      </c>
      <c r="D45" s="2469">
        <v>6.12</v>
      </c>
      <c r="E45" s="2469">
        <v>6.93</v>
      </c>
      <c r="F45" s="2469">
        <v>7.02</v>
      </c>
      <c r="G45" s="2469">
        <v>7.29</v>
      </c>
      <c r="H45" s="2469">
        <v>7.47</v>
      </c>
      <c r="I45" s="2469">
        <v>4.32</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39707</v>
      </c>
      <c r="D46" s="2469">
        <v>6.21</v>
      </c>
      <c r="E46" s="2469">
        <v>7.2</v>
      </c>
      <c r="F46" s="2469">
        <v>7.29</v>
      </c>
      <c r="G46" s="2469">
        <v>7.56</v>
      </c>
      <c r="H46" s="2469">
        <v>7.74</v>
      </c>
      <c r="I46" s="2469">
        <v>4.59</v>
      </c>
      <c r="J46" s="2469">
        <v>5.13</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39437</v>
      </c>
      <c r="D47" s="2469">
        <v>6.57</v>
      </c>
      <c r="E47" s="2469">
        <v>7.47</v>
      </c>
      <c r="F47" s="2469">
        <v>7.56</v>
      </c>
      <c r="G47" s="2469">
        <v>7.74</v>
      </c>
      <c r="H47" s="2469">
        <v>7.83</v>
      </c>
      <c r="I47" s="2469">
        <v>4.7699999999999996</v>
      </c>
      <c r="J47" s="2469">
        <v>5.22</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39340</v>
      </c>
      <c r="D48" s="2469">
        <v>6.48</v>
      </c>
      <c r="E48" s="2469">
        <v>7.29</v>
      </c>
      <c r="F48" s="2469">
        <v>7.47</v>
      </c>
      <c r="G48" s="2469">
        <v>7.65</v>
      </c>
      <c r="H48" s="2469">
        <v>7.83</v>
      </c>
      <c r="I48" s="2469">
        <v>4.7699999999999996</v>
      </c>
      <c r="J48" s="2469">
        <v>5.22</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39316</v>
      </c>
      <c r="D49" s="2469">
        <v>6.21</v>
      </c>
      <c r="E49" s="2469">
        <v>7.02</v>
      </c>
      <c r="F49" s="2469">
        <v>7.2</v>
      </c>
      <c r="G49" s="2469">
        <v>7.38</v>
      </c>
      <c r="H49" s="2469">
        <v>7.56</v>
      </c>
      <c r="I49" s="2469">
        <v>4.59</v>
      </c>
      <c r="J49" s="2469">
        <v>5.04</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39284</v>
      </c>
      <c r="D50" s="2469">
        <v>6.03</v>
      </c>
      <c r="E50" s="2469">
        <v>6.84</v>
      </c>
      <c r="F50" s="2469">
        <v>7.02</v>
      </c>
      <c r="G50" s="2469">
        <v>7.2</v>
      </c>
      <c r="H50" s="2469">
        <v>7.38</v>
      </c>
      <c r="I50" s="2469">
        <v>4.5</v>
      </c>
      <c r="J50" s="2469">
        <v>4.95</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39221</v>
      </c>
      <c r="D51" s="2469">
        <v>5.85</v>
      </c>
      <c r="E51" s="2469">
        <v>6.57</v>
      </c>
      <c r="F51" s="2469">
        <v>6.75</v>
      </c>
      <c r="G51" s="2469">
        <v>6.93</v>
      </c>
      <c r="H51" s="2469">
        <v>7.2</v>
      </c>
      <c r="I51" s="2469">
        <v>4.41</v>
      </c>
      <c r="J51" s="2469">
        <v>4.8600000000000003</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39159</v>
      </c>
      <c r="D52" s="2469">
        <v>5.67</v>
      </c>
      <c r="E52" s="2469">
        <v>6.39</v>
      </c>
      <c r="F52" s="2469">
        <v>6.57</v>
      </c>
      <c r="G52" s="2469">
        <v>6.75</v>
      </c>
      <c r="H52" s="2469">
        <v>7.11</v>
      </c>
      <c r="I52" s="2469">
        <v>4.32</v>
      </c>
      <c r="J52" s="2469">
        <v>4.7699999999999996</v>
      </c>
      <c r="L52" s="2469"/>
      <c r="M52" s="2470"/>
      <c r="N52" s="2469"/>
      <c r="O52" s="2469"/>
      <c r="P52" s="2469"/>
      <c r="Q52" s="2469"/>
      <c r="R52" s="2469"/>
      <c r="S52" s="2469"/>
      <c r="T52" s="2469"/>
      <c r="U52" s="2469"/>
      <c r="V52" s="2469"/>
      <c r="W52" s="2469"/>
      <c r="X52" s="2469"/>
      <c r="Y52" s="2469"/>
      <c r="Z52" s="2469"/>
    </row>
    <row r="53" spans="2:26">
      <c r="B53" s="2469"/>
      <c r="C53" s="2470">
        <v>38948</v>
      </c>
      <c r="D53" s="2469">
        <v>5.58</v>
      </c>
      <c r="E53" s="2469">
        <v>6.12</v>
      </c>
      <c r="F53" s="2469">
        <v>6.3</v>
      </c>
      <c r="G53" s="2469">
        <v>6.48</v>
      </c>
      <c r="H53" s="2469">
        <v>6.84</v>
      </c>
      <c r="I53" s="2469">
        <v>4.1399999999999997</v>
      </c>
      <c r="J53" s="2469">
        <v>4.59</v>
      </c>
      <c r="L53" s="2469"/>
      <c r="M53" s="2470"/>
      <c r="N53" s="2469"/>
      <c r="O53" s="2469"/>
      <c r="P53" s="2469"/>
      <c r="Q53" s="2469"/>
      <c r="R53" s="2469"/>
      <c r="S53" s="2469"/>
      <c r="T53" s="2469"/>
      <c r="U53" s="2469"/>
      <c r="V53" s="2469"/>
      <c r="W53" s="2469"/>
      <c r="X53" s="2469"/>
      <c r="Y53" s="2469"/>
      <c r="Z53" s="2469"/>
    </row>
    <row r="54" spans="2:26">
      <c r="B54" s="2469"/>
      <c r="C54" s="2470">
        <v>38835</v>
      </c>
      <c r="D54" s="2469">
        <v>5.4</v>
      </c>
      <c r="E54" s="2469">
        <v>5.85</v>
      </c>
      <c r="F54" s="2469">
        <v>6.03</v>
      </c>
      <c r="G54" s="2469">
        <v>6.12</v>
      </c>
      <c r="H54" s="2469">
        <v>6.39</v>
      </c>
      <c r="I54" s="2469">
        <v>4.1399999999999997</v>
      </c>
      <c r="J54" s="2469">
        <v>4.59</v>
      </c>
      <c r="L54" s="2469"/>
      <c r="M54" s="2470"/>
      <c r="N54" s="2469"/>
      <c r="O54" s="2469"/>
      <c r="P54" s="2469"/>
      <c r="Q54" s="2469"/>
      <c r="R54" s="2469"/>
      <c r="S54" s="2469"/>
      <c r="T54" s="2469"/>
      <c r="U54" s="2469"/>
      <c r="V54" s="2469"/>
      <c r="W54" s="2469"/>
      <c r="X54" s="2469"/>
      <c r="Y54" s="2469"/>
      <c r="Z54" s="2469"/>
    </row>
    <row r="55" spans="2:26">
      <c r="B55" s="2469"/>
      <c r="C55" s="2470">
        <v>38428</v>
      </c>
      <c r="D55" s="2469">
        <v>5.22</v>
      </c>
      <c r="E55" s="2469">
        <v>5.58</v>
      </c>
      <c r="F55" s="2469">
        <v>5.76</v>
      </c>
      <c r="G55" s="2469">
        <v>5.85</v>
      </c>
      <c r="H55" s="2469">
        <v>6.12</v>
      </c>
      <c r="I55" s="2469">
        <v>3.96</v>
      </c>
      <c r="J55" s="2469">
        <v>4.41</v>
      </c>
      <c r="L55" s="2469"/>
      <c r="M55" s="2470"/>
      <c r="N55" s="2469"/>
      <c r="O55" s="2469"/>
      <c r="P55" s="2469"/>
      <c r="Q55" s="2469"/>
      <c r="R55" s="2469"/>
      <c r="S55" s="2469"/>
      <c r="T55" s="2469"/>
      <c r="U55" s="2469"/>
      <c r="V55" s="2469"/>
      <c r="W55" s="2469"/>
      <c r="X55" s="2469"/>
      <c r="Y55" s="2469"/>
      <c r="Z55" s="2469"/>
    </row>
    <row r="56" spans="2:26">
      <c r="B56" s="2469"/>
      <c r="C56" s="2470">
        <v>38289</v>
      </c>
      <c r="D56" s="2469">
        <v>5.22</v>
      </c>
      <c r="E56" s="2469">
        <v>5.58</v>
      </c>
      <c r="F56" s="2469">
        <v>5.76</v>
      </c>
      <c r="G56" s="2469">
        <v>5.85</v>
      </c>
      <c r="H56" s="2469">
        <v>6.12</v>
      </c>
      <c r="I56" s="2469">
        <v>3.78</v>
      </c>
      <c r="J56" s="2469">
        <v>4.2300000000000004</v>
      </c>
      <c r="L56" s="2469"/>
      <c r="M56" s="2470"/>
      <c r="N56" s="2469"/>
      <c r="O56" s="2469"/>
      <c r="P56" s="2469"/>
      <c r="Q56" s="2469"/>
      <c r="R56" s="2469"/>
      <c r="S56" s="2469"/>
      <c r="T56" s="2469"/>
      <c r="U56" s="2469"/>
      <c r="V56" s="2469"/>
      <c r="W56" s="2469"/>
      <c r="X56" s="2469"/>
      <c r="Y56" s="2469"/>
      <c r="Z56" s="2469"/>
    </row>
    <row r="57" spans="2:26">
      <c r="B57" s="2469"/>
      <c r="C57" s="2470">
        <v>37308</v>
      </c>
      <c r="D57" s="2469">
        <v>5.04</v>
      </c>
      <c r="E57" s="2469">
        <v>5.31</v>
      </c>
      <c r="F57" s="2469">
        <v>5.49</v>
      </c>
      <c r="G57" s="2469">
        <v>5.58</v>
      </c>
      <c r="H57" s="2469">
        <v>5.76</v>
      </c>
      <c r="I57" s="2469">
        <v>3.6</v>
      </c>
      <c r="J57" s="2469">
        <v>4.05</v>
      </c>
      <c r="L57" s="2469"/>
      <c r="M57" s="2470"/>
      <c r="N57" s="2469"/>
      <c r="O57" s="2469"/>
      <c r="P57" s="2469"/>
      <c r="Q57" s="2469"/>
      <c r="R57" s="2469"/>
      <c r="S57" s="2469"/>
      <c r="T57" s="2469"/>
      <c r="U57" s="2469"/>
      <c r="V57" s="2469"/>
      <c r="W57" s="2469"/>
      <c r="X57" s="2469"/>
      <c r="Y57" s="2469"/>
      <c r="Z57" s="2469"/>
    </row>
    <row r="58" spans="2:26">
      <c r="B58" s="2469"/>
      <c r="C58" s="2470">
        <v>36321</v>
      </c>
      <c r="D58" s="2469">
        <v>5.58</v>
      </c>
      <c r="E58" s="2469">
        <v>5.85</v>
      </c>
      <c r="F58" s="2469">
        <v>5.94</v>
      </c>
      <c r="G58" s="2469">
        <v>6.03</v>
      </c>
      <c r="H58" s="2469">
        <v>6.21</v>
      </c>
      <c r="I58" s="2469">
        <v>4.1399999999999997</v>
      </c>
      <c r="J58" s="2469">
        <v>4.59</v>
      </c>
    </row>
    <row r="59" spans="2:26">
      <c r="B59" s="2469"/>
      <c r="C59" s="2470">
        <v>36136</v>
      </c>
      <c r="D59" s="2469">
        <v>6.12</v>
      </c>
      <c r="E59" s="2469">
        <v>6.39</v>
      </c>
      <c r="F59" s="2469">
        <v>6.66</v>
      </c>
      <c r="G59" s="2469">
        <v>7.2</v>
      </c>
      <c r="H59" s="2469">
        <v>7.56</v>
      </c>
      <c r="I59" s="2469">
        <v>0</v>
      </c>
      <c r="J59" s="2469">
        <v>0</v>
      </c>
    </row>
    <row r="60" spans="2:26">
      <c r="B60" s="2469"/>
      <c r="C60" s="2470">
        <v>35977</v>
      </c>
      <c r="D60" s="2469">
        <v>6.57</v>
      </c>
      <c r="E60" s="2469">
        <v>6.93</v>
      </c>
      <c r="F60" s="2469">
        <v>7.11</v>
      </c>
      <c r="G60" s="2469">
        <v>7.65</v>
      </c>
      <c r="H60" s="2469">
        <v>8.01</v>
      </c>
      <c r="I60" s="2469">
        <v>0</v>
      </c>
      <c r="J60" s="2469">
        <v>0</v>
      </c>
    </row>
    <row r="61" spans="2:26">
      <c r="B61" s="2469"/>
      <c r="C61" s="2470">
        <v>35879</v>
      </c>
      <c r="D61" s="2469">
        <v>7.02</v>
      </c>
      <c r="E61" s="2469">
        <v>7.92</v>
      </c>
      <c r="F61" s="2469">
        <v>9</v>
      </c>
      <c r="G61" s="2469">
        <v>9.7200000000000006</v>
      </c>
      <c r="H61" s="2469">
        <v>10.35</v>
      </c>
      <c r="I61" s="2469">
        <v>0</v>
      </c>
      <c r="J61" s="2469">
        <v>0</v>
      </c>
    </row>
    <row r="62" spans="2:26">
      <c r="B62" s="2469"/>
      <c r="C62" s="2470">
        <v>35726</v>
      </c>
      <c r="D62" s="2469">
        <v>7.65</v>
      </c>
      <c r="E62" s="2469">
        <v>8.64</v>
      </c>
      <c r="F62" s="2469">
        <v>9.36</v>
      </c>
      <c r="G62" s="2469">
        <v>9.9</v>
      </c>
      <c r="H62" s="2469">
        <v>10.53</v>
      </c>
      <c r="I62" s="2469">
        <v>0</v>
      </c>
      <c r="J62" s="2469">
        <v>0</v>
      </c>
    </row>
    <row r="63" spans="2:26">
      <c r="B63" s="2469"/>
      <c r="C63" s="2470">
        <v>35300</v>
      </c>
      <c r="D63" s="2469">
        <v>9.18</v>
      </c>
      <c r="E63" s="2469">
        <v>10.08</v>
      </c>
      <c r="F63" s="2469">
        <v>10.98</v>
      </c>
      <c r="G63" s="2469">
        <v>11.7</v>
      </c>
      <c r="H63" s="2469">
        <v>12.42</v>
      </c>
      <c r="I63" s="2469">
        <v>0</v>
      </c>
      <c r="J63" s="2469">
        <v>0</v>
      </c>
    </row>
    <row r="64" spans="2:26">
      <c r="B64" s="2469"/>
      <c r="C64" s="2470">
        <v>35186</v>
      </c>
      <c r="D64" s="2469">
        <v>9.7200000000000006</v>
      </c>
      <c r="E64" s="2469">
        <v>10.98</v>
      </c>
      <c r="F64" s="2469">
        <v>13.14</v>
      </c>
      <c r="G64" s="2469">
        <v>14.94</v>
      </c>
      <c r="H64" s="2469">
        <v>15.12</v>
      </c>
      <c r="I64" s="2469">
        <v>0</v>
      </c>
      <c r="J64" s="2469">
        <v>0</v>
      </c>
    </row>
    <row r="65" spans="2:10">
      <c r="B65" s="2469"/>
      <c r="C65" s="2470">
        <v>34881</v>
      </c>
      <c r="D65" s="2469">
        <v>10.08</v>
      </c>
      <c r="E65" s="2469">
        <v>12.06</v>
      </c>
      <c r="F65" s="2469">
        <v>13.5</v>
      </c>
      <c r="G65" s="2469">
        <v>15.12</v>
      </c>
      <c r="H65" s="2469">
        <v>15.3</v>
      </c>
      <c r="I65" s="2469">
        <v>0</v>
      </c>
      <c r="J65" s="2469">
        <v>0</v>
      </c>
    </row>
    <row r="66" spans="2:10">
      <c r="B66" s="2469"/>
      <c r="C66" s="2470">
        <v>34700</v>
      </c>
      <c r="D66" s="2469">
        <v>9</v>
      </c>
      <c r="E66" s="2469">
        <v>10.98</v>
      </c>
      <c r="F66" s="2469">
        <v>12.96</v>
      </c>
      <c r="G66" s="2469">
        <v>14.58</v>
      </c>
      <c r="H66" s="2469">
        <v>14.76</v>
      </c>
      <c r="I66" s="2469">
        <v>0</v>
      </c>
      <c r="J66" s="2469">
        <v>0</v>
      </c>
    </row>
    <row r="67" spans="2:10">
      <c r="B67" s="2469"/>
      <c r="C67" s="2470">
        <v>34161</v>
      </c>
      <c r="D67" s="2469">
        <v>9</v>
      </c>
      <c r="E67" s="2469">
        <v>10.98</v>
      </c>
      <c r="F67" s="2469">
        <v>12.24</v>
      </c>
      <c r="G67" s="2469">
        <v>13.86</v>
      </c>
      <c r="H67" s="2469">
        <v>14.04</v>
      </c>
      <c r="I67" s="2469">
        <v>0</v>
      </c>
      <c r="J67" s="2469">
        <v>0</v>
      </c>
    </row>
    <row r="68" spans="2:10">
      <c r="B68" s="2469"/>
      <c r="C68" s="2470">
        <v>34104</v>
      </c>
      <c r="D68" s="2469">
        <v>8.82</v>
      </c>
      <c r="E68" s="2469">
        <v>9.36</v>
      </c>
      <c r="F68" s="2469">
        <v>10.8</v>
      </c>
      <c r="G68" s="2469">
        <v>12.06</v>
      </c>
      <c r="H68" s="2469">
        <v>12.24</v>
      </c>
      <c r="I68" s="2469">
        <v>0</v>
      </c>
      <c r="J68" s="2469">
        <v>0</v>
      </c>
    </row>
    <row r="69" spans="2:10">
      <c r="B69" s="2469"/>
      <c r="C69" s="2470">
        <v>33349</v>
      </c>
      <c r="D69" s="2469">
        <v>8.1</v>
      </c>
      <c r="E69" s="2469">
        <v>8.64</v>
      </c>
      <c r="F69" s="2469">
        <v>9</v>
      </c>
      <c r="G69" s="2469">
        <v>9.5399999999999991</v>
      </c>
      <c r="H69" s="2469">
        <v>9.7200000000000006</v>
      </c>
      <c r="I69" s="2469">
        <v>0</v>
      </c>
      <c r="J69" s="2469">
        <v>0</v>
      </c>
    </row>
    <row r="70" spans="2:10">
      <c r="B70" s="2469"/>
      <c r="C70" s="2470">
        <v>33318</v>
      </c>
      <c r="D70" s="2469">
        <v>9</v>
      </c>
      <c r="E70" s="2469">
        <v>10.08</v>
      </c>
      <c r="F70" s="2469">
        <v>10.8</v>
      </c>
      <c r="G70" s="2469">
        <v>11.52</v>
      </c>
      <c r="H70" s="2469">
        <v>11.88</v>
      </c>
      <c r="I70" s="2469" t="s">
        <v>2095</v>
      </c>
      <c r="J70" s="2469" t="s">
        <v>2095</v>
      </c>
    </row>
    <row r="71" spans="2:10">
      <c r="B71" s="2469"/>
      <c r="C71" s="2470">
        <v>33106</v>
      </c>
      <c r="D71" s="2469">
        <v>8.64</v>
      </c>
      <c r="E71" s="2469">
        <v>9.36</v>
      </c>
      <c r="F71" s="2469">
        <v>10.08</v>
      </c>
      <c r="G71" s="2469">
        <v>10.8</v>
      </c>
      <c r="H71" s="2469">
        <v>11.16</v>
      </c>
      <c r="I71" s="2469">
        <v>0</v>
      </c>
      <c r="J71" s="2469">
        <v>0</v>
      </c>
    </row>
    <row r="72" spans="2:10">
      <c r="B72" s="2469"/>
      <c r="C72" s="2470">
        <v>32540</v>
      </c>
      <c r="D72" s="2469">
        <v>11.34</v>
      </c>
      <c r="E72" s="2469">
        <v>11.34</v>
      </c>
      <c r="F72" s="2469">
        <v>12.78</v>
      </c>
      <c r="G72" s="2469">
        <v>14.4</v>
      </c>
      <c r="H72" s="2469">
        <v>19.260000000000002</v>
      </c>
      <c r="I72" s="2469">
        <v>0</v>
      </c>
      <c r="J72" s="2469">
        <v>0</v>
      </c>
    </row>
    <row r="73" spans="2:10">
      <c r="B73" s="2469"/>
      <c r="C73" s="2470"/>
      <c r="D73" s="2469"/>
      <c r="E73" s="2469"/>
      <c r="F73" s="2469"/>
      <c r="G73" s="2469"/>
      <c r="H73" s="2469"/>
      <c r="I73" s="2469"/>
      <c r="J73" s="2469"/>
    </row>
    <row r="74" spans="2:10">
      <c r="B74" s="2472"/>
      <c r="C74" s="2473"/>
      <c r="D74" s="2472"/>
      <c r="E74" s="2472"/>
      <c r="F74" s="2472"/>
      <c r="G74" s="2472"/>
      <c r="H74" s="2472"/>
      <c r="I74" s="2472"/>
      <c r="J74" s="2472"/>
    </row>
    <row r="75" spans="2:10">
      <c r="B75" s="2472"/>
      <c r="C75" s="2473"/>
      <c r="D75" s="2472"/>
      <c r="E75" s="2472"/>
      <c r="F75" s="2472"/>
      <c r="G75" s="2472"/>
      <c r="H75" s="2472"/>
      <c r="I75" s="2472"/>
      <c r="J75" s="2472"/>
    </row>
    <row r="76" spans="2:10">
      <c r="B76" s="2472"/>
      <c r="C76" s="2473"/>
      <c r="D76" s="2472"/>
      <c r="E76" s="2472"/>
      <c r="F76" s="2472"/>
      <c r="G76" s="2472"/>
      <c r="H76" s="2472"/>
      <c r="I76" s="2472"/>
      <c r="J76" s="2472"/>
    </row>
    <row r="77" spans="2:10">
      <c r="B77" s="2420"/>
      <c r="C77" s="2420"/>
      <c r="D77" s="2420"/>
      <c r="E77" s="2420"/>
      <c r="F77" s="2420"/>
      <c r="G77" s="2420"/>
      <c r="H77" s="2420"/>
      <c r="I77" s="2420"/>
      <c r="J77" s="2420"/>
    </row>
    <row r="78" spans="2:10">
      <c r="B78" s="2420"/>
      <c r="C78" s="2420"/>
      <c r="D78" s="2420"/>
      <c r="E78" s="2420"/>
      <c r="F78" s="2420"/>
      <c r="G78" s="2420"/>
      <c r="H78" s="2420"/>
      <c r="I78" s="2420"/>
      <c r="J78"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2" t="s">
        <v>1556</v>
      </c>
      <c r="B1" s="3692"/>
      <c r="C1" s="3692"/>
      <c r="D1" s="3692"/>
      <c r="E1" s="3692"/>
      <c r="F1" s="3692"/>
      <c r="G1" s="3692"/>
      <c r="H1" s="3692"/>
      <c r="I1" s="3692"/>
      <c r="J1" s="3692"/>
      <c r="K1" s="3692"/>
      <c r="L1" s="3692"/>
      <c r="M1" s="3692"/>
      <c r="N1" s="3692"/>
      <c r="O1" s="3692"/>
      <c r="P1" s="3692"/>
      <c r="Q1" s="3692"/>
      <c r="R1" s="3692"/>
    </row>
    <row r="2" spans="1:18">
      <c r="A2" s="1595" t="s">
        <v>1558</v>
      </c>
      <c r="B2" s="1595"/>
      <c r="C2" s="1595"/>
      <c r="D2" s="1595"/>
      <c r="E2" s="1595"/>
      <c r="F2" s="1595"/>
      <c r="G2" s="1595"/>
      <c r="H2" s="1595"/>
      <c r="I2" s="1596"/>
      <c r="J2" s="1596"/>
      <c r="K2" s="1597" t="str">
        <f>"估价期日："&amp;TEXT(项目基本情况!D3,"yyyy年m月d日;;")</f>
        <v>估价期日：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93" t="s">
        <v>1547</v>
      </c>
      <c r="B3" s="3693" t="s">
        <v>2013</v>
      </c>
      <c r="C3" s="3694" t="s">
        <v>1548</v>
      </c>
      <c r="D3" s="3693" t="s">
        <v>2017</v>
      </c>
      <c r="E3" s="3696" t="s">
        <v>1549</v>
      </c>
      <c r="F3" s="3696"/>
      <c r="G3" s="3696"/>
      <c r="H3" s="3696" t="s">
        <v>1550</v>
      </c>
      <c r="I3" s="3696"/>
      <c r="J3" s="3696"/>
      <c r="K3" s="3694" t="s">
        <v>1551</v>
      </c>
      <c r="L3" s="3694" t="s">
        <v>1552</v>
      </c>
      <c r="M3" s="3693" t="s">
        <v>2014</v>
      </c>
      <c r="N3" s="3695" t="str">
        <f>"（分摊）"&amp;项目基本情况!A17&amp;"国有建设用地使用权面积/㎡"</f>
        <v>（分摊）出让国有建设用地使用权面积/㎡</v>
      </c>
      <c r="O3" s="3693" t="s">
        <v>1581</v>
      </c>
      <c r="P3" s="3694" t="s">
        <v>1561</v>
      </c>
      <c r="Q3" s="3694" t="s">
        <v>1582</v>
      </c>
      <c r="R3" s="3694" t="s">
        <v>1553</v>
      </c>
    </row>
    <row r="4" spans="1:18" ht="36.75" customHeight="1">
      <c r="A4" s="3693"/>
      <c r="B4" s="3693"/>
      <c r="C4" s="3694"/>
      <c r="D4" s="3693"/>
      <c r="E4" s="2254" t="s">
        <v>1560</v>
      </c>
      <c r="F4" s="2254" t="s">
        <v>2026</v>
      </c>
      <c r="G4" s="2254" t="s">
        <v>1554</v>
      </c>
      <c r="H4" s="2254" t="s">
        <v>1555</v>
      </c>
      <c r="I4" s="2254" t="s">
        <v>2027</v>
      </c>
      <c r="J4" s="2254" t="s">
        <v>1554</v>
      </c>
      <c r="K4" s="3694"/>
      <c r="L4" s="3694"/>
      <c r="M4" s="3693"/>
      <c r="N4" s="3695"/>
      <c r="O4" s="3693"/>
      <c r="P4" s="3694"/>
      <c r="Q4" s="3694"/>
      <c r="R4" s="3694"/>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t="e">
        <f>项目基本情况!C22</f>
        <v>#DIV/0!</v>
      </c>
      <c r="O5" s="1598">
        <f>项目基本情况!C21</f>
        <v>0</v>
      </c>
      <c r="P5" s="1598" t="e">
        <f ca="1">结果表!E42</f>
        <v>#REF!</v>
      </c>
      <c r="Q5" s="1598" t="e">
        <f ca="1">结果表!D42</f>
        <v>#REF!</v>
      </c>
      <c r="R5" s="1599" t="e">
        <f ca="1">结果表!C42</f>
        <v>#REF!</v>
      </c>
    </row>
    <row r="6" spans="1:18">
      <c r="A6" s="3697" t="str">
        <f>IF(项目基本情况!B9="市场价格","——","抵押价格")</f>
        <v>抵押价格</v>
      </c>
      <c r="B6" s="3698"/>
      <c r="C6" s="3698"/>
      <c r="D6" s="3698"/>
      <c r="E6" s="3698"/>
      <c r="F6" s="3698"/>
      <c r="G6" s="3698"/>
      <c r="H6" s="3698"/>
      <c r="I6" s="3698"/>
      <c r="J6" s="3698"/>
      <c r="K6" s="3698"/>
      <c r="L6" s="3698"/>
      <c r="M6" s="3698"/>
      <c r="N6" s="3698"/>
      <c r="O6" s="3698"/>
      <c r="P6" s="3698"/>
      <c r="Q6" s="3699"/>
      <c r="R6" s="1600" t="str">
        <f>结果表!O39</f>
        <v>——</v>
      </c>
    </row>
    <row r="7" spans="1:18">
      <c r="A7" s="3697" t="str">
        <f>IF(项目基本情况!B9="市场价格","——",IF(项目基本情况!E8="已注销及未注销","抵押担保权已注销时的抵押价格","——"))</f>
        <v>——</v>
      </c>
      <c r="B7" s="3698"/>
      <c r="C7" s="3698"/>
      <c r="D7" s="3698"/>
      <c r="E7" s="3698"/>
      <c r="F7" s="3698"/>
      <c r="G7" s="3698"/>
      <c r="H7" s="3698"/>
      <c r="I7" s="3698"/>
      <c r="J7" s="3698"/>
      <c r="K7" s="3698"/>
      <c r="L7" s="3698"/>
      <c r="M7" s="3698"/>
      <c r="N7" s="3698"/>
      <c r="O7" s="3698"/>
      <c r="P7" s="3698"/>
      <c r="Q7" s="3699"/>
      <c r="R7" s="1600" t="str">
        <f>结果表!O40</f>
        <v>——</v>
      </c>
    </row>
    <row r="8" spans="1:18">
      <c r="A8" s="3697">
        <f>IF(项目基本情况!B9="市场价格","——",项目基本情况!E9)</f>
        <v>0</v>
      </c>
      <c r="B8" s="3698"/>
      <c r="C8" s="3698"/>
      <c r="D8" s="3698"/>
      <c r="E8" s="3698"/>
      <c r="F8" s="3698"/>
      <c r="G8" s="3698"/>
      <c r="H8" s="3698"/>
      <c r="I8" s="3698"/>
      <c r="J8" s="3698"/>
      <c r="K8" s="3698"/>
      <c r="L8" s="3698"/>
      <c r="M8" s="3698"/>
      <c r="N8" s="3698"/>
      <c r="O8" s="3698"/>
      <c r="P8" s="3698"/>
      <c r="Q8" s="3699"/>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701" t="s">
        <v>1583</v>
      </c>
      <c r="B1" s="3701"/>
      <c r="C1" s="3701"/>
      <c r="D1" s="3701"/>
    </row>
    <row r="2" spans="1:4" ht="47.25" customHeight="1">
      <c r="A2" s="3702" t="str">
        <f>"1.权利限制："&amp;项目基本情况!L24&amp;"未设定租赁等其他他项权利。"</f>
        <v>1.权利限制：根据估价对象《不动产权证书》原件、《国有土地使用权》复印件，截至估价期日，估价对象抵押权未见登记。未设定租赁等其他他项权利。</v>
      </c>
      <c r="B2" s="3702"/>
      <c r="C2" s="3702"/>
      <c r="D2" s="3702"/>
    </row>
    <row r="3" spans="1:4" ht="48" customHeight="1">
      <c r="A3" s="370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01"/>
      <c r="C3" s="3701"/>
      <c r="D3" s="3701"/>
    </row>
    <row r="4" spans="1:4" ht="36.75" customHeight="1">
      <c r="A4" s="3701" t="str">
        <f>"3.估价规划限制条件：详见"&amp;项目基本情况!E21&amp;"。"</f>
        <v>3.估价规划限制条件：详见《建设工程规划许可证》[]、《出让合同》[]。</v>
      </c>
      <c r="B4" s="3701"/>
      <c r="C4" s="3701"/>
      <c r="D4" s="3701"/>
    </row>
    <row r="5" spans="1:4">
      <c r="A5" s="3700" t="s">
        <v>1584</v>
      </c>
      <c r="B5" s="3700"/>
      <c r="C5" s="3700"/>
      <c r="D5" s="3700"/>
    </row>
    <row r="6" spans="1:4">
      <c r="A6" s="3701" t="s">
        <v>1562</v>
      </c>
      <c r="B6" s="3701"/>
      <c r="C6" s="3701"/>
      <c r="D6" s="3701"/>
    </row>
    <row r="7" spans="1:4" ht="33" customHeight="1">
      <c r="A7" s="3701" t="s">
        <v>1857</v>
      </c>
      <c r="B7" s="3701"/>
      <c r="C7" s="3701"/>
      <c r="D7" s="3701"/>
    </row>
    <row r="8" spans="1:4" ht="32.25" customHeight="1">
      <c r="A8" s="37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01"/>
      <c r="C8" s="3701"/>
      <c r="D8" s="3701"/>
    </row>
    <row r="9" spans="1:4" ht="33.75" customHeight="1">
      <c r="A9" s="3701" t="str">
        <f>IF(项目基本情况!B8="抵押","3.抵押双方在办理抵押登记手续时，应使用本公司出具的正式《土地估价报告》，特提请报告使用者注意。","——")</f>
        <v>——</v>
      </c>
      <c r="B9" s="3701"/>
      <c r="C9" s="3701"/>
      <c r="D9" s="3701"/>
    </row>
    <row r="10" spans="1:4">
      <c r="A10" s="3701" t="str">
        <f>IF(项目基本情况!B8="抵押","4.估价师所知悉的法定优先受偿款情况为：","——")</f>
        <v>——</v>
      </c>
      <c r="B10" s="3701"/>
      <c r="C10" s="3701"/>
      <c r="D10" s="3701"/>
    </row>
    <row r="11" spans="1:4" ht="37.5" customHeight="1">
      <c r="A11" s="3703" t="str">
        <f>IF(项目基本情况!B8="抵押","（1）"&amp;CONCATENATE(项目基本情况!L24,项目基本情况!L25,项目基本情况!L26),"——")</f>
        <v>——</v>
      </c>
      <c r="B11" s="3703"/>
      <c r="C11" s="3703"/>
      <c r="D11" s="3703"/>
    </row>
    <row r="12" spans="1:4" ht="168" customHeight="1">
      <c r="A12" s="3700" t="s">
        <v>1586</v>
      </c>
      <c r="B12" s="3700"/>
      <c r="C12" s="3700"/>
      <c r="D12" s="3700"/>
    </row>
    <row r="13" spans="1:4">
      <c r="A13" s="3704" t="s">
        <v>2028</v>
      </c>
      <c r="B13" s="3704"/>
      <c r="C13" s="3704"/>
      <c r="D13" s="3704"/>
    </row>
    <row r="14" spans="1:4">
      <c r="A14" s="3703" t="str">
        <f>IF(项目基本情况!B8="抵押","综上，"&amp;结果表!K47,"——")</f>
        <v>——</v>
      </c>
      <c r="B14" s="3703"/>
      <c r="C14" s="3703"/>
      <c r="D14" s="3703"/>
    </row>
    <row r="15" spans="1:4" ht="58.5" customHeight="1">
      <c r="A15" s="37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1"/>
      <c r="C15" s="3701"/>
      <c r="D15" s="3701"/>
    </row>
    <row r="16" spans="1:4" ht="70.5" customHeight="1">
      <c r="A16" s="37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1"/>
      <c r="C16" s="3701"/>
      <c r="D16" s="3701"/>
    </row>
    <row r="17" spans="1:4">
      <c r="A17" s="3701" t="s">
        <v>1984</v>
      </c>
      <c r="B17" s="3701"/>
      <c r="C17" s="3701"/>
      <c r="D17" s="3701"/>
    </row>
    <row r="18" spans="1:4">
      <c r="A18" s="3701" t="s">
        <v>1976</v>
      </c>
      <c r="B18" s="3701"/>
      <c r="C18" s="3701"/>
      <c r="D18" s="3701"/>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701" t="s">
        <v>1981</v>
      </c>
      <c r="B23" s="3701"/>
      <c r="C23" s="3701"/>
      <c r="D23" s="3701"/>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12" t="s">
        <v>27</v>
      </c>
      <c r="B15" s="3713" t="s">
        <v>784</v>
      </c>
      <c r="C15" s="3709"/>
    </row>
    <row r="16" spans="1:7" ht="14.25">
      <c r="A16" s="3712"/>
      <c r="B16" s="3710" t="s">
        <v>28</v>
      </c>
      <c r="C16" s="1070" t="s">
        <v>27</v>
      </c>
    </row>
    <row r="17" spans="1:3" ht="14.25">
      <c r="A17" s="3712"/>
      <c r="B17" s="3710"/>
      <c r="C17" s="1070" t="s">
        <v>29</v>
      </c>
    </row>
    <row r="18" spans="1:3" ht="14.25">
      <c r="A18" s="3712"/>
      <c r="B18" s="3710"/>
      <c r="C18" s="1070" t="s">
        <v>30</v>
      </c>
    </row>
    <row r="19" spans="1:3" ht="14.25">
      <c r="A19" s="3712"/>
      <c r="B19" s="3708" t="s">
        <v>31</v>
      </c>
      <c r="C19" s="3709"/>
    </row>
    <row r="20" spans="1:3" ht="14.25">
      <c r="A20" s="1071" t="s">
        <v>32</v>
      </c>
      <c r="B20" s="1072"/>
      <c r="C20" s="1073"/>
    </row>
    <row r="21" spans="1:3" ht="14.25">
      <c r="A21" s="3711" t="s">
        <v>33</v>
      </c>
      <c r="B21" s="3708" t="s">
        <v>34</v>
      </c>
      <c r="C21" s="3709"/>
    </row>
    <row r="22" spans="1:3" ht="14.25">
      <c r="A22" s="3711"/>
      <c r="B22" s="3708" t="s">
        <v>35</v>
      </c>
      <c r="C22" s="3709"/>
    </row>
    <row r="23" spans="1:3" ht="14.25">
      <c r="A23" s="3711"/>
      <c r="B23" s="3708" t="s">
        <v>36</v>
      </c>
      <c r="C23" s="3709"/>
    </row>
    <row r="24" spans="1:3" ht="14.25">
      <c r="A24" s="3711"/>
      <c r="B24" s="3714" t="s">
        <v>37</v>
      </c>
      <c r="C24" s="1074" t="s">
        <v>775</v>
      </c>
    </row>
    <row r="25" spans="1:3" ht="14.25">
      <c r="A25" s="3711"/>
      <c r="B25" s="3715"/>
      <c r="C25" s="1074" t="s">
        <v>776</v>
      </c>
    </row>
    <row r="26" spans="1:3" ht="14.25">
      <c r="A26" s="3711"/>
      <c r="B26" s="3715"/>
      <c r="C26" s="1074" t="s">
        <v>777</v>
      </c>
    </row>
    <row r="27" spans="1:3" ht="14.25">
      <c r="A27" s="3711"/>
      <c r="B27" s="3715"/>
      <c r="C27" s="1074" t="s">
        <v>778</v>
      </c>
    </row>
    <row r="28" spans="1:3" ht="14.25">
      <c r="A28" s="3711"/>
      <c r="B28" s="3715"/>
      <c r="C28" s="1074" t="s">
        <v>779</v>
      </c>
    </row>
    <row r="29" spans="1:3" ht="14.25">
      <c r="A29" s="3711"/>
      <c r="B29" s="3715"/>
      <c r="C29" s="1074" t="s">
        <v>780</v>
      </c>
    </row>
    <row r="30" spans="1:3" ht="14.25">
      <c r="A30" s="3711"/>
      <c r="B30" s="3715"/>
      <c r="C30" s="1074" t="s">
        <v>781</v>
      </c>
    </row>
    <row r="31" spans="1:3" ht="14.25">
      <c r="A31" s="3711"/>
      <c r="B31" s="3715"/>
      <c r="C31" s="1074" t="s">
        <v>782</v>
      </c>
    </row>
    <row r="32" spans="1:3" ht="14.25">
      <c r="A32" s="3711"/>
      <c r="B32" s="3715"/>
      <c r="C32" s="1074" t="s">
        <v>1181</v>
      </c>
    </row>
    <row r="33" spans="1:3" ht="14.25">
      <c r="A33" s="3711"/>
      <c r="B33" s="3705" t="s">
        <v>1187</v>
      </c>
      <c r="C33" s="1074" t="s">
        <v>1182</v>
      </c>
    </row>
    <row r="34" spans="1:3" ht="14.25">
      <c r="A34" s="3711"/>
      <c r="B34" s="3706"/>
      <c r="C34" s="1079" t="s">
        <v>1183</v>
      </c>
    </row>
    <row r="35" spans="1:3" ht="14.25">
      <c r="A35" s="3711"/>
      <c r="B35" s="3706"/>
      <c r="C35" s="1080" t="s">
        <v>1184</v>
      </c>
    </row>
    <row r="36" spans="1:3" ht="14.25">
      <c r="A36" s="3711"/>
      <c r="B36" s="3706"/>
      <c r="C36" s="1080" t="s">
        <v>1185</v>
      </c>
    </row>
    <row r="37" spans="1:3" ht="14.25">
      <c r="A37" s="3711"/>
      <c r="B37" s="3707"/>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45946</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t="str">
        <f ca="1">IF(C4&lt;B2,"已过期",1119970066)</f>
        <v>已过期</v>
      </c>
      <c r="C4" s="2776">
        <v>45937</v>
      </c>
      <c r="D4" s="2784" t="s">
        <v>1438</v>
      </c>
      <c r="E4" s="2773">
        <f ca="1">IF(F4&lt;B2,"已过期",96010014)</f>
        <v>96010014</v>
      </c>
      <c r="F4" s="2775">
        <v>47118</v>
      </c>
      <c r="G4" s="2768"/>
    </row>
    <row r="5" spans="1:7" ht="20.25" customHeight="1">
      <c r="A5" s="2773" t="s">
        <v>1439</v>
      </c>
      <c r="B5" s="2773" t="str">
        <f ca="1">IF(C5&lt;B2,"已过期",1119970111)</f>
        <v>已过期</v>
      </c>
      <c r="C5" s="2776">
        <v>45937</v>
      </c>
      <c r="D5" s="2784" t="s">
        <v>1439</v>
      </c>
      <c r="E5" s="2773">
        <f ca="1">IF(F5&lt;B2,"已过期",94010078)</f>
        <v>94010078</v>
      </c>
      <c r="F5" s="2775">
        <v>46387</v>
      </c>
      <c r="G5" s="2768"/>
    </row>
    <row r="6" spans="1:7" ht="20.25" customHeight="1">
      <c r="A6" s="2773" t="s">
        <v>1440</v>
      </c>
      <c r="B6" s="2773" t="str">
        <f ca="1">IF(C6&lt;B2,"已过期",1120050019)</f>
        <v>已过期</v>
      </c>
      <c r="C6" s="2776">
        <v>45410</v>
      </c>
      <c r="D6" s="2784" t="s">
        <v>1440</v>
      </c>
      <c r="E6" s="2773">
        <f ca="1">IF(F6&lt;B2,"已过期",2002110030)</f>
        <v>2002110030</v>
      </c>
      <c r="F6" s="2775">
        <v>46387</v>
      </c>
      <c r="G6" s="2768"/>
    </row>
    <row r="7" spans="1:7" ht="20.25" customHeight="1">
      <c r="A7" s="2773" t="s">
        <v>1441</v>
      </c>
      <c r="B7" s="2773" t="str">
        <f ca="1">IF(C7&lt;B2,"已过期",1120000080)</f>
        <v>已过期</v>
      </c>
      <c r="C7" s="2776">
        <v>45937</v>
      </c>
      <c r="D7" s="2784" t="s">
        <v>1441</v>
      </c>
      <c r="E7" s="2773">
        <f ca="1">IF(F7&lt;B2,"已过期",2000110082)</f>
        <v>2000110082</v>
      </c>
      <c r="F7" s="2775">
        <v>46387</v>
      </c>
      <c r="G7" s="2768"/>
    </row>
    <row r="8" spans="1:7" ht="20.25" customHeight="1">
      <c r="A8" s="2773" t="s">
        <v>1442</v>
      </c>
      <c r="B8" s="2773" t="str">
        <f ca="1">IF(C8&lt;B2,"已过期",1419970001)</f>
        <v>已过期</v>
      </c>
      <c r="C8" s="2776">
        <v>45937</v>
      </c>
      <c r="D8" s="2784" t="s">
        <v>1442</v>
      </c>
      <c r="E8" s="2773">
        <f ca="1">IF(F8&lt;B2,"已过期",2002110125)</f>
        <v>2002110125</v>
      </c>
      <c r="F8" s="2775">
        <v>47118</v>
      </c>
      <c r="G8" s="2768"/>
    </row>
    <row r="9" spans="1:7" ht="20.25" customHeight="1">
      <c r="A9" s="2773" t="s">
        <v>1443</v>
      </c>
      <c r="B9" s="2773" t="str">
        <f ca="1">IF(C9&lt;B2,"已过期",1120060040)</f>
        <v>已过期</v>
      </c>
      <c r="C9" s="2776">
        <v>45592</v>
      </c>
      <c r="D9" s="2784" t="s">
        <v>1443</v>
      </c>
      <c r="E9" s="2773">
        <f ca="1">IF(F9&lt;B2,"已过期",2004110096)</f>
        <v>2004110096</v>
      </c>
      <c r="F9" s="2775">
        <v>47118</v>
      </c>
      <c r="G9" s="2768"/>
    </row>
    <row r="10" spans="1:7" ht="20.25" customHeight="1">
      <c r="A10" s="2773" t="s">
        <v>1444</v>
      </c>
      <c r="B10" s="2773" t="str">
        <f ca="1">IF(C10&lt;B2,"已过期",1120100036)</f>
        <v>已过期</v>
      </c>
      <c r="C10" s="2776">
        <v>45752</v>
      </c>
      <c r="D10" s="2784" t="s">
        <v>1444</v>
      </c>
      <c r="E10" s="2773">
        <f ca="1">IF(F10&lt;B2,"已过期",2010110070)</f>
        <v>2010110070</v>
      </c>
      <c r="F10" s="2775">
        <v>47907</v>
      </c>
      <c r="G10" s="2768"/>
    </row>
    <row r="11" spans="1:7" ht="20.25" customHeight="1">
      <c r="A11" s="2773" t="s">
        <v>1445</v>
      </c>
      <c r="B11" s="2773" t="str">
        <f ca="1">IF(C11&lt;B2,"已过期",1120070131)</f>
        <v>已过期</v>
      </c>
      <c r="C11" s="2776">
        <v>45937</v>
      </c>
      <c r="D11" s="2784" t="s">
        <v>1445</v>
      </c>
      <c r="E11" s="2773">
        <f ca="1">IF(F11&lt;B2,"已过期",2014110011)</f>
        <v>2014110011</v>
      </c>
      <c r="F11" s="2775">
        <v>49302</v>
      </c>
      <c r="G11" s="2768"/>
    </row>
    <row r="12" spans="1:7" ht="20.25" customHeight="1">
      <c r="A12" s="2773" t="s">
        <v>2239</v>
      </c>
      <c r="B12" s="2773" t="str">
        <f ca="1">IF(C12&lt;B2,"已过期",1120040230)</f>
        <v>已过期</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2447</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19" t="s">
        <v>1448</v>
      </c>
      <c r="B18" s="3720"/>
      <c r="C18" s="3720"/>
      <c r="D18" s="3720"/>
      <c r="E18" s="3720"/>
      <c r="F18" s="3720"/>
      <c r="G18" s="2777"/>
    </row>
    <row r="19" spans="1:7" ht="20.25" customHeight="1">
      <c r="A19" s="3716" t="s">
        <v>1449</v>
      </c>
      <c r="B19" s="3716"/>
      <c r="C19" s="3717"/>
      <c r="D19" s="3718" t="s">
        <v>1450</v>
      </c>
      <c r="E19" s="3716"/>
      <c r="F19" s="3716"/>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2448</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58"/>
  <sheetViews>
    <sheetView topLeftCell="U1" workbookViewId="0">
      <selection activeCell="X1" sqref="X1:AB1048576"/>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8" width="10.5" style="9" customWidth="1"/>
    <col min="29" max="16384" width="9" style="1061"/>
  </cols>
  <sheetData>
    <row r="1" spans="1:28" s="1082" customFormat="1" ht="40.5">
      <c r="A1" s="929" t="s">
        <v>794</v>
      </c>
      <c r="B1" s="3" t="s">
        <v>99</v>
      </c>
      <c r="C1" s="1367" t="s">
        <v>1237</v>
      </c>
      <c r="D1" s="2197" t="s">
        <v>2760</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c r="X1" s="3690" t="s">
        <v>3321</v>
      </c>
      <c r="Y1" s="3690" t="s">
        <v>3322</v>
      </c>
      <c r="Z1" s="3690" t="s">
        <v>3325</v>
      </c>
      <c r="AA1" s="3690" t="s">
        <v>3323</v>
      </c>
      <c r="AB1" s="3690" t="s">
        <v>3324</v>
      </c>
    </row>
    <row r="2" spans="1:28">
      <c r="A2" s="6" t="s">
        <v>47</v>
      </c>
      <c r="B2" s="6" t="s">
        <v>116</v>
      </c>
      <c r="C2" s="1368" t="s">
        <v>1238</v>
      </c>
      <c r="D2" s="7" t="s">
        <v>48</v>
      </c>
      <c r="E2" s="7" t="s">
        <v>95</v>
      </c>
      <c r="F2" s="7" t="s">
        <v>96</v>
      </c>
      <c r="G2" s="4">
        <v>20</v>
      </c>
      <c r="H2" s="7" t="s">
        <v>97</v>
      </c>
      <c r="I2" s="7" t="s">
        <v>2746</v>
      </c>
      <c r="J2" s="7" t="s">
        <v>98</v>
      </c>
      <c r="K2" s="7" t="s">
        <v>49</v>
      </c>
      <c r="L2" s="7" t="s">
        <v>49</v>
      </c>
      <c r="M2" s="7" t="s">
        <v>49</v>
      </c>
      <c r="N2" s="7" t="s">
        <v>49</v>
      </c>
      <c r="O2" s="7" t="s">
        <v>49</v>
      </c>
      <c r="P2" s="967" t="s">
        <v>817</v>
      </c>
      <c r="Q2" s="7" t="s">
        <v>49</v>
      </c>
      <c r="R2" s="967" t="s">
        <v>1823</v>
      </c>
      <c r="S2" s="7" t="s">
        <v>49</v>
      </c>
      <c r="T2" s="7" t="s">
        <v>50</v>
      </c>
      <c r="U2" s="7" t="s">
        <v>49</v>
      </c>
      <c r="V2" s="7" t="s">
        <v>51</v>
      </c>
      <c r="W2" s="7" t="s">
        <v>812</v>
      </c>
      <c r="X2" s="9" t="s">
        <v>2460</v>
      </c>
      <c r="Y2" s="9" t="s">
        <v>3319</v>
      </c>
      <c r="Z2" s="9" t="s">
        <v>2474</v>
      </c>
      <c r="AA2" s="9" t="s">
        <v>3320</v>
      </c>
      <c r="AB2" s="9" t="s">
        <v>2504</v>
      </c>
    </row>
    <row r="3" spans="1:28">
      <c r="A3" s="6" t="s">
        <v>52</v>
      </c>
      <c r="B3" s="8" t="s">
        <v>117</v>
      </c>
      <c r="C3" s="1369" t="s">
        <v>1239</v>
      </c>
      <c r="D3" s="7" t="s">
        <v>53</v>
      </c>
      <c r="E3" s="7" t="s">
        <v>3</v>
      </c>
      <c r="F3" s="7" t="s">
        <v>54</v>
      </c>
      <c r="G3" s="7">
        <v>40</v>
      </c>
      <c r="H3" s="7" t="s">
        <v>55</v>
      </c>
      <c r="I3" s="7" t="s">
        <v>2747</v>
      </c>
      <c r="J3" s="7" t="s">
        <v>56</v>
      </c>
      <c r="K3" s="7" t="s">
        <v>57</v>
      </c>
      <c r="L3" s="7" t="s">
        <v>57</v>
      </c>
      <c r="M3" s="7" t="s">
        <v>57</v>
      </c>
      <c r="N3" s="7" t="s">
        <v>57</v>
      </c>
      <c r="O3" s="7" t="s">
        <v>57</v>
      </c>
      <c r="P3" s="967" t="s">
        <v>548</v>
      </c>
      <c r="Q3" s="7" t="s">
        <v>57</v>
      </c>
      <c r="R3" s="967" t="s">
        <v>1824</v>
      </c>
      <c r="S3" s="7" t="s">
        <v>57</v>
      </c>
      <c r="T3" s="7" t="s">
        <v>58</v>
      </c>
      <c r="U3" s="7" t="s">
        <v>57</v>
      </c>
      <c r="V3" s="7" t="s">
        <v>59</v>
      </c>
      <c r="W3" s="7" t="s">
        <v>813</v>
      </c>
      <c r="X3" s="9" t="s">
        <v>2462</v>
      </c>
      <c r="Z3" s="9" t="s">
        <v>2476</v>
      </c>
      <c r="AB3" s="9" t="s">
        <v>2506</v>
      </c>
    </row>
    <row r="4" spans="1:28">
      <c r="A4" s="6" t="s">
        <v>60</v>
      </c>
      <c r="B4" s="6" t="s">
        <v>118</v>
      </c>
      <c r="C4" s="1368" t="s">
        <v>1240</v>
      </c>
      <c r="D4" s="7" t="s">
        <v>1512</v>
      </c>
      <c r="E4" s="7" t="s">
        <v>61</v>
      </c>
      <c r="F4" s="7" t="s">
        <v>62</v>
      </c>
      <c r="G4" s="7">
        <v>50</v>
      </c>
      <c r="H4" s="7" t="s">
        <v>63</v>
      </c>
      <c r="I4" s="7" t="s">
        <v>2748</v>
      </c>
      <c r="K4" s="7" t="s">
        <v>64</v>
      </c>
      <c r="L4" s="7" t="s">
        <v>64</v>
      </c>
      <c r="M4" s="7" t="s">
        <v>64</v>
      </c>
      <c r="N4" s="7" t="s">
        <v>64</v>
      </c>
      <c r="O4" s="7" t="s">
        <v>64</v>
      </c>
      <c r="P4" s="967" t="s">
        <v>700</v>
      </c>
      <c r="Q4" s="7" t="s">
        <v>64</v>
      </c>
      <c r="R4" s="967" t="s">
        <v>1825</v>
      </c>
      <c r="S4" s="7" t="s">
        <v>64</v>
      </c>
      <c r="T4" s="7" t="s">
        <v>65</v>
      </c>
      <c r="U4" s="7" t="s">
        <v>64</v>
      </c>
      <c r="W4" s="7" t="s">
        <v>814</v>
      </c>
      <c r="X4" s="9" t="s">
        <v>2464</v>
      </c>
      <c r="Z4" s="9" t="s">
        <v>2478</v>
      </c>
      <c r="AB4" s="9" t="s">
        <v>2508</v>
      </c>
    </row>
    <row r="5" spans="1:28">
      <c r="A5" s="6" t="s">
        <v>66</v>
      </c>
      <c r="B5" s="6" t="s">
        <v>119</v>
      </c>
      <c r="C5" s="1368" t="s">
        <v>1241</v>
      </c>
      <c r="F5" s="7" t="s">
        <v>67</v>
      </c>
      <c r="G5" s="7">
        <v>70</v>
      </c>
      <c r="H5" s="7" t="s">
        <v>44</v>
      </c>
      <c r="I5" s="7" t="s">
        <v>2749</v>
      </c>
      <c r="K5" s="7" t="s">
        <v>68</v>
      </c>
      <c r="L5" s="7" t="s">
        <v>68</v>
      </c>
      <c r="M5" s="7" t="s">
        <v>68</v>
      </c>
      <c r="N5" s="7" t="s">
        <v>68</v>
      </c>
      <c r="O5" s="7" t="s">
        <v>68</v>
      </c>
      <c r="P5" s="967" t="s">
        <v>495</v>
      </c>
      <c r="Q5" s="7" t="s">
        <v>68</v>
      </c>
      <c r="R5" s="967" t="s">
        <v>1826</v>
      </c>
      <c r="S5" s="7" t="s">
        <v>68</v>
      </c>
      <c r="T5" s="7" t="s">
        <v>69</v>
      </c>
      <c r="U5" s="7" t="s">
        <v>68</v>
      </c>
      <c r="W5" s="7" t="s">
        <v>815</v>
      </c>
      <c r="X5" s="9" t="s">
        <v>2466</v>
      </c>
      <c r="Z5" s="9" t="s">
        <v>2480</v>
      </c>
      <c r="AB5" s="9" t="s">
        <v>2764</v>
      </c>
    </row>
    <row r="6" spans="1:28">
      <c r="A6" s="6" t="s">
        <v>70</v>
      </c>
      <c r="B6" s="1048" t="s">
        <v>1176</v>
      </c>
      <c r="C6" s="1370" t="s">
        <v>1242</v>
      </c>
      <c r="F6" s="7" t="s">
        <v>45</v>
      </c>
      <c r="H6" s="7" t="s">
        <v>46</v>
      </c>
      <c r="I6" s="7" t="s">
        <v>2750</v>
      </c>
      <c r="K6" s="7" t="s">
        <v>71</v>
      </c>
      <c r="L6" s="7" t="s">
        <v>71</v>
      </c>
      <c r="M6" s="7" t="s">
        <v>71</v>
      </c>
      <c r="N6" s="7" t="s">
        <v>71</v>
      </c>
      <c r="O6" s="7" t="s">
        <v>71</v>
      </c>
      <c r="P6" s="967" t="s">
        <v>818</v>
      </c>
      <c r="Q6" s="7" t="s">
        <v>71</v>
      </c>
      <c r="R6" s="967" t="s">
        <v>1827</v>
      </c>
      <c r="S6" s="7" t="s">
        <v>71</v>
      </c>
      <c r="T6" s="7"/>
      <c r="U6" s="7" t="s">
        <v>71</v>
      </c>
      <c r="W6" s="7" t="s">
        <v>816</v>
      </c>
      <c r="X6" s="9" t="s">
        <v>2468</v>
      </c>
      <c r="Z6" s="9" t="s">
        <v>2482</v>
      </c>
      <c r="AB6" s="9" t="s">
        <v>2512</v>
      </c>
    </row>
    <row r="7" spans="1:28">
      <c r="A7" s="6" t="s">
        <v>72</v>
      </c>
      <c r="B7" s="6" t="s">
        <v>73</v>
      </c>
      <c r="C7" s="1368" t="s">
        <v>1243</v>
      </c>
      <c r="F7" s="7" t="s">
        <v>120</v>
      </c>
      <c r="H7" s="7" t="s">
        <v>74</v>
      </c>
      <c r="I7" s="7" t="s">
        <v>2751</v>
      </c>
      <c r="X7" s="9" t="s">
        <v>2470</v>
      </c>
      <c r="Z7" s="9" t="s">
        <v>2484</v>
      </c>
      <c r="AB7" s="9" t="s">
        <v>2514</v>
      </c>
    </row>
    <row r="8" spans="1:28">
      <c r="A8" s="6" t="s">
        <v>75</v>
      </c>
      <c r="B8" s="6" t="s">
        <v>76</v>
      </c>
      <c r="C8" s="1368" t="s">
        <v>1244</v>
      </c>
      <c r="F8" s="7" t="s">
        <v>121</v>
      </c>
      <c r="H8" s="3336" t="s">
        <v>2745</v>
      </c>
      <c r="I8" s="7" t="s">
        <v>2752</v>
      </c>
      <c r="X8" s="9" t="s">
        <v>3315</v>
      </c>
      <c r="Z8" s="9" t="s">
        <v>2486</v>
      </c>
      <c r="AB8" s="9" t="s">
        <v>2516</v>
      </c>
    </row>
    <row r="9" spans="1:28">
      <c r="A9" s="6" t="s">
        <v>77</v>
      </c>
      <c r="B9" s="6" t="s">
        <v>122</v>
      </c>
      <c r="C9" s="1368" t="s">
        <v>1245</v>
      </c>
      <c r="F9" s="7" t="s">
        <v>78</v>
      </c>
      <c r="H9" s="7"/>
      <c r="I9" s="7" t="s">
        <v>2753</v>
      </c>
      <c r="X9" s="9" t="s">
        <v>3317</v>
      </c>
      <c r="Z9" s="9" t="s">
        <v>2488</v>
      </c>
      <c r="AB9" s="9" t="s">
        <v>2518</v>
      </c>
    </row>
    <row r="10" spans="1:28">
      <c r="A10" s="6" t="s">
        <v>79</v>
      </c>
      <c r="B10" s="6" t="s">
        <v>123</v>
      </c>
      <c r="C10" s="1368" t="s">
        <v>1246</v>
      </c>
      <c r="F10" s="3336" t="s">
        <v>2744</v>
      </c>
      <c r="I10" s="7" t="s">
        <v>2754</v>
      </c>
      <c r="Z10" s="9" t="s">
        <v>2490</v>
      </c>
      <c r="AB10" s="9" t="s">
        <v>2520</v>
      </c>
    </row>
    <row r="11" spans="1:28">
      <c r="A11" s="6" t="s">
        <v>80</v>
      </c>
      <c r="B11" s="6" t="s">
        <v>124</v>
      </c>
      <c r="C11" s="1368" t="s">
        <v>1247</v>
      </c>
      <c r="I11" s="7" t="s">
        <v>2755</v>
      </c>
      <c r="Z11" s="9" t="s">
        <v>2492</v>
      </c>
      <c r="AB11" s="9" t="s">
        <v>2522</v>
      </c>
    </row>
    <row r="12" spans="1:28">
      <c r="A12" s="6" t="s">
        <v>81</v>
      </c>
      <c r="B12" s="6" t="s">
        <v>125</v>
      </c>
      <c r="C12" s="1368" t="s">
        <v>1248</v>
      </c>
      <c r="I12" s="7" t="s">
        <v>2756</v>
      </c>
      <c r="Z12" s="9" t="s">
        <v>2495</v>
      </c>
      <c r="AB12" s="9" t="s">
        <v>2524</v>
      </c>
    </row>
    <row r="13" spans="1:28">
      <c r="A13" s="6" t="s">
        <v>82</v>
      </c>
      <c r="B13" s="6" t="s">
        <v>126</v>
      </c>
      <c r="C13" s="1368" t="s">
        <v>1249</v>
      </c>
      <c r="I13" s="7" t="s">
        <v>2757</v>
      </c>
      <c r="Z13" s="9" t="s">
        <v>2497</v>
      </c>
    </row>
    <row r="14" spans="1:28">
      <c r="A14" s="6" t="s">
        <v>83</v>
      </c>
      <c r="B14" s="6" t="s">
        <v>127</v>
      </c>
      <c r="C14" s="1371" t="s">
        <v>1421</v>
      </c>
      <c r="I14" s="7" t="s">
        <v>2758</v>
      </c>
      <c r="Z14" s="9" t="s">
        <v>2499</v>
      </c>
    </row>
    <row r="15" spans="1:28">
      <c r="A15" s="6" t="s">
        <v>84</v>
      </c>
      <c r="B15" s="6" t="s">
        <v>1214</v>
      </c>
      <c r="C15" s="1371"/>
      <c r="I15" s="7" t="s">
        <v>2759</v>
      </c>
    </row>
    <row r="16" spans="1:28">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2439</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21"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c r="D53" s="1558"/>
      <c r="E53" s="1558"/>
    </row>
    <row r="54" spans="1:5">
      <c r="A54" s="3721"/>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21"/>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21"/>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21"/>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158</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2025-10-16T01:23:27Z</dcterms:modified>
</cp:coreProperties>
</file>