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r:id="rId27"/>
    <sheet name="地价" sheetId="59"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6" i="55" l="1"/>
  <c r="A15" i="55"/>
  <c r="A14" i="55"/>
  <c r="A11" i="55"/>
  <c r="A10" i="55"/>
  <c r="A9" i="55"/>
  <c r="A8" i="55"/>
  <c r="A6" i="54"/>
  <c r="A8" i="54"/>
  <c r="A7" i="54"/>
  <c r="A28" i="51"/>
  <c r="A27" i="51"/>
  <c r="A26" i="51"/>
  <c r="C36" i="46" l="1"/>
  <c r="C35" i="46"/>
  <c r="C34" i="46"/>
  <c r="C33" i="46"/>
  <c r="D5" i="46"/>
  <c r="L5" i="59" l="1"/>
  <c r="Q5" i="59" s="1"/>
  <c r="K5" i="59"/>
  <c r="J5" i="59"/>
  <c r="O5" i="59" s="1"/>
  <c r="I5" i="59"/>
  <c r="N6" i="59"/>
  <c r="O6" i="59"/>
  <c r="P6" i="59"/>
  <c r="Q6" i="59"/>
  <c r="N5" i="59"/>
  <c r="P5" i="59"/>
  <c r="B7" i="59"/>
  <c r="C7" i="59"/>
  <c r="D7" i="59" s="1"/>
  <c r="E7" i="59"/>
  <c r="F7" i="59"/>
  <c r="A30" i="51" l="1"/>
  <c r="E10" i="67"/>
  <c r="F10" i="67"/>
  <c r="F12" i="67"/>
  <c r="B8" i="67"/>
  <c r="F11" i="67"/>
  <c r="F14" i="67"/>
  <c r="E12" i="67"/>
  <c r="B14" i="67"/>
  <c r="E9" i="67"/>
  <c r="B9" i="67"/>
  <c r="B10" i="67"/>
  <c r="F9" i="67"/>
  <c r="B12" i="67"/>
  <c r="B13" i="67"/>
  <c r="E11" i="67"/>
  <c r="F13" i="67"/>
  <c r="B11" i="67"/>
  <c r="E13" i="67"/>
  <c r="E8" i="67"/>
  <c r="F8" i="67"/>
  <c r="E14" i="67"/>
  <c r="F29" i="12" l="1"/>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4" i="65"/>
  <c r="I5" i="65"/>
  <c r="N3" i="65"/>
  <c r="I4" i="65"/>
  <c r="J4" i="65"/>
  <c r="N5" i="65"/>
  <c r="I7" i="65"/>
  <c r="I6" i="65"/>
  <c r="I3" i="65"/>
  <c r="J3" i="65"/>
  <c r="N6" i="65"/>
  <c r="J5" i="65"/>
  <c r="J6" i="65"/>
  <c r="J7"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B49" i="63"/>
  <c r="B44" i="63"/>
  <c r="B40" i="63"/>
  <c r="B30" i="63"/>
  <c r="B27" i="63"/>
  <c r="B25" i="63"/>
  <c r="A11" i="51"/>
  <c r="K39" i="9" l="1"/>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D101" i="46"/>
  <c r="D102" i="46" s="1"/>
  <c r="H101" i="46"/>
  <c r="L101" i="46"/>
  <c r="L106" i="46" s="1"/>
  <c r="E101" i="46"/>
  <c r="E104" i="46" s="1"/>
  <c r="I101" i="46"/>
  <c r="I105" i="46" s="1"/>
  <c r="M101" i="46"/>
  <c r="M107" i="46" s="1"/>
  <c r="N104" i="45"/>
  <c r="H17" i="46"/>
  <c r="F33" i="46"/>
  <c r="F35" i="46"/>
  <c r="F37" i="46"/>
  <c r="H16" i="48"/>
  <c r="H9" i="48"/>
  <c r="H8" i="48"/>
  <c r="G22" i="46"/>
  <c r="F22" i="46"/>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2" i="15" s="1"/>
  <c r="F59" i="15"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C30" i="44" l="1"/>
  <c r="C27" i="43"/>
  <c r="C25" i="12"/>
  <c r="C28" i="15"/>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H22" i="46"/>
  <c r="C101" i="46"/>
  <c r="K101" i="46"/>
  <c r="G101" i="46"/>
  <c r="N101" i="46"/>
  <c r="J101" i="46"/>
  <c r="F101" i="46"/>
  <c r="B113" i="46"/>
  <c r="E22" i="46"/>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M18" i="15"/>
  <c r="A18" i="64"/>
  <c r="B74" i="63" s="1"/>
  <c r="C53" i="10"/>
  <c r="A25" i="64" s="1"/>
  <c r="A18" i="51"/>
  <c r="B14" i="63" s="1"/>
  <c r="M20" i="46"/>
  <c r="C19" i="46" s="1"/>
  <c r="BA16" i="3"/>
  <c r="BA17" i="3"/>
  <c r="AZ17" i="3" s="1"/>
  <c r="C24" i="12"/>
  <c r="F3" i="35"/>
  <c r="K1" i="43"/>
  <c r="K1" i="12"/>
  <c r="G1" i="44"/>
  <c r="I4" i="6"/>
  <c r="AZ15" i="3"/>
  <c r="G5" i="3"/>
  <c r="B3" i="3" s="1"/>
  <c r="E413" i="3" s="1"/>
  <c r="I103" i="46"/>
  <c r="BK5" i="3"/>
  <c r="BO5" i="3"/>
  <c r="E476" i="3"/>
  <c r="E297" i="3"/>
  <c r="E561" i="3"/>
  <c r="E86" i="3"/>
  <c r="AO6"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C23" i="46" s="1"/>
  <c r="N109" i="46"/>
  <c r="H109" i="46"/>
  <c r="D109" i="46"/>
  <c r="H84" i="46"/>
  <c r="H65" i="46"/>
  <c r="H66" i="46"/>
  <c r="M109" i="46"/>
  <c r="K109" i="46"/>
  <c r="I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F26" i="15"/>
  <c r="M9" i="15"/>
  <c r="F43" i="15"/>
  <c r="M6" i="15"/>
  <c r="J15" i="15"/>
  <c r="J17" i="44"/>
  <c r="M26" i="15"/>
  <c r="L47" i="15"/>
  <c r="F7" i="15"/>
  <c r="M10" i="44"/>
  <c r="F38" i="44"/>
  <c r="M8" i="44"/>
  <c r="F37" i="15"/>
  <c r="F39" i="44"/>
  <c r="M28" i="44"/>
  <c r="F6" i="15"/>
  <c r="M29" i="15"/>
  <c r="F18" i="44"/>
  <c r="M8" i="15"/>
  <c r="F40" i="15"/>
  <c r="F28" i="44"/>
  <c r="M30" i="44"/>
  <c r="F40" i="44"/>
  <c r="J36" i="15"/>
  <c r="F15" i="44"/>
  <c r="M11" i="44"/>
  <c r="M22" i="15"/>
  <c r="F42" i="15"/>
  <c r="M23" i="15"/>
  <c r="M31" i="44"/>
  <c r="M28" i="15"/>
  <c r="M27" i="15"/>
  <c r="F11" i="44"/>
  <c r="F8" i="15"/>
  <c r="F8" i="44"/>
  <c r="M29" i="44"/>
  <c r="C35" i="44"/>
  <c r="F45" i="44"/>
  <c r="F13" i="15"/>
  <c r="F16" i="15"/>
  <c r="M24" i="44"/>
  <c r="F43" i="44"/>
  <c r="L48" i="15"/>
  <c r="M26" i="44"/>
  <c r="F10" i="44"/>
  <c r="F9" i="15"/>
  <c r="M24" i="15"/>
  <c r="F38" i="15"/>
  <c r="M25" i="44"/>
  <c r="F36" i="15"/>
  <c r="S14" i="36" l="1"/>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D118" i="46"/>
  <c r="E118" i="46" s="1"/>
  <c r="F118" i="46" s="1"/>
  <c r="B115" i="46"/>
  <c r="B118" i="46"/>
  <c r="C118" i="46" s="1"/>
  <c r="D115" i="46"/>
  <c r="E115" i="46" s="1"/>
  <c r="F115" i="46" s="1"/>
  <c r="G115" i="46" s="1"/>
  <c r="H115" i="46" s="1"/>
  <c r="D117" i="46"/>
  <c r="E117" i="46" s="1"/>
  <c r="F117" i="46" s="1"/>
  <c r="G117" i="46" s="1"/>
  <c r="H117" i="46" s="1"/>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J104" i="46"/>
  <c r="J103" i="46"/>
  <c r="J106" i="46"/>
  <c r="J107" i="46"/>
  <c r="J102" i="46"/>
  <c r="J105" i="46"/>
  <c r="G104" i="46"/>
  <c r="G103" i="46"/>
  <c r="G105" i="46"/>
  <c r="G102" i="46"/>
  <c r="G106" i="46"/>
  <c r="G107" i="46"/>
  <c r="C106" i="46"/>
  <c r="C104" i="46"/>
  <c r="C103" i="46"/>
  <c r="C105" i="46"/>
  <c r="C102" i="46"/>
  <c r="C107" i="46"/>
  <c r="G109"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F58" i="15"/>
  <c r="F46" i="44"/>
  <c r="C18" i="44"/>
  <c r="M17" i="15"/>
  <c r="F31" i="15"/>
  <c r="F33" i="44"/>
  <c r="C16" i="15"/>
  <c r="F41" i="15"/>
  <c r="M19" i="44"/>
  <c r="U7" i="35" l="1"/>
  <c r="AC7" i="36"/>
  <c r="V36" i="36" s="1"/>
  <c r="I36" i="36" s="1"/>
  <c r="I40" i="36" s="1"/>
  <c r="J40" i="36" s="1"/>
  <c r="W18" i="36"/>
  <c r="AC18" i="36"/>
  <c r="U7" i="36"/>
  <c r="G41" i="36"/>
  <c r="H41" i="36" s="1"/>
  <c r="W7" i="35"/>
  <c r="S7" i="37"/>
  <c r="U7" i="34"/>
  <c r="J6" i="15"/>
  <c r="J5" i="15" s="1"/>
  <c r="J18" i="15" s="1"/>
  <c r="J8" i="44"/>
  <c r="J7" i="44" s="1"/>
  <c r="E48" i="33"/>
  <c r="E52" i="33" s="1"/>
  <c r="F52" i="33" s="1"/>
  <c r="C115" i="46"/>
  <c r="D113" i="46"/>
  <c r="J22" i="46" s="1"/>
  <c r="H12" i="40"/>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AB12" i="40"/>
  <c r="U12" i="40"/>
  <c r="S12" i="39"/>
  <c r="C20" i="11"/>
  <c r="C21" i="11" s="1"/>
  <c r="C22" i="11" s="1"/>
  <c r="C23" i="11" s="1"/>
  <c r="B2" i="11" s="1"/>
  <c r="S12" i="40"/>
  <c r="W12" i="39"/>
  <c r="AC12" i="40"/>
  <c r="W12" i="40"/>
  <c r="E46" i="37"/>
  <c r="F46" i="37" s="1"/>
  <c r="E47" i="37"/>
  <c r="F47" i="37" s="1"/>
  <c r="C48" i="33"/>
  <c r="C49" i="33"/>
  <c r="B3" i="33" s="1"/>
  <c r="B2" i="33" s="1"/>
  <c r="F7" i="67"/>
  <c r="E4" i="67" l="1"/>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15"/>
  <c r="C19" i="44"/>
  <c r="E3" i="67" l="1"/>
  <c r="B2" i="46"/>
  <c r="D4" i="46" s="1"/>
  <c r="E43" i="35"/>
  <c r="F43" i="35" s="1"/>
  <c r="E42" i="35"/>
  <c r="F42" i="35" s="1"/>
  <c r="C37" i="36"/>
  <c r="B3" i="36" s="1"/>
  <c r="B2" i="36" s="1"/>
  <c r="C36" i="36"/>
  <c r="S16" i="1"/>
  <c r="T13" i="1"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15"/>
  <c r="B7" i="67"/>
  <c r="C16" i="44"/>
  <c r="B2" i="67" l="1"/>
  <c r="B4" i="46"/>
  <c r="B3" i="46"/>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B3" i="67" l="1"/>
  <c r="B4" i="67"/>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J20" i="15" l="1"/>
  <c r="C36" i="44"/>
  <c r="C33" i="44" s="1"/>
  <c r="C34" i="15"/>
  <c r="F62" i="15"/>
  <c r="C61" i="15" s="1"/>
  <c r="J22" i="44"/>
  <c r="C20" i="15"/>
  <c r="C23" i="15" s="1"/>
  <c r="C18" i="12"/>
  <c r="R16" i="1"/>
  <c r="D31" i="6"/>
  <c r="I6" i="6" s="1"/>
  <c r="R27" i="6"/>
  <c r="C18" i="43"/>
  <c r="C28" i="44"/>
  <c r="C31" i="44" s="1"/>
  <c r="K70" i="39"/>
  <c r="J72" i="39"/>
  <c r="K65" i="40"/>
  <c r="J67" i="40"/>
  <c r="C65" i="15"/>
  <c r="C59" i="15"/>
  <c r="I5" i="6" l="1"/>
  <c r="C26" i="15"/>
  <c r="C29" i="15" s="1"/>
  <c r="J59" i="15" s="1"/>
  <c r="J60" i="15" s="1"/>
  <c r="Q49" i="15" s="1"/>
  <c r="C23" i="12"/>
  <c r="C35" i="12" s="1"/>
  <c r="C33" i="12" s="1"/>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8" i="12"/>
  <c r="C26" i="12" s="1"/>
  <c r="C25" i="43"/>
  <c r="C24" i="43" s="1"/>
  <c r="C28" i="43" s="1"/>
  <c r="C30" i="43" s="1"/>
  <c r="J24" i="44"/>
  <c r="J15" i="44"/>
  <c r="J25" i="44" s="1"/>
  <c r="C55" i="15"/>
  <c r="C64" i="15" s="1"/>
  <c r="C43" i="44"/>
  <c r="C39" i="44"/>
  <c r="C32" i="44" s="1"/>
  <c r="C42" i="44" s="1"/>
  <c r="L72" i="39"/>
  <c r="M70" i="39"/>
  <c r="M65" i="40"/>
  <c r="L67" i="40"/>
  <c r="C60" i="15" l="1"/>
  <c r="C58" i="15" s="1"/>
  <c r="C57" i="15" s="1"/>
  <c r="C66" i="15" s="1"/>
  <c r="C67"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Q70" i="15" l="1"/>
  <c r="Q69" i="15" s="1"/>
  <c r="J39" i="15"/>
  <c r="J40" i="15" s="1"/>
  <c r="B2" i="44"/>
  <c r="B4" i="44" s="1"/>
  <c r="B3" i="12"/>
  <c r="B4" i="12"/>
  <c r="L44" i="9"/>
  <c r="B5" i="12"/>
  <c r="B3" i="43"/>
  <c r="B5" i="43"/>
  <c r="B4" i="43"/>
  <c r="L46" i="15"/>
  <c r="B2" i="15" s="1"/>
  <c r="B3" i="15" s="1"/>
  <c r="Q57" i="15"/>
  <c r="C43" i="15"/>
  <c r="Q66" i="15"/>
  <c r="Q48" i="15"/>
  <c r="Q54" i="15" s="1"/>
  <c r="J42" i="15"/>
  <c r="J43" i="15" s="1"/>
  <c r="C70" i="15"/>
  <c r="C46" i="15"/>
  <c r="J9" i="40"/>
  <c r="F9" i="40"/>
  <c r="H9" i="40"/>
  <c r="J9" i="39"/>
  <c r="H9" i="39"/>
  <c r="F9" i="39"/>
  <c r="D20" i="9"/>
  <c r="L51" i="15"/>
  <c r="D21" i="9"/>
  <c r="L57" i="15" l="1"/>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<sst xmlns="http://schemas.openxmlformats.org/spreadsheetml/2006/main" count="6671" uniqueCount="2980">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</sst>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2669</v>
      </c>
      <c r="B1" s="2930" t="s">
        <v>2766</v>
      </c>
    </row>
    <row r="2" spans="1:55" s="2934" customFormat="1" ht="15" thickTop="1">
      <c r="A2" s="2932" t="s">
        <v>2673</v>
      </c>
      <c r="B2" s="2933" t="str">
        <f>'预评函-封皮'!B37</f>
        <v>国有建设用地使用权预评估</v>
      </c>
      <c r="AX2" s="2935"/>
      <c r="AZ2" s="2935"/>
      <c r="BA2" s="2936"/>
      <c r="BC2" s="2936"/>
    </row>
    <row r="3" spans="1:55" s="2937" customFormat="1">
      <c r="A3" s="2916" t="s">
        <v>2674</v>
      </c>
      <c r="B3" s="2919">
        <f>'预评函-封皮'!B40</f>
        <v>0</v>
      </c>
    </row>
    <row r="4" spans="1:55" s="2918" customFormat="1">
      <c r="A4" s="2916" t="s">
        <v>2675</v>
      </c>
      <c r="B4" s="2917" t="str">
        <f>'预评函-封皮'!B46</f>
        <v>土地估价师、土地估价师</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2676</v>
      </c>
      <c r="B5" s="2939" t="str">
        <f>'预评函-封皮'!B49</f>
        <v>康正预评字号</v>
      </c>
    </row>
    <row r="6" spans="1:55" s="2940" customFormat="1" ht="15" thickTop="1">
      <c r="A6" s="2932" t="s">
        <v>2718</v>
      </c>
      <c r="B6" s="2933" t="str">
        <f>'预评函-1'!A4</f>
        <v>受贵公司委托，我公司对国有建设用地使用权进行了预评估。</v>
      </c>
      <c r="AM6" s="2941"/>
    </row>
    <row r="7" spans="1:55" s="2915" customFormat="1">
      <c r="A7" s="2916" t="s">
        <v>2670</v>
      </c>
      <c r="B7" s="2917" t="e">
        <f>'预评函-1'!A6</f>
        <v>#DIV/0!</v>
      </c>
    </row>
    <row r="8" spans="1:55" s="2915" customFormat="1">
      <c r="A8" s="2916" t="s">
        <v>2671</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2721</v>
      </c>
      <c r="B9" s="2917" t="str">
        <f>'预评函-1'!A9</f>
        <v>本次评估为委托估价方了解标的物之市场价格提供参考依据而评估国有建设用地使用权市场价格。</v>
      </c>
    </row>
    <row r="10" spans="1:55" s="2915" customFormat="1">
      <c r="A10" s="2916" t="s">
        <v>2672</v>
      </c>
      <c r="B10" s="2917" t="str">
        <f>'预评函-1'!A11</f>
        <v>（评估专业人员勘察现场之日）</v>
      </c>
    </row>
    <row r="11" spans="1:55" s="2915" customFormat="1">
      <c r="A11" s="2916" t="s">
        <v>2678</v>
      </c>
      <c r="B11" s="2917" t="str">
        <f>'预评函-1'!A14</f>
        <v>根据《国有土地使用证》[]，本次评估估价对象证载（地类）用途为。</v>
      </c>
    </row>
    <row r="12" spans="1:55" s="2915" customFormat="1">
      <c r="A12" s="2916" t="s">
        <v>2679</v>
      </c>
      <c r="B12" s="2917" t="str">
        <f>'预评函-1'!A15</f>
        <v>本次评估设定用途即为证载用途。</v>
      </c>
    </row>
    <row r="13" spans="1:55" s="2915" customFormat="1">
      <c r="A13" s="2916" t="s">
        <v>2680</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2681</v>
      </c>
      <c r="B14" s="2917" t="str">
        <f>'预评函-1'!A18</f>
        <v>。本次评估设定土地开发程度为红线外市政基础设施达“七通”、宗地红线内场地平整。</v>
      </c>
    </row>
    <row r="15" spans="1:55" s="2915" customFormat="1">
      <c r="A15" s="2916" t="s">
        <v>2677</v>
      </c>
      <c r="B15" s="2917" t="e">
        <f>'预评函-1'!A20</f>
        <v>#DIV/0!</v>
      </c>
    </row>
    <row r="16" spans="1:55" s="2915" customFormat="1">
      <c r="A16" s="2916" t="s">
        <v>2682</v>
      </c>
      <c r="B16" s="2917" t="str">
        <f>'预评函-1'!A22</f>
        <v>本次估价对象国有建设用地使用权类型为划拨，无土地使用年限限制。</v>
      </c>
    </row>
    <row r="17" spans="1:48" s="2915" customFormat="1">
      <c r="A17" s="2916" t="s">
        <v>2683</v>
      </c>
      <c r="B17" s="2917" t="str">
        <f>'预评函-1'!A23</f>
        <v/>
      </c>
    </row>
    <row r="18" spans="1:48" s="2915" customFormat="1">
      <c r="A18" s="2916" t="s">
        <v>2684</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2685</v>
      </c>
      <c r="B19" s="2917"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915" customFormat="1">
      <c r="A20" s="2916" t="s">
        <v>2686</v>
      </c>
      <c r="B20" s="2917" t="str">
        <f>'预评函-1'!A27</f>
        <v>——</v>
      </c>
    </row>
    <row r="21" spans="1:48" s="2931" customFormat="1" ht="15" thickBot="1">
      <c r="A21" s="2938" t="s">
        <v>2687</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2688</v>
      </c>
      <c r="B22" s="2928" t="str">
        <f>'预评函-1'!A30</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23" spans="1:48">
      <c r="A23" s="2916" t="s">
        <v>2689</v>
      </c>
      <c r="B23" s="2917" t="str">
        <f>'预评函-2'!K2</f>
        <v>估价期日：</v>
      </c>
    </row>
    <row r="24" spans="1:48">
      <c r="A24" s="2916" t="s">
        <v>2690</v>
      </c>
      <c r="B24" s="2917" t="str">
        <f>'预评函-2'!R2</f>
        <v>估价期日的国有建设用地使用权性质：</v>
      </c>
    </row>
    <row r="25" spans="1:48">
      <c r="A25" s="2916" t="s">
        <v>2746</v>
      </c>
      <c r="B25" s="2917" t="str">
        <f>'预评函-2'!A3</f>
        <v>估价期日土地使用者</v>
      </c>
    </row>
    <row r="26" spans="1:48">
      <c r="A26" s="2916" t="s">
        <v>2722</v>
      </c>
      <c r="B26" s="2917" t="str">
        <f>'预评函-2'!A5</f>
        <v>中信开发</v>
      </c>
    </row>
    <row r="27" spans="1:48">
      <c r="A27" s="2916" t="s">
        <v>2747</v>
      </c>
      <c r="B27" s="2917" t="str">
        <f>'预评函-2'!B3</f>
        <v>宗地编号/不动产单元号</v>
      </c>
    </row>
    <row r="28" spans="1:48">
      <c r="A28" s="2916" t="s">
        <v>2723</v>
      </c>
      <c r="B28" s="2917" t="str">
        <f>'预评函-2'!B5</f>
        <v>11111111111</v>
      </c>
    </row>
    <row r="29" spans="1:48">
      <c r="A29" s="2916" t="s">
        <v>2749</v>
      </c>
      <c r="B29" s="2917">
        <f>'预评函-2'!C5</f>
        <v>22</v>
      </c>
    </row>
    <row r="30" spans="1:48">
      <c r="A30" s="2916" t="s">
        <v>2750</v>
      </c>
      <c r="B30" s="2917" t="str">
        <f>'预评函-2'!D3</f>
        <v>土地使用证编号/不动产权证书编号</v>
      </c>
    </row>
    <row r="31" spans="1:48">
      <c r="A31" s="2916" t="s">
        <v>2724</v>
      </c>
      <c r="B31" s="2917" t="str">
        <f>'预评函-2'!D5</f>
        <v>京国土字第111号</v>
      </c>
    </row>
    <row r="32" spans="1:48">
      <c r="A32" s="2916" t="s">
        <v>2725</v>
      </c>
      <c r="B32" s="2917">
        <f>'预评函-2'!E5</f>
        <v>0</v>
      </c>
      <c r="AV32" s="2921"/>
    </row>
    <row r="33" spans="1:2">
      <c r="A33" s="2916" t="s">
        <v>2726</v>
      </c>
      <c r="B33" s="2917">
        <f>'预评函-2'!F5</f>
        <v>258</v>
      </c>
    </row>
    <row r="34" spans="1:2">
      <c r="A34" s="2916" t="s">
        <v>2727</v>
      </c>
      <c r="B34" s="2917">
        <f>'预评函-2'!G5</f>
        <v>0</v>
      </c>
    </row>
    <row r="35" spans="1:2">
      <c r="A35" s="2916" t="s">
        <v>2728</v>
      </c>
      <c r="B35" s="2917">
        <f>'预评函-2'!H5</f>
        <v>1.5</v>
      </c>
    </row>
    <row r="36" spans="1:2">
      <c r="A36" s="2916" t="s">
        <v>2729</v>
      </c>
      <c r="B36" s="2917">
        <f>'预评函-2'!I5</f>
        <v>1.5</v>
      </c>
    </row>
    <row r="37" spans="1:2">
      <c r="A37" s="2916" t="s">
        <v>2730</v>
      </c>
      <c r="B37" s="2917">
        <f>'预评函-2'!J5</f>
        <v>1.5</v>
      </c>
    </row>
    <row r="38" spans="1:2">
      <c r="A38" s="2916" t="s">
        <v>2731</v>
      </c>
      <c r="B38" s="2917" t="str">
        <f>'预评函-2'!K5</f>
        <v>红线外七通、宗地红线内</v>
      </c>
    </row>
    <row r="39" spans="1:2">
      <c r="A39" s="2916" t="s">
        <v>2732</v>
      </c>
      <c r="B39" s="2917" t="str">
        <f>'预评函-2'!L5</f>
        <v>红线外七通、宗地红线内场地</v>
      </c>
    </row>
    <row r="40" spans="1:2">
      <c r="A40" s="2916" t="s">
        <v>2751</v>
      </c>
      <c r="B40" s="2917" t="str">
        <f>'预评函-2'!M3</f>
        <v>（剩余）土地使用年限/年</v>
      </c>
    </row>
    <row r="41" spans="1:2">
      <c r="A41" s="2916" t="s">
        <v>2733</v>
      </c>
      <c r="B41" s="2917" t="str">
        <f>'预评函-2'!M5</f>
        <v>——</v>
      </c>
    </row>
    <row r="42" spans="1:2">
      <c r="A42" s="2916" t="s">
        <v>2752</v>
      </c>
      <c r="B42" s="2917" t="str">
        <f>'预评函-2'!N3</f>
        <v>（分摊）国有建设用地使用权面积/㎡</v>
      </c>
    </row>
    <row r="43" spans="1:2">
      <c r="A43" s="2916" t="s">
        <v>2734</v>
      </c>
      <c r="B43" s="2917" t="e">
        <f>'预评函-2'!N5</f>
        <v>#DIV/0!</v>
      </c>
    </row>
    <row r="44" spans="1:2">
      <c r="A44" s="2916" t="s">
        <v>2753</v>
      </c>
      <c r="B44" s="2917" t="str">
        <f>'预评函-2'!O3</f>
        <v>规划建筑面积/㎡</v>
      </c>
    </row>
    <row r="45" spans="1:2">
      <c r="A45" s="2916" t="s">
        <v>2735</v>
      </c>
      <c r="B45" s="2917">
        <f>'预评函-2'!O5</f>
        <v>0</v>
      </c>
    </row>
    <row r="46" spans="1:2">
      <c r="A46" s="2916" t="s">
        <v>2736</v>
      </c>
      <c r="B46" s="2917" t="e">
        <f ca="1">'预评函-2'!P5</f>
        <v>#REF!</v>
      </c>
    </row>
    <row r="47" spans="1:2">
      <c r="A47" s="2916" t="s">
        <v>2737</v>
      </c>
      <c r="B47" s="2917" t="e">
        <f ca="1">'预评函-2'!Q5</f>
        <v>#REF!</v>
      </c>
    </row>
    <row r="48" spans="1:2">
      <c r="A48" s="2916" t="s">
        <v>2738</v>
      </c>
      <c r="B48" s="2917" t="e">
        <f ca="1">'预评函-2'!R5</f>
        <v>#REF!</v>
      </c>
    </row>
    <row r="49" spans="1:2">
      <c r="A49" s="2916" t="s">
        <v>2754</v>
      </c>
      <c r="B49" s="2917" t="str">
        <f>'预评函-2'!A6</f>
        <v>抵押价格</v>
      </c>
    </row>
    <row r="50" spans="1:2">
      <c r="A50" s="2916" t="s">
        <v>2739</v>
      </c>
      <c r="B50" s="2917" t="str">
        <f>'预评函-2'!R6</f>
        <v>——</v>
      </c>
    </row>
    <row r="51" spans="1:2">
      <c r="A51" s="2916" t="s">
        <v>2755</v>
      </c>
      <c r="B51" s="2917" t="str">
        <f>'预评函-2'!A7</f>
        <v>——</v>
      </c>
    </row>
    <row r="52" spans="1:2">
      <c r="A52" s="2916" t="s">
        <v>2740</v>
      </c>
      <c r="B52" s="2917" t="str">
        <f>'预评函-2'!R7</f>
        <v>——</v>
      </c>
    </row>
    <row r="53" spans="1:2">
      <c r="A53" s="2916" t="s">
        <v>2756</v>
      </c>
      <c r="B53" s="2917">
        <f>'预评函-2'!A8</f>
        <v>0</v>
      </c>
    </row>
    <row r="54" spans="1:2" s="2931" customFormat="1" ht="15" thickBot="1">
      <c r="A54" s="2938" t="s">
        <v>2741</v>
      </c>
      <c r="B54" s="2939" t="str">
        <f>'预评函-2'!R8</f>
        <v>——</v>
      </c>
    </row>
    <row r="55" spans="1:2" ht="15" thickTop="1">
      <c r="A55" s="2927" t="s">
        <v>2691</v>
      </c>
      <c r="B55" s="2928" t="str">
        <f>'预评函-3'!A2</f>
        <v>1.权利限制：根据估价对象《不动产权证书》原件、《国有土地使用权》复印件，截至估价期日，估价对象抵押权未见登记。未设定租赁等其他他项权利。</v>
      </c>
    </row>
    <row r="56" spans="1:2">
      <c r="A56" s="2916" t="s">
        <v>2692</v>
      </c>
      <c r="B56" s="2917" t="str">
        <f>'预评函-3'!A3</f>
        <v>2.基础设施条件：估价对象实际开发程度为红线外七通、宗地红线内；本次评估设定开发程度为红线外七通、宗地红线内场地。</v>
      </c>
    </row>
    <row r="57" spans="1:2">
      <c r="A57" s="2916" t="s">
        <v>2693</v>
      </c>
      <c r="B57" s="2917" t="str">
        <f>'预评函-3'!A4</f>
        <v>3.估价规划限制条件：详见《建设工程规划许可证》[]、《出让合同》[]。</v>
      </c>
    </row>
    <row r="58" spans="1:2" s="2931" customFormat="1" ht="15" thickBot="1">
      <c r="A58" s="2938" t="s">
        <v>2742</v>
      </c>
      <c r="B58" s="2939" t="str">
        <f>'预评函-3'!A5</f>
        <v>4.影响价格的其他限定条件：无。</v>
      </c>
    </row>
    <row r="59" spans="1:2" ht="15" thickTop="1">
      <c r="A59" s="2927" t="s">
        <v>2694</v>
      </c>
      <c r="B59" s="2928" t="str">
        <f>'预评函-3'!A8</f>
        <v>2.本次评估设定估价对象宗地权属无争议，未被查封或者以其他形式限制其房地产权利，未设定抵押权等他项权利，不涉及第三方权利义务。</v>
      </c>
    </row>
    <row r="60" spans="1:2">
      <c r="A60" s="2916" t="s">
        <v>2695</v>
      </c>
      <c r="B60" s="2917" t="str">
        <f>'预评函-3'!A9</f>
        <v>——</v>
      </c>
    </row>
    <row r="61" spans="1:2">
      <c r="A61" s="2916" t="s">
        <v>2697</v>
      </c>
      <c r="B61" s="2917" t="str">
        <f>'预评函-3'!A10</f>
        <v>——</v>
      </c>
    </row>
    <row r="62" spans="1:2">
      <c r="A62" s="2916" t="s">
        <v>2696</v>
      </c>
      <c r="B62" s="2917" t="str">
        <f>'预评函-3'!A11</f>
        <v>——</v>
      </c>
    </row>
    <row r="63" spans="1:2">
      <c r="A63" s="2916" t="s">
        <v>2698</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2699</v>
      </c>
      <c r="B64" s="2922" t="str">
        <f>'预评函-3'!A13</f>
        <v>（3）。</v>
      </c>
    </row>
    <row r="65" spans="1:2">
      <c r="A65" s="2916" t="s">
        <v>2700</v>
      </c>
      <c r="B65" s="2923" t="str">
        <f>'预评函-3'!A14</f>
        <v>——</v>
      </c>
    </row>
    <row r="66" spans="1:2">
      <c r="A66" s="2916" t="s">
        <v>2701</v>
      </c>
      <c r="B66" s="29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2702</v>
      </c>
      <c r="B67" s="29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2705</v>
      </c>
      <c r="B68" s="2942">
        <f>'预评函-3'!D30</f>
        <v>42558</v>
      </c>
    </row>
    <row r="69" spans="1:2" ht="15" thickTop="1">
      <c r="A69" s="2927" t="s">
        <v>2703</v>
      </c>
      <c r="B69" s="2928" t="str">
        <f>'预评函-3'!A20</f>
        <v>土地估价师</v>
      </c>
    </row>
    <row r="70" spans="1:2">
      <c r="A70" s="2916" t="s">
        <v>2703</v>
      </c>
      <c r="B70" s="2923">
        <f>'预评函-3'!B20</f>
        <v>0</v>
      </c>
    </row>
    <row r="71" spans="1:2">
      <c r="A71" s="2916" t="s">
        <v>2704</v>
      </c>
      <c r="B71" s="2917" t="str">
        <f>'预评函-3'!A21</f>
        <v>土地估价师</v>
      </c>
    </row>
    <row r="72" spans="1:2" s="2931" customFormat="1" ht="15" thickBot="1">
      <c r="A72" s="2938" t="s">
        <v>2704</v>
      </c>
      <c r="B72" s="2944">
        <f>'预评函-3'!B21</f>
        <v>0</v>
      </c>
    </row>
    <row r="73" spans="1:2" ht="15" thickTop="1">
      <c r="A73" s="2927" t="s">
        <v>2763</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2764</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2765</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2800</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9" sqref="B9"/>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1944</v>
      </c>
      <c r="B1" s="3195" t="str">
        <f>IF(B10="北京市","北京市",C10)&amp;F10&amp;B16&amp;"国有建设用地使用权"&amp;B9&amp;"预评估"</f>
        <v>国有建设用地使用权预评估</v>
      </c>
      <c r="C1" s="3196"/>
      <c r="D1" s="3196"/>
      <c r="E1" s="3196"/>
      <c r="F1" s="3196"/>
      <c r="G1" s="3196"/>
      <c r="H1" s="3196"/>
      <c r="I1" s="3197"/>
      <c r="J1" s="1698"/>
      <c r="K1" s="2489" t="str">
        <f>IF(B10="北京市","北京市",C10)&amp;F10&amp;B16&amp;"国有建设用地使用权"&amp;B9</f>
        <v>国有建设用地使用权</v>
      </c>
      <c r="L1" s="1727"/>
      <c r="M1" s="1727"/>
      <c r="N1" s="1698"/>
      <c r="O1" s="1699"/>
      <c r="P1" s="1698"/>
      <c r="Q1" s="1698"/>
      <c r="R1" s="1698"/>
      <c r="S1" s="1698"/>
      <c r="T1" s="1698"/>
      <c r="U1" s="1698"/>
    </row>
    <row r="2" spans="1:21">
      <c r="A2" s="1664" t="s">
        <v>1945</v>
      </c>
      <c r="B2" s="1846"/>
      <c r="D2" s="1698"/>
      <c r="E2" s="1698"/>
      <c r="F2" s="1698"/>
      <c r="G2" s="1698"/>
      <c r="H2" s="1664"/>
      <c r="I2" s="1699"/>
      <c r="J2" s="1698"/>
      <c r="K2" s="2489" t="str">
        <f>IF(B10="北京市","北京市",C10)&amp;F10&amp;B16&amp;"国有建设用地使用权"</f>
        <v>国有建设用地使用权</v>
      </c>
      <c r="L2" s="1727"/>
      <c r="M2" s="1727"/>
      <c r="N2" s="1698"/>
      <c r="O2" s="1699"/>
      <c r="P2" s="1698"/>
      <c r="Q2" s="1698"/>
      <c r="R2" s="1698"/>
      <c r="S2" s="1698"/>
      <c r="T2" s="1698"/>
      <c r="U2" s="1698"/>
    </row>
    <row r="3" spans="1:21">
      <c r="A3" s="1665" t="s">
        <v>1946</v>
      </c>
      <c r="B3" s="1666"/>
      <c r="C3" s="1667" t="s">
        <v>2002</v>
      </c>
      <c r="D3" s="1666"/>
      <c r="E3" s="1698"/>
      <c r="F3" s="1698"/>
      <c r="G3" s="1698"/>
      <c r="H3" s="1664"/>
      <c r="I3" s="1699"/>
      <c r="J3" s="1698"/>
      <c r="K3" s="1778"/>
      <c r="L3" s="1727"/>
      <c r="M3" s="1727"/>
      <c r="N3" s="1698"/>
      <c r="O3" s="1699"/>
      <c r="P3" s="1698"/>
      <c r="Q3" s="1698"/>
      <c r="R3" s="1698"/>
      <c r="S3" s="1698"/>
      <c r="T3" s="1698"/>
      <c r="U3" s="1698"/>
    </row>
    <row r="4" spans="1:21" ht="29.25" thickBot="1">
      <c r="A4" s="1668" t="s">
        <v>1947</v>
      </c>
      <c r="B4" s="1847" t="s">
        <v>2902</v>
      </c>
      <c r="C4" s="1850">
        <f>SUMIF(土地估价师,B4,估价师及机构信息!E3:E24)</f>
        <v>0</v>
      </c>
      <c r="D4" s="1847" t="s">
        <v>2902</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1948</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2719</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2720</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1949</v>
      </c>
      <c r="B8" s="1674"/>
      <c r="C8" s="1675"/>
      <c r="D8" s="3201" t="s">
        <v>1951</v>
      </c>
      <c r="E8" s="1848"/>
      <c r="F8" s="1676"/>
      <c r="G8" s="1664"/>
      <c r="H8" s="1664"/>
      <c r="I8" s="1711"/>
      <c r="J8" s="1698"/>
      <c r="K8" s="1778"/>
      <c r="L8" s="1727"/>
      <c r="M8" s="1727"/>
      <c r="N8" s="1698"/>
      <c r="O8" s="1699"/>
      <c r="P8" s="1698"/>
      <c r="Q8" s="1698"/>
      <c r="R8" s="1698"/>
      <c r="S8" s="1698"/>
      <c r="T8" s="1698"/>
      <c r="U8" s="1698"/>
    </row>
    <row r="9" spans="1:21" ht="15" thickBot="1">
      <c r="A9" s="1677" t="s">
        <v>1950</v>
      </c>
      <c r="B9" s="1678"/>
      <c r="C9" s="1679"/>
      <c r="D9" s="3202"/>
      <c r="E9" s="1678"/>
      <c r="F9" s="1751"/>
      <c r="G9" s="1746"/>
      <c r="H9" s="1746"/>
      <c r="I9" s="1747"/>
      <c r="J9" s="1698"/>
      <c r="K9" s="1778"/>
      <c r="L9" s="1727"/>
      <c r="M9" s="1727"/>
      <c r="N9" s="1698"/>
      <c r="O9" s="1699"/>
      <c r="P9" s="1698"/>
      <c r="Q9" s="1698"/>
      <c r="R9" s="1698"/>
      <c r="S9" s="1698"/>
      <c r="T9" s="1698"/>
      <c r="U9" s="1698"/>
    </row>
    <row r="10" spans="1:21" ht="15" thickTop="1">
      <c r="A10" s="1748" t="s">
        <v>2006</v>
      </c>
      <c r="B10" s="1723"/>
      <c r="C10" s="1680"/>
      <c r="D10" s="1671"/>
      <c r="E10" s="1681" t="s">
        <v>1953</v>
      </c>
      <c r="F10" s="1682"/>
      <c r="G10" s="1749"/>
      <c r="H10" s="1750"/>
      <c r="I10" s="1671"/>
      <c r="J10" s="1698"/>
      <c r="K10" s="1778"/>
      <c r="L10" s="1727"/>
      <c r="M10" s="1727"/>
      <c r="N10" s="1698"/>
      <c r="O10" s="1699"/>
      <c r="P10" s="1698"/>
      <c r="Q10" s="1698"/>
      <c r="R10" s="1698"/>
      <c r="S10" s="1698"/>
      <c r="T10" s="1698"/>
      <c r="U10" s="1698"/>
    </row>
    <row r="11" spans="1:21">
      <c r="A11" s="1701" t="s">
        <v>2007</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2065</v>
      </c>
      <c r="B12" s="3198"/>
      <c r="C12" s="3199"/>
      <c r="D12" s="3200"/>
      <c r="E12" s="1703" t="s">
        <v>2068</v>
      </c>
      <c r="F12" s="3216" t="s">
        <v>2903</v>
      </c>
      <c r="G12" s="3217"/>
      <c r="H12" s="3217"/>
      <c r="I12" s="3218"/>
      <c r="J12" s="1698"/>
      <c r="K12" s="1778"/>
      <c r="L12" s="1727"/>
      <c r="M12" s="1727"/>
      <c r="N12" s="1698"/>
      <c r="O12" s="1699"/>
      <c r="P12" s="1698"/>
      <c r="Q12" s="1698"/>
      <c r="R12" s="1698"/>
      <c r="S12" s="1698"/>
      <c r="T12" s="1698"/>
      <c r="U12" s="1698"/>
    </row>
    <row r="13" spans="1:21">
      <c r="A13" s="1691" t="s">
        <v>2066</v>
      </c>
      <c r="B13" s="3198"/>
      <c r="C13" s="3199"/>
      <c r="D13" s="3200"/>
      <c r="E13" s="1703" t="s">
        <v>2068</v>
      </c>
      <c r="F13" s="3216" t="s">
        <v>2904</v>
      </c>
      <c r="G13" s="3217"/>
      <c r="H13" s="3217"/>
      <c r="I13" s="3218"/>
      <c r="J13" s="1698"/>
      <c r="K13" s="1778"/>
      <c r="L13" s="1727"/>
      <c r="M13" s="1727"/>
      <c r="N13" s="1698"/>
      <c r="O13" s="1699"/>
      <c r="P13" s="1698"/>
      <c r="Q13" s="1698"/>
      <c r="R13" s="1698"/>
      <c r="S13" s="1698"/>
      <c r="T13" s="1698"/>
      <c r="U13" s="1698"/>
    </row>
    <row r="14" spans="1:21">
      <c r="A14" s="1665" t="s">
        <v>2069</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1956</v>
      </c>
      <c r="E15" s="1770" t="s">
        <v>1957</v>
      </c>
      <c r="F15" s="1770" t="s">
        <v>1958</v>
      </c>
      <c r="G15" s="1690" t="s">
        <v>1959</v>
      </c>
      <c r="H15" s="1690" t="s">
        <v>1960</v>
      </c>
      <c r="I15" s="1690" t="s">
        <v>1961</v>
      </c>
      <c r="J15" s="1698"/>
      <c r="K15" s="1778"/>
      <c r="L15" s="1727"/>
      <c r="M15" s="1727"/>
      <c r="N15" s="1698"/>
      <c r="O15" s="1699"/>
      <c r="P15" s="1698"/>
      <c r="Q15" s="1698"/>
      <c r="R15" s="1698"/>
      <c r="S15" s="1698"/>
      <c r="T15" s="1698"/>
      <c r="U15" s="1698"/>
    </row>
    <row r="16" spans="1:21">
      <c r="A16" s="1684" t="s">
        <v>1954</v>
      </c>
      <c r="B16" s="1685"/>
      <c r="C16" s="1703" t="s">
        <v>1955</v>
      </c>
      <c r="D16" s="2681" t="s">
        <v>1956</v>
      </c>
      <c r="E16" s="1726"/>
      <c r="F16" s="1726"/>
      <c r="G16" s="1726"/>
      <c r="H16" s="1726"/>
      <c r="I16" s="1690" t="s">
        <v>1961</v>
      </c>
      <c r="J16" s="1698"/>
      <c r="K16" s="2490" t="str">
        <f>IF(D17="","",D16&amp;TEXT(D17,"yyyy年m月d日;;"))</f>
        <v/>
      </c>
      <c r="L16" s="1703" t="str">
        <f>IF(OR(K16="",M16=""),"","、")</f>
        <v/>
      </c>
      <c r="M16" s="2490" t="str">
        <f>IF(E17="","",E16&amp;TEXT(E17,"yyyy年m月d日;;"))</f>
        <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1962</v>
      </c>
      <c r="D17" s="1704"/>
      <c r="E17" s="1704"/>
      <c r="F17" s="1704"/>
      <c r="G17" s="1704"/>
      <c r="H17" s="1704"/>
      <c r="I17" s="1704"/>
      <c r="J17" s="1698"/>
      <c r="K17" s="2489" t="str">
        <f>CONCATENATE(K16,L16,M16,N16,O16,P16,Q16,R16,S16,T16,,U16)</f>
        <v/>
      </c>
      <c r="L17" s="1727"/>
      <c r="M17" s="1727"/>
      <c r="N17" s="1698"/>
      <c r="O17" s="1699"/>
      <c r="P17" s="1698"/>
      <c r="Q17" s="1698"/>
      <c r="R17" s="1698"/>
      <c r="S17" s="1698"/>
      <c r="T17" s="1698"/>
      <c r="U17" s="1698"/>
    </row>
    <row r="18" spans="1:21">
      <c r="A18" s="1767"/>
      <c r="B18" s="1686"/>
      <c r="C18" s="1687" t="s">
        <v>1963</v>
      </c>
      <c r="D18" s="1688">
        <v>70</v>
      </c>
      <c r="E18" s="1688"/>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1964</v>
      </c>
      <c r="D19" s="1762">
        <f>IF(B16="出让",IF(D17="","",ROUNDDOWN(MIN((D17-$D$3)/365,D18),2)),D18)</f>
        <v>70</v>
      </c>
      <c r="E19" s="1689">
        <f>IF(B16="出让",IF(E17="","",ROUNDDOWN(MIN((E17-$D$3)/365,E18),2)),E18)</f>
        <v>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2067</v>
      </c>
      <c r="D20" s="3213"/>
      <c r="E20" s="3214"/>
      <c r="F20" s="3214"/>
      <c r="G20" s="3214"/>
      <c r="H20" s="3214"/>
      <c r="I20" s="3215"/>
      <c r="J20" s="1698"/>
      <c r="K20" s="1778"/>
      <c r="L20" s="1727"/>
      <c r="M20" s="1727"/>
      <c r="N20" s="1698"/>
      <c r="O20" s="1699"/>
      <c r="P20" s="1698"/>
      <c r="Q20" s="1698"/>
      <c r="R20" s="1698"/>
      <c r="S20" s="1698"/>
      <c r="T20" s="1698"/>
      <c r="U20" s="1698"/>
    </row>
    <row r="21" spans="1:21">
      <c r="A21" s="1767" t="s">
        <v>1965</v>
      </c>
      <c r="B21" s="1768" t="s">
        <v>1966</v>
      </c>
      <c r="C21" s="1763">
        <f>'数据-汇总表'!E3</f>
        <v>0</v>
      </c>
      <c r="D21" s="1764" t="s">
        <v>1967</v>
      </c>
      <c r="E21" s="3203" t="s">
        <v>2005</v>
      </c>
      <c r="F21" s="3204"/>
      <c r="G21" s="3204"/>
      <c r="H21" s="3204"/>
      <c r="I21" s="3205"/>
      <c r="J21" s="1698"/>
      <c r="K21" s="1778"/>
      <c r="L21" s="1727"/>
      <c r="M21" s="1727"/>
      <c r="N21" s="1698"/>
      <c r="O21" s="1699"/>
      <c r="P21" s="1698"/>
      <c r="Q21" s="1698"/>
      <c r="R21" s="1698"/>
      <c r="S21" s="1698"/>
      <c r="T21" s="1698"/>
      <c r="U21" s="1698"/>
    </row>
    <row r="22" spans="1:21">
      <c r="A22" s="2672" t="s">
        <v>955</v>
      </c>
      <c r="B22" s="1665" t="s">
        <v>1968</v>
      </c>
      <c r="C22" s="1690" t="e">
        <f>'数据-汇总表'!D3</f>
        <v>#DIV/0!</v>
      </c>
      <c r="D22" s="1691" t="s">
        <v>1967</v>
      </c>
      <c r="E22" s="3203" t="s">
        <v>2905</v>
      </c>
      <c r="F22" s="3204"/>
      <c r="G22" s="3204"/>
      <c r="H22" s="3204"/>
      <c r="I22" s="3205"/>
      <c r="J22" s="1698"/>
      <c r="K22" s="1778"/>
      <c r="L22" s="1727"/>
      <c r="M22" s="1727"/>
      <c r="N22" s="1698"/>
      <c r="O22" s="1699"/>
      <c r="P22" s="1698"/>
      <c r="Q22" s="1698"/>
      <c r="R22" s="1698"/>
      <c r="S22" s="1698"/>
      <c r="T22" s="1698"/>
      <c r="U22" s="1698"/>
    </row>
    <row r="23" spans="1:21" ht="43.5" thickBot="1">
      <c r="A23" s="1769" t="s">
        <v>1969</v>
      </c>
      <c r="B23" s="1705" t="s">
        <v>1970</v>
      </c>
      <c r="C23" s="1706"/>
      <c r="D23" s="1707" t="s">
        <v>1971</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1972</v>
      </c>
      <c r="B24" s="3206" t="s">
        <v>1973</v>
      </c>
      <c r="C24" s="3207"/>
      <c r="D24" s="3208" t="s">
        <v>1974</v>
      </c>
      <c r="E24" s="3209"/>
      <c r="F24" s="1712" t="s">
        <v>1975</v>
      </c>
      <c r="G24" s="1698"/>
      <c r="H24" s="1698"/>
      <c r="I24" s="1711"/>
      <c r="J24" s="1698"/>
      <c r="K24" s="3194" t="s">
        <v>1976</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2332</v>
      </c>
      <c r="C25" s="1713" t="s">
        <v>1977</v>
      </c>
      <c r="D25" s="1714"/>
      <c r="E25" s="1715" t="s">
        <v>955</v>
      </c>
      <c r="F25" s="1716"/>
      <c r="G25" s="1698"/>
      <c r="H25" s="1698"/>
      <c r="I25" s="1711"/>
      <c r="J25" s="1698"/>
      <c r="K25" s="3194"/>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1978</v>
      </c>
      <c r="C26" s="1713" t="s">
        <v>2333</v>
      </c>
      <c r="D26" s="1664"/>
      <c r="E26" s="1664"/>
      <c r="F26" s="1692"/>
      <c r="G26" s="1698"/>
      <c r="H26" s="1698"/>
      <c r="I26" s="1711"/>
      <c r="J26" s="1698"/>
      <c r="K26" s="3194"/>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1979</v>
      </c>
      <c r="B27" s="1757" t="s">
        <v>1980</v>
      </c>
      <c r="C27" s="1717"/>
      <c r="D27" s="2686" t="s">
        <v>1980</v>
      </c>
      <c r="E27" s="1718"/>
      <c r="F27" s="1692"/>
      <c r="G27" s="1698"/>
      <c r="H27" s="1698"/>
      <c r="I27" s="1711"/>
      <c r="J27" s="1698"/>
      <c r="K27" s="1778"/>
      <c r="L27" s="1727"/>
      <c r="M27" s="1727"/>
      <c r="N27" s="1698"/>
      <c r="O27" s="1699"/>
      <c r="P27" s="1698"/>
      <c r="Q27" s="1698"/>
      <c r="R27" s="1698"/>
      <c r="S27" s="1698"/>
      <c r="T27" s="1698"/>
      <c r="U27" s="1698"/>
    </row>
    <row r="28" spans="1:21">
      <c r="A28" s="1760"/>
      <c r="B28" s="1757" t="s">
        <v>1981</v>
      </c>
      <c r="C28" s="1719"/>
      <c r="D28" s="2687" t="s">
        <v>1981</v>
      </c>
      <c r="E28" s="1720"/>
      <c r="F28" s="1692"/>
      <c r="G28" s="1698"/>
      <c r="H28" s="1698"/>
      <c r="I28" s="1711"/>
      <c r="J28" s="1698"/>
      <c r="K28" s="1778"/>
      <c r="L28" s="1727"/>
      <c r="M28" s="1727"/>
      <c r="N28" s="1698"/>
      <c r="O28" s="1699"/>
      <c r="P28" s="1698"/>
      <c r="Q28" s="1698"/>
      <c r="R28" s="1698"/>
      <c r="S28" s="1698"/>
      <c r="T28" s="1698"/>
      <c r="U28" s="1698"/>
    </row>
    <row r="29" spans="1:21">
      <c r="A29" s="1760"/>
      <c r="B29" s="1757" t="s">
        <v>1982</v>
      </c>
      <c r="C29" s="1719"/>
      <c r="D29" s="2687" t="s">
        <v>1982</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1983</v>
      </c>
      <c r="C30" s="1721"/>
      <c r="D30" s="2688" t="s">
        <v>1983</v>
      </c>
      <c r="E30" s="1722"/>
      <c r="F30" s="1693"/>
      <c r="G30" s="1746"/>
      <c r="H30" s="1746"/>
      <c r="I30" s="1747"/>
      <c r="J30" s="1698"/>
      <c r="K30" s="1778"/>
      <c r="L30" s="1727"/>
      <c r="M30" s="1727"/>
      <c r="N30" s="1698"/>
      <c r="O30" s="1699"/>
      <c r="P30" s="1698"/>
      <c r="Q30" s="1698"/>
      <c r="R30" s="1698"/>
      <c r="S30" s="1698"/>
      <c r="T30" s="1698"/>
      <c r="U30" s="1698"/>
    </row>
    <row r="31" spans="1:21" ht="15" thickTop="1">
      <c r="A31" s="3221" t="s">
        <v>2008</v>
      </c>
      <c r="B31" s="1768" t="s">
        <v>2009</v>
      </c>
      <c r="C31" s="3219"/>
      <c r="D31" s="3220"/>
      <c r="E31" s="1698"/>
      <c r="F31" s="1698"/>
      <c r="G31" s="1698"/>
      <c r="H31" s="1698"/>
      <c r="I31" s="1711"/>
      <c r="J31" s="1698"/>
      <c r="K31" s="2492"/>
      <c r="L31" s="1698"/>
      <c r="M31" s="1698"/>
      <c r="N31" s="1698"/>
      <c r="O31" s="1698"/>
      <c r="P31" s="1698"/>
      <c r="Q31" s="1698"/>
      <c r="R31" s="1698"/>
      <c r="S31" s="1698"/>
      <c r="T31" s="1698"/>
      <c r="U31" s="1698"/>
    </row>
    <row r="32" spans="1:21">
      <c r="A32" s="3221"/>
      <c r="B32" s="1665" t="s">
        <v>2010</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21"/>
      <c r="B33" s="1665" t="s">
        <v>2011</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22"/>
      <c r="B34" s="1665" t="s">
        <v>2012</v>
      </c>
      <c r="C34" s="3223"/>
      <c r="D34" s="3224"/>
      <c r="E34" s="1698"/>
      <c r="F34" s="1698"/>
      <c r="G34" s="1698"/>
      <c r="H34" s="1698"/>
      <c r="I34" s="1711"/>
      <c r="J34" s="1698"/>
      <c r="K34" s="2492"/>
      <c r="L34" s="1698"/>
      <c r="M34" s="1698"/>
      <c r="N34" s="1698"/>
      <c r="O34" s="1698"/>
      <c r="P34" s="1698"/>
      <c r="Q34" s="1698"/>
      <c r="R34" s="1698"/>
      <c r="S34" s="1698"/>
      <c r="T34" s="1698"/>
      <c r="U34" s="1698"/>
    </row>
    <row r="35" spans="1:21">
      <c r="A35" s="3225" t="s">
        <v>850</v>
      </c>
      <c r="B35" s="1726"/>
      <c r="C35" s="1780" t="str">
        <f>IF(B35="场地平整","——","具体情况：")</f>
        <v>具体情况：</v>
      </c>
      <c r="D35" s="3227"/>
      <c r="E35" s="3228"/>
      <c r="F35" s="3228"/>
      <c r="G35" s="3228"/>
      <c r="H35" s="3228"/>
      <c r="I35" s="3229"/>
      <c r="J35" s="1698"/>
      <c r="K35" s="1779"/>
      <c r="L35" s="1727"/>
      <c r="M35" s="1727"/>
      <c r="N35" s="1698"/>
      <c r="O35" s="1699"/>
      <c r="P35" s="1698"/>
      <c r="Q35" s="1698"/>
      <c r="R35" s="1698"/>
      <c r="S35" s="1698"/>
      <c r="T35" s="1698"/>
      <c r="U35" s="1698"/>
    </row>
    <row r="36" spans="1:21">
      <c r="A36" s="3221"/>
      <c r="B36" s="3230" t="s">
        <v>2061</v>
      </c>
      <c r="C36" s="3231"/>
      <c r="D36" s="1796"/>
      <c r="E36" s="3232"/>
      <c r="F36" s="3232"/>
      <c r="G36" s="1691" t="str">
        <f>IF(B35="场地未平整","估价结果处理","")</f>
        <v/>
      </c>
      <c r="H36" s="3233"/>
      <c r="I36" s="3233"/>
      <c r="J36" s="1698"/>
      <c r="K36" s="1779"/>
      <c r="L36" s="1727"/>
      <c r="M36" s="1727"/>
      <c r="N36" s="1698"/>
      <c r="O36" s="1699"/>
      <c r="P36" s="1698"/>
      <c r="Q36" s="1698"/>
      <c r="R36" s="1698"/>
      <c r="S36" s="1698"/>
      <c r="T36" s="1698"/>
      <c r="U36" s="1698"/>
    </row>
    <row r="37" spans="1:21" ht="28.5">
      <c r="A37" s="3221"/>
      <c r="B37" s="3210"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21"/>
      <c r="B38" s="3211"/>
      <c r="C38" s="1673" t="s">
        <v>853</v>
      </c>
      <c r="D38" s="1795">
        <f>ROUNDDOWN(MIN(('数据-取费表'!$B$2-D37)/365,D34),1)</f>
        <v>0</v>
      </c>
      <c r="E38" s="1731" t="s">
        <v>854</v>
      </c>
      <c r="F38" s="1698"/>
      <c r="G38" s="1698"/>
      <c r="H38" s="1698"/>
      <c r="I38" s="1711"/>
      <c r="J38" s="1698"/>
      <c r="K38" s="1779"/>
      <c r="L38" s="1698"/>
      <c r="M38" s="1698"/>
      <c r="N38" s="1698"/>
      <c r="O38" s="1698"/>
      <c r="P38" s="1698"/>
      <c r="Q38" s="1698"/>
      <c r="R38" s="1698"/>
      <c r="S38" s="1698"/>
      <c r="T38" s="1698"/>
      <c r="U38" s="1698"/>
    </row>
    <row r="39" spans="1:21">
      <c r="A39" s="3222"/>
      <c r="B39" s="3212"/>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1984</v>
      </c>
      <c r="B40" s="1694"/>
      <c r="C40" s="1694"/>
      <c r="D40" s="1694"/>
      <c r="E40" s="1694"/>
      <c r="F40" s="1694"/>
      <c r="G40" s="1694"/>
      <c r="H40" s="1694"/>
      <c r="I40" s="1711"/>
      <c r="J40" s="1698"/>
      <c r="K40" s="1734">
        <f>COUNTIF(B40:H40,"——")</f>
        <v>0</v>
      </c>
      <c r="L40" s="1703" t="s">
        <v>1985</v>
      </c>
      <c r="M40" s="1700" t="s">
        <v>1986</v>
      </c>
      <c r="N40" s="1700" t="s">
        <v>1987</v>
      </c>
      <c r="O40" s="1700" t="s">
        <v>1988</v>
      </c>
      <c r="P40" s="1700" t="s">
        <v>1989</v>
      </c>
      <c r="Q40" s="1700" t="s">
        <v>1990</v>
      </c>
      <c r="R40" s="1700" t="s">
        <v>1991</v>
      </c>
      <c r="S40" s="3193" t="s">
        <v>1992</v>
      </c>
      <c r="T40" s="1735" t="str">
        <f>NUMBERSTRING(7-K40,1)&amp;"通"</f>
        <v>七通</v>
      </c>
      <c r="U40" s="1698"/>
    </row>
    <row r="41" spans="1:21">
      <c r="A41" s="1667"/>
      <c r="B41" s="3226" t="s">
        <v>1725</v>
      </c>
      <c r="C41" s="3226"/>
      <c r="D41" s="3226"/>
      <c r="E41" s="3226"/>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193"/>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2013</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2014</v>
      </c>
      <c r="B48" s="1690" t="s">
        <v>2015</v>
      </c>
      <c r="C48" s="1690" t="s">
        <v>2016</v>
      </c>
      <c r="D48" s="1690" t="s">
        <v>2017</v>
      </c>
      <c r="E48" s="1690" t="s">
        <v>2018</v>
      </c>
      <c r="F48" s="1690" t="s">
        <v>2019</v>
      </c>
      <c r="G48" s="1690" t="s">
        <v>2020</v>
      </c>
      <c r="H48" s="1690" t="s">
        <v>2021</v>
      </c>
      <c r="I48" s="1690" t="s">
        <v>2022</v>
      </c>
      <c r="J48" s="1776" t="s">
        <v>2023</v>
      </c>
      <c r="K48" s="1770" t="s">
        <v>2024</v>
      </c>
      <c r="L48" s="1770" t="s">
        <v>2025</v>
      </c>
      <c r="M48" s="1770" t="s">
        <v>2026</v>
      </c>
      <c r="N48" s="1690" t="s">
        <v>2027</v>
      </c>
      <c r="O48" s="1690" t="s">
        <v>2028</v>
      </c>
      <c r="P48" s="1690" t="s">
        <v>2029</v>
      </c>
      <c r="Q48" s="1703" t="s">
        <v>2030</v>
      </c>
      <c r="R48" s="1703" t="s">
        <v>2031</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U13" sqref="AU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2340</v>
      </c>
      <c r="BA2" s="2370" t="s">
        <v>2339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c r="B3" s="22">
        <f>IF(C3="否",G5-AT5,G5)</f>
        <v>0</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t="e">
        <f>IF(C3="是",ROUND($A$3*AT5/$B$3,2),0)</f>
        <v>#DIV/0!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c r="J10" s="51"/>
      <c r="K10" s="3059"/>
      <c r="L10" s="51"/>
      <c r="M10" s="3059"/>
      <c r="N10" s="51"/>
      <c r="O10" s="66"/>
      <c r="P10" s="51"/>
      <c r="Q10" s="66"/>
      <c r="R10" s="51"/>
      <c r="S10" s="66"/>
      <c r="T10" s="51"/>
      <c r="U10" s="66"/>
      <c r="V10" s="51"/>
      <c r="W10" s="66"/>
      <c r="X10" s="51"/>
      <c r="Y10" s="66"/>
      <c r="Z10" s="51"/>
      <c r="AA10" s="66"/>
      <c r="AB10" s="51"/>
      <c r="AC10" s="55"/>
      <c r="AD10" s="2323" t="s">
        <v>2324</v>
      </c>
      <c r="AE10" s="2345"/>
      <c r="AF10" s="2323" t="s">
        <v>2324</v>
      </c>
      <c r="AG10" s="2345"/>
      <c r="AH10" s="2323" t="s">
        <v>2325</v>
      </c>
      <c r="AI10" s="2345"/>
      <c r="AJ10" s="26" t="s">
        <v>2338</v>
      </c>
      <c r="AK10" s="2342"/>
      <c r="AL10" s="2323" t="s">
        <v>2326</v>
      </c>
      <c r="AM10" s="2324"/>
      <c r="AN10" s="26" t="s">
        <v>198</v>
      </c>
      <c r="AO10" s="61"/>
      <c r="AP10" s="1190" t="s">
        <v>199</v>
      </c>
      <c r="AQ10" s="1192"/>
      <c r="AR10" s="1190" t="s">
        <v>199</v>
      </c>
      <c r="AS10" s="1192"/>
      <c r="AT10" s="45"/>
      <c r="AU10" s="45"/>
      <c r="AV10" s="55"/>
      <c r="AW10" s="1006"/>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c r="J11" s="71"/>
      <c r="K11" s="3058"/>
      <c r="L11" s="71"/>
      <c r="M11" s="70"/>
      <c r="N11" s="71"/>
      <c r="O11" s="70"/>
      <c r="P11" s="71"/>
      <c r="Q11" s="70"/>
      <c r="R11" s="71"/>
      <c r="S11" s="70"/>
      <c r="T11" s="71"/>
      <c r="U11" s="70"/>
      <c r="V11" s="71"/>
      <c r="W11" s="70"/>
      <c r="X11" s="71"/>
      <c r="Y11" s="70"/>
      <c r="Z11" s="71"/>
      <c r="AA11" s="70"/>
      <c r="AB11" s="71"/>
      <c r="AC11" s="55"/>
      <c r="AD11" s="2343" t="s">
        <v>2337</v>
      </c>
      <c r="AE11" s="1005"/>
      <c r="AF11" s="2343" t="s">
        <v>2337</v>
      </c>
      <c r="AG11" s="1005"/>
      <c r="AH11" s="2343" t="s">
        <v>2336</v>
      </c>
      <c r="AI11" s="2344"/>
      <c r="AJ11" s="2343" t="s">
        <v>2336</v>
      </c>
      <c r="AK11" s="2342"/>
      <c r="AL11" s="1003"/>
      <c r="AM11" s="1005"/>
      <c r="AN11" s="1003"/>
      <c r="AO11" s="1005"/>
      <c r="AP11" s="1191"/>
      <c r="AQ11" s="1193"/>
      <c r="AR11" s="1191"/>
      <c r="AS11" s="1193"/>
      <c r="AT11" s="1006"/>
      <c r="AU11" s="45"/>
      <c r="AV11" s="55"/>
      <c r="AW11" s="1006"/>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c r="E13" s="27" t="e">
        <f t="shared" ref="E13:E20" si="6">IF($C$3="是",ROUND($A$3*G13/$B$3,2),ROUND($A$3*(G13-AT13)/$B$3,2))</f>
        <v>#DIV/0!</v>
      </c>
      <c r="F13" s="81"/>
      <c r="G13" s="82">
        <f t="shared" ref="G13:G20" si="7">H13+AC13+AT13</f>
        <v>0</v>
      </c>
      <c r="H13" s="33">
        <f t="shared" ref="H13:H20" si="8">SUMIF(I$12:AB$12,"总值",I13:AB13)</f>
        <v>0</v>
      </c>
      <c r="I13" s="3056"/>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t="e">
        <f t="shared" si="6"/>
        <v>#DIV/0!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t="e">
        <f t="shared" si="6"/>
        <v>#DIV/0!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t="e">
        <f t="shared" si="6"/>
        <v>#DIV/0!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t="e">
        <f t="shared" si="6"/>
        <v>#DIV/0!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t="e">
        <f t="shared" si="6"/>
        <v>#DIV/0!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t="e">
        <f t="shared" si="6"/>
        <v>#DIV/0!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t="e">
        <f t="shared" si="6"/>
        <v>#DIV/0!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t="e">
        <f t="shared" ref="E21:E112" si="33">IF($C$3="是",ROUND($A$3*G21/$B$3,2),ROUND($A$3*(G21-AT21)/$B$3,2))</f>
        <v>#DIV/0!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t="e">
        <f t="shared" si="33"/>
        <v>#DIV/0!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t="e">
        <f t="shared" si="33"/>
        <v>#DIV/0!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t="e">
        <f t="shared" si="33"/>
        <v>#DIV/0!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t="e">
        <f t="shared" si="33"/>
        <v>#DIV/0!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t="e">
        <f t="shared" si="33"/>
        <v>#DIV/0!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t="e">
        <f t="shared" si="33"/>
        <v>#DIV/0!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t="e">
        <f t="shared" si="33"/>
        <v>#DIV/0!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t="e">
        <f t="shared" si="33"/>
        <v>#DIV/0!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t="e">
        <f t="shared" si="33"/>
        <v>#DIV/0!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t="e">
        <f t="shared" si="33"/>
        <v>#DIV/0!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t="e">
        <f t="shared" si="33"/>
        <v>#DIV/0!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t="e">
        <f t="shared" si="33"/>
        <v>#DIV/0!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t="e">
        <f t="shared" si="33"/>
        <v>#DIV/0!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t="e">
        <f t="shared" si="33"/>
        <v>#DIV/0!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t="e">
        <f t="shared" si="33"/>
        <v>#DIV/0!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t="e">
        <f t="shared" si="33"/>
        <v>#DIV/0!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t="e">
        <f t="shared" si="33"/>
        <v>#DIV/0!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t="e">
        <f t="shared" si="33"/>
        <v>#DIV/0!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t="e">
        <f t="shared" si="33"/>
        <v>#DIV/0!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t="e">
        <f t="shared" si="33"/>
        <v>#DIV/0!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t="e">
        <f t="shared" si="33"/>
        <v>#DIV/0!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t="e">
        <f t="shared" si="33"/>
        <v>#DIV/0!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t="e">
        <f t="shared" si="33"/>
        <v>#DIV/0!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t="e">
        <f t="shared" si="33"/>
        <v>#DIV/0!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t="e">
        <f t="shared" si="33"/>
        <v>#DIV/0!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t="e">
        <f t="shared" si="33"/>
        <v>#DIV/0!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t="e">
        <f t="shared" si="33"/>
        <v>#DIV/0!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t="e">
        <f t="shared" si="33"/>
        <v>#DIV/0!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t="e">
        <f t="shared" si="33"/>
        <v>#DIV/0!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t="e">
        <f t="shared" si="33"/>
        <v>#DIV/0!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t="e">
        <f t="shared" si="33"/>
        <v>#DIV/0!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t="e">
        <f t="shared" si="33"/>
        <v>#DIV/0!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t="e">
        <f t="shared" si="33"/>
        <v>#DIV/0!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t="e">
        <f t="shared" si="33"/>
        <v>#DIV/0!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t="e">
        <f t="shared" ref="E113:E144" si="87">IF($C$3="是",ROUND($A$3*G113/$B$3,2),ROUND($A$3*(G113-AT113)/$B$3,2))</f>
        <v>#DIV/0!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t="e">
        <f t="shared" si="87"/>
        <v>#DIV/0!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t="e">
        <f t="shared" si="87"/>
        <v>#DIV/0!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t="e">
        <f t="shared" si="87"/>
        <v>#DIV/0!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t="e">
        <f t="shared" si="87"/>
        <v>#DIV/0!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t="e">
        <f t="shared" si="87"/>
        <v>#DIV/0!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t="e">
        <f t="shared" si="87"/>
        <v>#DIV/0!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t="e">
        <f t="shared" si="87"/>
        <v>#DIV/0!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t="e">
        <f t="shared" si="87"/>
        <v>#DIV/0!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t="e">
        <f t="shared" si="87"/>
        <v>#DIV/0!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t="e">
        <f t="shared" si="87"/>
        <v>#DIV/0!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t="e">
        <f t="shared" si="87"/>
        <v>#DIV/0!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t="e">
        <f t="shared" si="87"/>
        <v>#DIV/0!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t="e">
        <f t="shared" si="87"/>
        <v>#DIV/0!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t="e">
        <f t="shared" si="87"/>
        <v>#DIV/0!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t="e">
        <f t="shared" si="87"/>
        <v>#DIV/0!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t="e">
        <f t="shared" si="87"/>
        <v>#DIV/0!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t="e">
        <f t="shared" si="87"/>
        <v>#DIV/0!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t="e">
        <f t="shared" si="87"/>
        <v>#DIV/0!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t="e">
        <f t="shared" si="87"/>
        <v>#DIV/0!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t="e">
        <f t="shared" si="87"/>
        <v>#DIV/0!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t="e">
        <f t="shared" si="87"/>
        <v>#DIV/0!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t="e">
        <f t="shared" si="87"/>
        <v>#DIV/0!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t="e">
        <f t="shared" si="87"/>
        <v>#DIV/0!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t="e">
        <f t="shared" si="87"/>
        <v>#DIV/0!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t="e">
        <f t="shared" si="87"/>
        <v>#DIV/0!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t="e">
        <f t="shared" si="87"/>
        <v>#DIV/0!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t="e">
        <f t="shared" si="87"/>
        <v>#DIV/0!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t="e">
        <f t="shared" si="87"/>
        <v>#DIV/0!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t="e">
        <f t="shared" si="87"/>
        <v>#DIV/0!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t="e">
        <f t="shared" si="87"/>
        <v>#DIV/0!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t="e">
        <f t="shared" si="87"/>
        <v>#DIV/0!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t="e">
        <f t="shared" ref="E145:E176" si="116">IF($C$3="是",ROUND($A$3*G145/$B$3,2),ROUND($A$3*(G145-AT145)/$B$3,2))</f>
        <v>#DIV/0!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t="e">
        <f t="shared" si="116"/>
        <v>#DIV/0!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t="e">
        <f t="shared" si="116"/>
        <v>#DIV/0!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t="e">
        <f t="shared" ref="E205:E296" si="149">IF($C$3="是",ROUND($A$3*G205/$B$3,2),ROUND($A$3*(G205-AT205)/$B$3,2))</f>
        <v>#DIV/0!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t="e">
        <f t="shared" si="149"/>
        <v>#DIV/0!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t="e">
        <f t="shared" si="149"/>
        <v>#DIV/0!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t="e">
        <f t="shared" si="149"/>
        <v>#DIV/0!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t="e">
        <f t="shared" si="149"/>
        <v>#DIV/0!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t="e">
        <f t="shared" si="149"/>
        <v>#DIV/0!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t="e">
        <f t="shared" si="149"/>
        <v>#DIV/0!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t="e">
        <f t="shared" si="149"/>
        <v>#DIV/0!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t="e">
        <f t="shared" si="149"/>
        <v>#DIV/0!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t="e">
        <f t="shared" si="149"/>
        <v>#DIV/0!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t="e">
        <f t="shared" si="149"/>
        <v>#DIV/0!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t="e">
        <f t="shared" si="149"/>
        <v>#DIV/0!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t="e">
        <f t="shared" si="149"/>
        <v>#DIV/0!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t="e">
        <f t="shared" si="149"/>
        <v>#DIV/0!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t="e">
        <f t="shared" si="149"/>
        <v>#DIV/0!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t="e">
        <f t="shared" si="149"/>
        <v>#DIV/0!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t="e">
        <f t="shared" si="149"/>
        <v>#DIV/0!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t="e">
        <f t="shared" si="149"/>
        <v>#DIV/0!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t="e">
        <f t="shared" si="149"/>
        <v>#DIV/0!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t="e">
        <f t="shared" si="149"/>
        <v>#DIV/0!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t="e">
        <f t="shared" si="149"/>
        <v>#DIV/0!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t="e">
        <f t="shared" si="149"/>
        <v>#DIV/0!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t="e">
        <f t="shared" si="149"/>
        <v>#DIV/0!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t="e">
        <f t="shared" si="149"/>
        <v>#DIV/0!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t="e">
        <f t="shared" si="149"/>
        <v>#DIV/0!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t="e">
        <f t="shared" si="149"/>
        <v>#DIV/0!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t="e">
        <f t="shared" si="149"/>
        <v>#DIV/0!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t="e">
        <f t="shared" si="149"/>
        <v>#DIV/0!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t="e">
        <f t="shared" si="149"/>
        <v>#DIV/0!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t="e">
        <f t="shared" si="149"/>
        <v>#DIV/0!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t="e">
        <f t="shared" si="149"/>
        <v>#DIV/0!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t="e">
        <f t="shared" si="149"/>
        <v>#DIV/0!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t="e">
        <f t="shared" si="149"/>
        <v>#DIV/0!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t="e">
        <f t="shared" si="149"/>
        <v>#DIV/0!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t="e">
        <f t="shared" si="149"/>
        <v>#DIV/0!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t="e">
        <f t="shared" ref="E297:E328" si="203">IF($C$3="是",ROUND($A$3*G297/$B$3,2),ROUND($A$3*(G297-AT297)/$B$3,2))</f>
        <v>#DIV/0!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t="e">
        <f t="shared" si="203"/>
        <v>#DIV/0!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t="e">
        <f t="shared" si="203"/>
        <v>#DIV/0!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t="e">
        <f t="shared" si="203"/>
        <v>#DIV/0!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t="e">
        <f t="shared" si="203"/>
        <v>#DIV/0!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t="e">
        <f t="shared" si="203"/>
        <v>#DIV/0!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t="e">
        <f t="shared" si="203"/>
        <v>#DIV/0!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t="e">
        <f t="shared" si="203"/>
        <v>#DIV/0!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t="e">
        <f t="shared" si="203"/>
        <v>#DIV/0!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t="e">
        <f t="shared" si="203"/>
        <v>#DIV/0!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t="e">
        <f t="shared" si="203"/>
        <v>#DIV/0!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t="e">
        <f t="shared" si="203"/>
        <v>#DIV/0!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t="e">
        <f t="shared" si="203"/>
        <v>#DIV/0!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t="e">
        <f t="shared" si="203"/>
        <v>#DIV/0!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t="e">
        <f t="shared" si="203"/>
        <v>#DIV/0!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t="e">
        <f t="shared" si="203"/>
        <v>#DIV/0!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t="e">
        <f t="shared" si="203"/>
        <v>#DIV/0!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t="e">
        <f t="shared" si="203"/>
        <v>#DIV/0!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t="e">
        <f t="shared" si="203"/>
        <v>#DIV/0!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t="e">
        <f t="shared" si="203"/>
        <v>#DIV/0!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t="e">
        <f t="shared" si="203"/>
        <v>#DIV/0!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t="e">
        <f t="shared" si="203"/>
        <v>#DIV/0!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t="e">
        <f t="shared" si="203"/>
        <v>#DIV/0!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t="e">
        <f t="shared" si="203"/>
        <v>#DIV/0!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t="e">
        <f t="shared" si="203"/>
        <v>#DIV/0!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t="e">
        <f t="shared" si="203"/>
        <v>#DIV/0!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t="e">
        <f t="shared" si="203"/>
        <v>#DIV/0!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t="e">
        <f t="shared" si="203"/>
        <v>#DIV/0!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t="e">
        <f t="shared" si="203"/>
        <v>#DIV/0!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t="e">
        <f t="shared" si="203"/>
        <v>#DIV/0!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t="e">
        <f t="shared" si="203"/>
        <v>#DIV/0!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t="e">
        <f t="shared" si="203"/>
        <v>#DIV/0!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t="e">
        <f t="shared" ref="E329:E360" si="232">IF($C$3="是",ROUND($A$3*G329/$B$3,2),ROUND($A$3*(G329-AT329)/$B$3,2))</f>
        <v>#DIV/0!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t="e">
        <f t="shared" si="232"/>
        <v>#DIV/0!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t="e">
        <f t="shared" si="232"/>
        <v>#DIV/0!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t="e">
        <f t="shared" ref="E389:E480" si="265">IF($C$3="是",ROUND($A$3*G389/$B$3,2),ROUND($A$3*(G389-AT389)/$B$3,2))</f>
        <v>#DIV/0!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t="e">
        <f t="shared" si="265"/>
        <v>#DIV/0!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t="e">
        <f t="shared" si="265"/>
        <v>#DIV/0!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t="e">
        <f t="shared" si="265"/>
        <v>#DIV/0!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t="e">
        <f t="shared" si="265"/>
        <v>#DIV/0!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t="e">
        <f t="shared" si="265"/>
        <v>#DIV/0!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t="e">
        <f t="shared" si="265"/>
        <v>#DIV/0!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t="e">
        <f t="shared" si="265"/>
        <v>#DIV/0!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t="e">
        <f t="shared" si="265"/>
        <v>#DIV/0!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t="e">
        <f t="shared" si="265"/>
        <v>#DIV/0!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t="e">
        <f t="shared" si="265"/>
        <v>#DIV/0!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t="e">
        <f t="shared" si="265"/>
        <v>#DIV/0!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t="e">
        <f t="shared" si="265"/>
        <v>#DIV/0!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t="e">
        <f t="shared" si="265"/>
        <v>#DIV/0!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t="e">
        <f t="shared" si="265"/>
        <v>#DIV/0!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t="e">
        <f t="shared" si="265"/>
        <v>#DIV/0!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t="e">
        <f t="shared" si="265"/>
        <v>#DIV/0!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t="e">
        <f t="shared" si="265"/>
        <v>#DIV/0!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t="e">
        <f t="shared" si="265"/>
        <v>#DIV/0!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t="e">
        <f t="shared" si="265"/>
        <v>#DIV/0!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t="e">
        <f t="shared" si="265"/>
        <v>#DIV/0!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t="e">
        <f t="shared" si="265"/>
        <v>#DIV/0!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t="e">
        <f t="shared" si="265"/>
        <v>#DIV/0!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t="e">
        <f t="shared" si="265"/>
        <v>#DIV/0!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t="e">
        <f t="shared" si="265"/>
        <v>#DIV/0!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t="e">
        <f t="shared" si="265"/>
        <v>#DIV/0!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t="e">
        <f t="shared" si="265"/>
        <v>#DIV/0!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t="e">
        <f t="shared" si="265"/>
        <v>#DIV/0!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t="e">
        <f t="shared" si="265"/>
        <v>#DIV/0!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t="e">
        <f t="shared" si="265"/>
        <v>#DIV/0!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t="e">
        <f t="shared" si="265"/>
        <v>#DIV/0!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t="e">
        <f t="shared" si="265"/>
        <v>#DIV/0!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t="e">
        <f t="shared" si="265"/>
        <v>#DIV/0!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t="e">
        <f t="shared" si="265"/>
        <v>#DIV/0!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t="e">
        <f t="shared" si="265"/>
        <v>#DIV/0!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t="e">
        <f t="shared" ref="E481:E504" si="319">IF($C$3="是",ROUND($A$3*G481/$B$3,2),ROUND($A$3*(G481-AT481)/$B$3,2))</f>
        <v>#DIV/0!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t="e">
        <f t="shared" si="319"/>
        <v>#DIV/0!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t="e">
        <f t="shared" si="319"/>
        <v>#DIV/0!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t="e">
        <f t="shared" si="319"/>
        <v>#DIV/0!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t="e">
        <f t="shared" si="319"/>
        <v>#DIV/0!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t="e">
        <f t="shared" si="319"/>
        <v>#DIV/0!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t="e">
        <f t="shared" si="319"/>
        <v>#DIV/0!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t="e">
        <f t="shared" si="319"/>
        <v>#DIV/0!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t="e">
        <f t="shared" si="319"/>
        <v>#DIV/0!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t="e">
        <f t="shared" si="319"/>
        <v>#DIV/0!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t="e">
        <f t="shared" si="319"/>
        <v>#DIV/0!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t="e">
        <f t="shared" si="319"/>
        <v>#DIV/0!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t="e">
        <f t="shared" si="319"/>
        <v>#DIV/0!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t="e">
        <f t="shared" si="319"/>
        <v>#DIV/0!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t="e">
        <f t="shared" si="319"/>
        <v>#DIV/0!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t="e">
        <f t="shared" si="319"/>
        <v>#DIV/0!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t="e">
        <f t="shared" si="319"/>
        <v>#DIV/0!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t="e">
        <f t="shared" si="319"/>
        <v>#DIV/0!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t="e">
        <f t="shared" si="319"/>
        <v>#DIV/0!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t="e">
        <f t="shared" si="319"/>
        <v>#DIV/0!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t="e">
        <f t="shared" si="319"/>
        <v>#DIV/0!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t="e">
        <f t="shared" si="319"/>
        <v>#DIV/0!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t="e">
        <f t="shared" si="319"/>
        <v>#DIV/0!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t="e">
        <f t="shared" si="319"/>
        <v>#DIV/0!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t="e">
        <f t="shared" ref="E505:E536" si="323">IF($C$3="是",ROUND($A$3*G505/$B$3,2),ROUND($A$3*(G505-AT505)/$B$3,2))</f>
        <v>#DIV/0!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t="e">
        <f t="shared" si="323"/>
        <v>#DIV/0!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t="e">
        <f t="shared" si="323"/>
        <v>#DIV/0!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t="e">
        <f t="shared" si="323"/>
        <v>#DIV/0!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t="e">
        <f t="shared" si="323"/>
        <v>#DIV/0!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t="e">
        <f t="shared" si="323"/>
        <v>#DIV/0!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t="e">
        <f t="shared" si="323"/>
        <v>#DIV/0!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t="e">
        <f t="shared" si="323"/>
        <v>#DIV/0!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t="e">
        <f t="shared" si="323"/>
        <v>#DIV/0!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t="e">
        <f t="shared" si="323"/>
        <v>#DIV/0!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t="e">
        <f t="shared" si="323"/>
        <v>#DIV/0!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4" t="s">
        <v>0</v>
      </c>
      <c r="B1" s="3234" t="s">
        <v>4</v>
      </c>
      <c r="C1" s="3234" t="s">
        <v>5</v>
      </c>
      <c r="D1" s="3235" t="s">
        <v>40</v>
      </c>
      <c r="E1" s="3235" t="s">
        <v>41</v>
      </c>
      <c r="F1" s="3235"/>
      <c r="G1" s="3235"/>
      <c r="H1" s="3235"/>
      <c r="I1" s="3235"/>
      <c r="J1" s="3235"/>
      <c r="K1" s="3235"/>
      <c r="L1" s="3235"/>
      <c r="M1" s="3235"/>
    </row>
    <row r="2" spans="1:13" ht="27" customHeight="1">
      <c r="A2" s="3234"/>
      <c r="B2" s="3234"/>
      <c r="C2" s="3234"/>
      <c r="D2" s="3235"/>
      <c r="E2" s="3235" t="s">
        <v>24</v>
      </c>
      <c r="F2" s="3235" t="s">
        <v>25</v>
      </c>
      <c r="G2" s="3235"/>
      <c r="H2" s="3235"/>
      <c r="I2" s="3235"/>
      <c r="J2" s="3235" t="s">
        <v>26</v>
      </c>
      <c r="K2" s="3235"/>
      <c r="L2" s="3235"/>
      <c r="M2" s="3235"/>
    </row>
    <row r="3" spans="1:13" ht="28.5">
      <c r="A3" s="3234"/>
      <c r="B3" s="3234"/>
      <c r="C3" s="3234"/>
      <c r="D3" s="3235"/>
      <c r="E3" s="32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5" t="s">
        <v>42</v>
      </c>
      <c r="B9" s="3235"/>
      <c r="C9" s="32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45" t="s">
        <v>203</v>
      </c>
      <c r="B2" s="3245"/>
      <c r="C2" s="3245"/>
      <c r="D2" s="1980" t="s">
        <v>204</v>
      </c>
      <c r="E2" s="106" t="s">
        <v>205</v>
      </c>
      <c r="F2" s="1989"/>
      <c r="G2" s="1201"/>
      <c r="H2" s="1202"/>
      <c r="I2" s="1203" t="s">
        <v>860</v>
      </c>
      <c r="J2" s="1989"/>
      <c r="K2" s="1989"/>
      <c r="L2" s="1989"/>
    </row>
    <row r="3" spans="1:16" ht="15.75" thickBot="1">
      <c r="A3" s="3246" t="s">
        <v>206</v>
      </c>
      <c r="B3" s="3246"/>
      <c r="C3" s="3246"/>
      <c r="D3" s="107" t="e">
        <f>'数据-基础表'!AY6</f>
        <v>#DIV/0!</v>
      </c>
      <c r="E3" s="107">
        <f>'数据-基础表'!AZ5</f>
        <v>0</v>
      </c>
      <c r="F3" s="1989"/>
      <c r="G3" s="280" t="s">
        <v>861</v>
      </c>
      <c r="H3" s="275" t="s">
        <v>862</v>
      </c>
      <c r="I3" s="1981" t="e">
        <f>ROUND('数据-基础表'!B3/'数据-基础表'!A3,2)</f>
        <v>#DIV/0!</v>
      </c>
      <c r="J3" s="1989"/>
      <c r="K3" s="1989"/>
      <c r="L3" s="1989"/>
    </row>
    <row r="4" spans="1:16" ht="15">
      <c r="A4" s="3247"/>
      <c r="B4" s="3248"/>
      <c r="C4" s="3249"/>
      <c r="D4" s="108" t="s">
        <v>204</v>
      </c>
      <c r="E4" s="109" t="s">
        <v>205</v>
      </c>
      <c r="F4" s="1989"/>
      <c r="G4" s="1204"/>
      <c r="H4" s="275" t="s">
        <v>863</v>
      </c>
      <c r="I4" s="1981" t="e">
        <f>ROUND(SUMIF('数据-基础表'!I9:AS9,"地上",'数据-基础表'!I5:AS5)/'数据-基础表'!A3,2)</f>
        <v>#DIV/0!</v>
      </c>
      <c r="J4" s="1989"/>
      <c r="K4" s="1989"/>
      <c r="L4" s="1989"/>
    </row>
    <row r="5" spans="1:16">
      <c r="A5" s="110" t="s">
        <v>207</v>
      </c>
      <c r="B5" s="3250" t="s">
        <v>230</v>
      </c>
      <c r="C5" s="3250"/>
      <c r="D5" s="111" t="e">
        <f>ROUND($D$3*E5/$E$3,2)</f>
        <v>#DIV/0!</v>
      </c>
      <c r="E5" s="112">
        <f>SUMIF('数据-基础表'!$11:$11,"住宅",'数据-基础表'!$5:$5)</f>
        <v>0</v>
      </c>
      <c r="F5" s="1989"/>
      <c r="G5" s="280" t="s">
        <v>864</v>
      </c>
      <c r="H5" s="275" t="s">
        <v>862</v>
      </c>
      <c r="I5" s="1981" t="e">
        <f>ROUND(E31/D31,2)</f>
        <v>#DIV/0!</v>
      </c>
      <c r="J5" s="1989"/>
      <c r="K5" s="1989"/>
      <c r="L5" s="1989"/>
    </row>
    <row r="6" spans="1:16" ht="15" thickBot="1">
      <c r="A6" s="113"/>
      <c r="B6" s="3250" t="s">
        <v>208</v>
      </c>
      <c r="C6" s="3250"/>
      <c r="D6" s="111" t="e">
        <f>ROUND($D$3*E6/$E$3,2)</f>
        <v>#DIV/0!</v>
      </c>
      <c r="E6" s="112">
        <f>E3-E5</f>
        <v>0</v>
      </c>
      <c r="F6" s="1989"/>
      <c r="G6" s="1204"/>
      <c r="H6" s="275" t="s">
        <v>863</v>
      </c>
      <c r="I6" s="1981" t="e">
        <f>ROUND(F31/D31,2)</f>
        <v>#DIV/0!</v>
      </c>
      <c r="J6" s="1989"/>
      <c r="K6" s="1989"/>
      <c r="L6" s="1989"/>
    </row>
    <row r="7" spans="1:16" ht="15">
      <c r="A7" s="3242"/>
      <c r="B7" s="3243"/>
      <c r="C7" s="3244"/>
      <c r="D7" s="108" t="s">
        <v>204</v>
      </c>
      <c r="E7" s="114" t="s">
        <v>231</v>
      </c>
      <c r="F7" s="1989"/>
      <c r="G7" s="1159" t="s">
        <v>1649</v>
      </c>
      <c r="H7" s="1160"/>
      <c r="I7" s="1851">
        <v>4</v>
      </c>
      <c r="J7" s="1989"/>
      <c r="K7" s="1989"/>
      <c r="L7" s="1989"/>
    </row>
    <row r="8" spans="1:16">
      <c r="A8" s="110" t="s">
        <v>209</v>
      </c>
      <c r="B8" s="115" t="s">
        <v>210</v>
      </c>
      <c r="C8" s="111" t="s">
        <v>211</v>
      </c>
      <c r="D8" s="111" t="e">
        <f t="shared" ref="D8:D15" si="0">ROUND($D$3*E8/$E$3,2)</f>
        <v>#DIV/0!</v>
      </c>
      <c r="E8" s="116">
        <f>SUMIF('数据-基础表'!BB10:BK10,"地上",'数据-基础表'!BB5:BK5)</f>
        <v>0</v>
      </c>
      <c r="F8" s="1989"/>
      <c r="G8" s="1991"/>
      <c r="H8" s="1991"/>
      <c r="I8" s="1989"/>
      <c r="J8" s="1989"/>
      <c r="K8" s="1989"/>
      <c r="L8" s="1989"/>
    </row>
    <row r="9" spans="1:16">
      <c r="A9" s="117"/>
      <c r="B9" s="118"/>
      <c r="C9" s="111" t="s">
        <v>212</v>
      </c>
      <c r="D9" s="111" t="e">
        <f t="shared" si="0"/>
        <v>#DIV/0!</v>
      </c>
      <c r="E9" s="119">
        <v>0</v>
      </c>
      <c r="F9" s="1989"/>
      <c r="G9" s="1991"/>
      <c r="H9" s="1991"/>
      <c r="I9" s="1989"/>
      <c r="J9" s="1989"/>
      <c r="K9" s="1989"/>
      <c r="L9" s="1989"/>
    </row>
    <row r="10" spans="1:16">
      <c r="A10" s="117"/>
      <c r="B10" s="118"/>
      <c r="C10" s="111" t="s">
        <v>213</v>
      </c>
      <c r="D10" s="111" t="e">
        <f t="shared" si="0"/>
        <v>#DIV/0!</v>
      </c>
      <c r="E10" s="116">
        <f>SUMPRODUCT(('数据-基础表'!BB10:BK10="地下")*('数据-基础表'!BB11:BK11="商业")*('数据-基础表'!BB5:BK5))</f>
        <v>0</v>
      </c>
      <c r="F10" s="1989"/>
      <c r="G10" s="1991"/>
      <c r="H10" s="1991"/>
      <c r="I10" s="1989"/>
      <c r="J10" s="1989"/>
      <c r="K10" s="1989"/>
      <c r="L10" s="1989"/>
    </row>
    <row r="11" spans="1:16">
      <c r="A11" s="117"/>
      <c r="B11" s="118"/>
      <c r="C11" s="2340" t="s">
        <v>2334</v>
      </c>
      <c r="D11" s="111" t="e">
        <f t="shared" si="0"/>
        <v>#DIV/0!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t="e">
        <f t="shared" si="0"/>
        <v>#DIV/0!</v>
      </c>
      <c r="E12" s="116">
        <f>SUMPRODUCT(('数据-基础表'!BB10:BK10="地下")*('数据-基础表'!BB11:BK11="仓储")*('数据-基础表'!BB5:BK5))</f>
        <v>0</v>
      </c>
      <c r="F12" s="1989"/>
      <c r="G12" s="1991"/>
      <c r="H12" s="1991"/>
      <c r="I12" s="1989"/>
      <c r="J12" s="1989"/>
      <c r="K12" s="1989"/>
      <c r="L12" s="1989"/>
    </row>
    <row r="13" spans="1:16">
      <c r="A13" s="117"/>
      <c r="B13" s="118"/>
      <c r="C13" s="2340" t="s">
        <v>2341</v>
      </c>
      <c r="D13" s="111" t="e">
        <f t="shared" si="0"/>
        <v>#DIV/0!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t="e">
        <f t="shared" si="0"/>
        <v>#DIV/0!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t="e">
        <f t="shared" si="0"/>
        <v>#DIV/0!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t="e">
        <f>SUM(D8:D15)</f>
        <v>#DIV/0!</v>
      </c>
      <c r="E16" s="120">
        <f>SUM(E8:E15)</f>
        <v>0</v>
      </c>
      <c r="F16" s="1989"/>
      <c r="G16" s="1991"/>
      <c r="H16" s="971" t="s">
        <v>219</v>
      </c>
      <c r="I16" s="972"/>
      <c r="J16" s="1989"/>
      <c r="K16" s="3236" t="s">
        <v>2576</v>
      </c>
      <c r="L16" s="3237"/>
      <c r="M16" s="3237"/>
      <c r="N16" s="3237"/>
      <c r="O16" s="3237"/>
      <c r="P16" s="3238"/>
    </row>
    <row r="17" spans="1:19" ht="15">
      <c r="A17" s="121" t="s">
        <v>216</v>
      </c>
      <c r="B17" s="122" t="s">
        <v>217</v>
      </c>
      <c r="C17" s="2307" t="s">
        <v>2320</v>
      </c>
      <c r="D17" s="108" t="s">
        <v>204</v>
      </c>
      <c r="E17" s="124" t="s">
        <v>205</v>
      </c>
      <c r="F17" s="125"/>
      <c r="G17" s="1370"/>
      <c r="H17" s="973" t="s">
        <v>218</v>
      </c>
      <c r="I17" s="974" t="s">
        <v>2319</v>
      </c>
      <c r="J17" s="1989"/>
      <c r="K17" s="3239" t="s">
        <v>2577</v>
      </c>
      <c r="L17" s="3240"/>
      <c r="M17" s="3241"/>
      <c r="N17" s="3239" t="s">
        <v>2578</v>
      </c>
      <c r="O17" s="3240"/>
      <c r="P17" s="3241"/>
      <c r="R17" s="2308" t="s">
        <v>2318</v>
      </c>
      <c r="S17" s="144"/>
    </row>
    <row r="18" spans="1:19" ht="15">
      <c r="A18" s="117"/>
      <c r="B18" s="128"/>
      <c r="C18" s="129"/>
      <c r="D18" s="2677"/>
      <c r="E18" s="130" t="s">
        <v>220</v>
      </c>
      <c r="F18" s="131" t="s">
        <v>221</v>
      </c>
      <c r="G18" s="1371" t="s">
        <v>222</v>
      </c>
      <c r="H18" s="975" t="s">
        <v>223</v>
      </c>
      <c r="I18" s="976" t="s">
        <v>224</v>
      </c>
      <c r="J18" s="1989"/>
      <c r="K18" s="2639" t="s">
        <v>2579</v>
      </c>
      <c r="L18" s="2640" t="s">
        <v>2580</v>
      </c>
      <c r="M18" s="2641" t="s">
        <v>2581</v>
      </c>
      <c r="N18" s="2639" t="s">
        <v>2579</v>
      </c>
      <c r="O18" s="2640" t="s">
        <v>2580</v>
      </c>
      <c r="P18" s="2641" t="s">
        <v>2581</v>
      </c>
      <c r="R18" s="2309" t="s">
        <v>2316</v>
      </c>
      <c r="S18" s="2309" t="s">
        <v>2317</v>
      </c>
    </row>
    <row r="19" spans="1:19">
      <c r="A19" s="133"/>
      <c r="B19" s="115" t="s">
        <v>225</v>
      </c>
      <c r="C19" s="3063"/>
      <c r="D19" s="111" t="e">
        <f t="shared" ref="D19:D26" si="1">ROUND($D$3*E19/$E$3,2)</f>
        <v>#DIV/0!</v>
      </c>
      <c r="E19" s="134">
        <f t="shared" ref="E19:E26" si="2">SUM(F19:G19)</f>
        <v>0</v>
      </c>
      <c r="F19" s="135"/>
      <c r="G19" s="1372"/>
      <c r="H19" s="977" t="e">
        <f>ROUND($D$3*I19/$E$3,2)</f>
        <v>#DIV/0!</v>
      </c>
      <c r="I19" s="116" t="e">
        <f>IF($I$17="自定义",P19,M19)</f>
        <v>#DIV/0!</v>
      </c>
      <c r="J19" s="1989"/>
      <c r="K19" s="2642" t="e">
        <f t="shared" ref="K19:K26" si="3">ROUND(E$28*E19/E$27,2)</f>
        <v>#DIV/0!</v>
      </c>
      <c r="L19" s="275">
        <f t="shared" ref="L19:L26" si="4">ROUND(IF(COUNTIF(C19,"*住宅*")&gt;0,E$29*E19/E$32,0),2)</f>
        <v>0</v>
      </c>
      <c r="M19" s="2643" t="e">
        <f>K19+L19</f>
        <v>#DIV/0!</v>
      </c>
      <c r="N19" s="2644"/>
      <c r="O19" s="2645"/>
      <c r="P19" s="2646">
        <f>N19+O19</f>
        <v>0</v>
      </c>
      <c r="R19" s="275" t="e">
        <f t="shared" ref="R19:S26" si="5">D19+H19</f>
        <v>#DIV/0!</v>
      </c>
      <c r="S19" s="2310" t="e">
        <f t="shared" si="5"/>
        <v>#DIV/0!</v>
      </c>
    </row>
    <row r="20" spans="1:19">
      <c r="A20" s="138"/>
      <c r="B20" s="115" t="s">
        <v>226</v>
      </c>
      <c r="C20" s="3063"/>
      <c r="D20" s="111" t="e">
        <f t="shared" si="1"/>
        <v>#DIV/0!</v>
      </c>
      <c r="E20" s="134">
        <f t="shared" si="2"/>
        <v>0</v>
      </c>
      <c r="F20" s="135"/>
      <c r="G20" s="1372"/>
      <c r="H20" s="977" t="e">
        <f t="shared" ref="H20:H26" si="6">ROUND($D$3*I20/$E$3,2)</f>
        <v>#DIV/0!</v>
      </c>
      <c r="I20" s="116" t="e">
        <f t="shared" ref="I20:I26" si="7">IF($I$17="自定义",P20,M20)</f>
        <v>#DIV/0!</v>
      </c>
      <c r="J20" s="1989"/>
      <c r="K20" s="2642" t="e">
        <f t="shared" si="3"/>
        <v>#DIV/0!</v>
      </c>
      <c r="L20" s="275">
        <f t="shared" si="4"/>
        <v>0</v>
      </c>
      <c r="M20" s="2643" t="e">
        <f t="shared" ref="M20:M26" si="8">K20+L20</f>
        <v>#DIV/0!</v>
      </c>
      <c r="N20" s="2644"/>
      <c r="O20" s="2645"/>
      <c r="P20" s="2646">
        <f t="shared" ref="P20:P26" si="9">N20+O20</f>
        <v>0</v>
      </c>
      <c r="R20" s="275" t="e">
        <f t="shared" si="5"/>
        <v>#DIV/0!</v>
      </c>
      <c r="S20" s="2310" t="e">
        <f t="shared" si="5"/>
        <v>#DIV/0!</v>
      </c>
    </row>
    <row r="21" spans="1:19">
      <c r="A21" s="138"/>
      <c r="B21" s="115" t="s">
        <v>226</v>
      </c>
      <c r="C21" s="3063"/>
      <c r="D21" s="111" t="e">
        <f t="shared" si="1"/>
        <v>#DIV/0!</v>
      </c>
      <c r="E21" s="134">
        <f t="shared" si="2"/>
        <v>0</v>
      </c>
      <c r="F21" s="135"/>
      <c r="G21" s="1372"/>
      <c r="H21" s="977" t="e">
        <f t="shared" si="6"/>
        <v>#DIV/0!</v>
      </c>
      <c r="I21" s="116" t="e">
        <f t="shared" si="7"/>
        <v>#DIV/0!</v>
      </c>
      <c r="J21" s="1989"/>
      <c r="K21" s="2642" t="e">
        <f t="shared" si="3"/>
        <v>#DIV/0!</v>
      </c>
      <c r="L21" s="275">
        <f t="shared" si="4"/>
        <v>0</v>
      </c>
      <c r="M21" s="2643" t="e">
        <f t="shared" si="8"/>
        <v>#DIV/0!</v>
      </c>
      <c r="N21" s="2644"/>
      <c r="O21" s="2645"/>
      <c r="P21" s="2646">
        <f t="shared" si="9"/>
        <v>0</v>
      </c>
      <c r="R21" s="275" t="e">
        <f t="shared" si="5"/>
        <v>#DIV/0!</v>
      </c>
      <c r="S21" s="2310" t="e">
        <f t="shared" si="5"/>
        <v>#DIV/0!</v>
      </c>
    </row>
    <row r="22" spans="1:19">
      <c r="A22" s="138"/>
      <c r="B22" s="115" t="s">
        <v>226</v>
      </c>
      <c r="C22" s="1369"/>
      <c r="D22" s="111" t="e">
        <f t="shared" si="1"/>
        <v>#DIV/0!</v>
      </c>
      <c r="E22" s="134">
        <f t="shared" si="2"/>
        <v>0</v>
      </c>
      <c r="F22" s="140"/>
      <c r="G22" s="1373"/>
      <c r="H22" s="977" t="e">
        <f t="shared" si="6"/>
        <v>#DIV/0!</v>
      </c>
      <c r="I22" s="116" t="e">
        <f t="shared" si="7"/>
        <v>#DIV/0!</v>
      </c>
      <c r="J22" s="1989"/>
      <c r="K22" s="2642" t="e">
        <f t="shared" si="3"/>
        <v>#DIV/0!</v>
      </c>
      <c r="L22" s="275">
        <f t="shared" si="4"/>
        <v>0</v>
      </c>
      <c r="M22" s="2643" t="e">
        <f t="shared" si="8"/>
        <v>#DIV/0!</v>
      </c>
      <c r="N22" s="2644"/>
      <c r="O22" s="2645"/>
      <c r="P22" s="2646">
        <f t="shared" si="9"/>
        <v>0</v>
      </c>
      <c r="R22" s="275" t="e">
        <f t="shared" si="5"/>
        <v>#DIV/0!</v>
      </c>
      <c r="S22" s="2310" t="e">
        <f t="shared" si="5"/>
        <v>#DIV/0!</v>
      </c>
    </row>
    <row r="23" spans="1:19">
      <c r="A23" s="138"/>
      <c r="B23" s="115" t="s">
        <v>226</v>
      </c>
      <c r="C23" s="139"/>
      <c r="D23" s="111" t="e">
        <f>ROUND($D$3*E23/$E$3,2)</f>
        <v>#DIV/0!</v>
      </c>
      <c r="E23" s="134">
        <f>SUM(F23:G23)</f>
        <v>0</v>
      </c>
      <c r="F23" s="140"/>
      <c r="G23" s="1373"/>
      <c r="H23" s="977" t="e">
        <f>ROUND($D$3*I23/$E$3,2)</f>
        <v>#DIV/0!</v>
      </c>
      <c r="I23" s="116" t="e">
        <f t="shared" si="7"/>
        <v>#DIV/0!</v>
      </c>
      <c r="J23" s="1989"/>
      <c r="K23" s="2642" t="e">
        <f t="shared" si="3"/>
        <v>#DIV/0!</v>
      </c>
      <c r="L23" s="275">
        <f t="shared" si="4"/>
        <v>0</v>
      </c>
      <c r="M23" s="2643" t="e">
        <f t="shared" si="8"/>
        <v>#DIV/0!</v>
      </c>
      <c r="N23" s="2644"/>
      <c r="O23" s="2645"/>
      <c r="P23" s="2646">
        <f t="shared" si="9"/>
        <v>0</v>
      </c>
      <c r="R23" s="275" t="e">
        <f t="shared" si="5"/>
        <v>#DIV/0!</v>
      </c>
      <c r="S23" s="2310" t="e">
        <f t="shared" si="5"/>
        <v>#DIV/0!</v>
      </c>
    </row>
    <row r="24" spans="1:19">
      <c r="A24" s="138"/>
      <c r="B24" s="115" t="s">
        <v>226</v>
      </c>
      <c r="C24" s="139"/>
      <c r="D24" s="111" t="e">
        <f>ROUND($D$3*E24/$E$3,2)</f>
        <v>#DIV/0!</v>
      </c>
      <c r="E24" s="134">
        <f>SUM(F24:G24)</f>
        <v>0</v>
      </c>
      <c r="F24" s="140"/>
      <c r="G24" s="1373"/>
      <c r="H24" s="977" t="e">
        <f>ROUND($D$3*I24/$E$3,2)</f>
        <v>#DIV/0!</v>
      </c>
      <c r="I24" s="116" t="e">
        <f t="shared" si="7"/>
        <v>#DIV/0!</v>
      </c>
      <c r="J24" s="1989"/>
      <c r="K24" s="2642" t="e">
        <f t="shared" si="3"/>
        <v>#DIV/0!</v>
      </c>
      <c r="L24" s="275">
        <f t="shared" si="4"/>
        <v>0</v>
      </c>
      <c r="M24" s="2643" t="e">
        <f t="shared" si="8"/>
        <v>#DIV/0!</v>
      </c>
      <c r="N24" s="2644"/>
      <c r="O24" s="2645"/>
      <c r="P24" s="2646">
        <f t="shared" si="9"/>
        <v>0</v>
      </c>
      <c r="R24" s="275" t="e">
        <f t="shared" si="5"/>
        <v>#DIV/0!</v>
      </c>
      <c r="S24" s="2310" t="e">
        <f t="shared" si="5"/>
        <v>#DIV/0!</v>
      </c>
    </row>
    <row r="25" spans="1:19">
      <c r="A25" s="138"/>
      <c r="B25" s="115" t="s">
        <v>226</v>
      </c>
      <c r="C25" s="139"/>
      <c r="D25" s="111" t="e">
        <f t="shared" si="1"/>
        <v>#DIV/0!</v>
      </c>
      <c r="E25" s="134">
        <f t="shared" si="2"/>
        <v>0</v>
      </c>
      <c r="F25" s="140"/>
      <c r="G25" s="1373"/>
      <c r="H25" s="110" t="e">
        <f t="shared" si="6"/>
        <v>#DIV/0!</v>
      </c>
      <c r="I25" s="116" t="e">
        <f t="shared" si="7"/>
        <v>#DIV/0!</v>
      </c>
      <c r="J25" s="1989"/>
      <c r="K25" s="2642" t="e">
        <f t="shared" si="3"/>
        <v>#DIV/0!</v>
      </c>
      <c r="L25" s="275">
        <f t="shared" si="4"/>
        <v>0</v>
      </c>
      <c r="M25" s="2643" t="e">
        <f t="shared" si="8"/>
        <v>#DIV/0!</v>
      </c>
      <c r="N25" s="2644"/>
      <c r="O25" s="2645"/>
      <c r="P25" s="2646">
        <f t="shared" si="9"/>
        <v>0</v>
      </c>
      <c r="R25" s="275" t="e">
        <f t="shared" si="5"/>
        <v>#DIV/0!</v>
      </c>
      <c r="S25" s="2310" t="e">
        <f t="shared" si="5"/>
        <v>#DIV/0!</v>
      </c>
    </row>
    <row r="26" spans="1:19">
      <c r="A26" s="138"/>
      <c r="B26" s="115" t="s">
        <v>226</v>
      </c>
      <c r="C26" s="142"/>
      <c r="D26" s="111" t="e">
        <f t="shared" si="1"/>
        <v>#DIV/0!</v>
      </c>
      <c r="E26" s="134">
        <f t="shared" si="2"/>
        <v>0</v>
      </c>
      <c r="F26" s="140"/>
      <c r="G26" s="1373"/>
      <c r="H26" s="110" t="e">
        <f t="shared" si="6"/>
        <v>#DIV/0!</v>
      </c>
      <c r="I26" s="116" t="e">
        <f t="shared" si="7"/>
        <v>#DIV/0!</v>
      </c>
      <c r="J26" s="1989"/>
      <c r="K26" s="2647" t="e">
        <f t="shared" si="3"/>
        <v>#DIV/0!</v>
      </c>
      <c r="L26" s="280">
        <f t="shared" si="4"/>
        <v>0</v>
      </c>
      <c r="M26" s="146" t="e">
        <f t="shared" si="8"/>
        <v>#DIV/0!</v>
      </c>
      <c r="N26" s="2648"/>
      <c r="O26" s="2649"/>
      <c r="P26" s="2650">
        <f t="shared" si="9"/>
        <v>0</v>
      </c>
      <c r="R26" s="275" t="e">
        <f t="shared" si="5"/>
        <v>#DIV/0!</v>
      </c>
      <c r="S26" s="2310"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8" t="e">
        <f>SUM(H19:H26)</f>
        <v>#DIV/0!</v>
      </c>
      <c r="I27" s="979" t="e">
        <f>SUM(I19:I26)</f>
        <v>#DIV/0!</v>
      </c>
      <c r="J27" s="1989"/>
      <c r="K27" s="2651" t="e">
        <f>SUM(K19:K26)</f>
        <v>#DIV/0!</v>
      </c>
      <c r="L27" s="2652">
        <f>SUM(L19:L26)</f>
        <v>0</v>
      </c>
      <c r="M27" s="2653" t="e">
        <f>SUM(M19:M26)</f>
        <v>#DIV/0!</v>
      </c>
      <c r="N27" s="2651">
        <f t="shared" ref="N27:O27" si="10">SUM(N19:N26)</f>
        <v>0</v>
      </c>
      <c r="O27" s="2652">
        <f t="shared" si="10"/>
        <v>0</v>
      </c>
      <c r="P27" s="2654">
        <f>SUM(P19:P26)</f>
        <v>0</v>
      </c>
      <c r="R27" s="2314"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2327</v>
      </c>
      <c r="D29" s="111" t="e">
        <f>ROUND($D$3*E29/$E$3,2)</f>
        <v>#DIV/0!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t="e">
        <f>SUM(D28:D29)</f>
        <v>#DIV/0!</v>
      </c>
      <c r="E30" s="134">
        <f>SUM(E28:E29)</f>
        <v>0</v>
      </c>
      <c r="F30" s="134">
        <f>SUM(F28:F29)</f>
        <v>0</v>
      </c>
      <c r="G30" s="112">
        <f>SUM(G28:G29)</f>
        <v>0</v>
      </c>
      <c r="H30" s="1989"/>
      <c r="I30" s="1989"/>
      <c r="J30" s="1989"/>
      <c r="K30" s="1989"/>
      <c r="L30" s="1989"/>
    </row>
    <row r="31" spans="1:19" ht="32.25" customHeight="1" thickBot="1">
      <c r="A31" s="1374"/>
      <c r="B31" s="1375" t="s">
        <v>229</v>
      </c>
      <c r="C31" s="2339" t="s">
        <v>2329</v>
      </c>
      <c r="D31" s="1376" t="e">
        <f>D27+D30</f>
        <v>#DIV/0!</v>
      </c>
      <c r="E31" s="1376">
        <f>E27+E30</f>
        <v>0</v>
      </c>
      <c r="F31" s="1377">
        <f>F27+F30</f>
        <v>0</v>
      </c>
      <c r="G31" s="1378">
        <f>G27+G30</f>
        <v>0</v>
      </c>
      <c r="H31" s="1989"/>
      <c r="I31" s="1989"/>
      <c r="J31" s="1989"/>
      <c r="K31" s="1989"/>
      <c r="L31" s="1989"/>
    </row>
    <row r="32" spans="1:19">
      <c r="A32" s="1989"/>
      <c r="B32" s="2372" t="s">
        <v>2328</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5" activePane="bottomRight" state="frozen"/>
      <selection pane="topRight" activeCell="D1" sqref="D1"/>
      <selection pane="bottomLeft" activeCell="A4" sqref="A4"/>
      <selection pane="bottomRight" activeCell="C42" sqref="C4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0</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2331</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2841</v>
      </c>
      <c r="O5" s="163" t="s">
        <v>246</v>
      </c>
      <c r="P5" s="165" t="s">
        <v>247</v>
      </c>
      <c r="Q5" s="166" t="s">
        <v>248</v>
      </c>
      <c r="R5" s="167" t="s">
        <v>249</v>
      </c>
      <c r="S5" s="2655" t="s">
        <v>2582</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2330</v>
      </c>
      <c r="AI5" s="171" t="s">
        <v>2299</v>
      </c>
      <c r="AJ5" s="171" t="s">
        <v>258</v>
      </c>
      <c r="AK5" s="159" t="s">
        <v>259</v>
      </c>
      <c r="AL5" s="159" t="s">
        <v>260</v>
      </c>
      <c r="AM5" s="172" t="s">
        <v>261</v>
      </c>
      <c r="AN5" s="2425" t="s">
        <v>2381</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f>'数据-汇总表'!C19</f>
        <v>0</v>
      </c>
      <c r="B6" s="2346" t="str">
        <f>IF(A6=0,"","经营性")</f>
        <v/>
      </c>
      <c r="C6" s="173"/>
      <c r="D6" s="2317">
        <f>SUMIF(项目基本情况!D$15:I$15,C6,项目基本情况!D$18:I$18)</f>
        <v>0</v>
      </c>
      <c r="E6" s="2318" t="str">
        <f>IF(B6="","",SUMIF(项目基本情况!D$15:I$15,C6,项目基本情况!D$17:I$17))</f>
        <v/>
      </c>
      <c r="F6" s="174">
        <f>SUMIF(项目基本情况!D$15:I$15,C6,项目基本情况!D$19:I$19)</f>
        <v>0</v>
      </c>
      <c r="G6" s="175">
        <f>IF(ISERROR(ROUND(POWER(1+H6,D6-F6)*(POWER(1+H6,F6)-1)/(POWER(1+H6,D6)-1),3)),0,ROUND(POWER(1+H6,D6-F6)*(POWER(1+H6,F6)-1)/(POWER(1+H6,D6)-1),3))</f>
        <v>0</v>
      </c>
      <c r="H6" s="3064"/>
      <c r="I6" s="3064"/>
      <c r="J6" s="176"/>
      <c r="K6" s="179">
        <f>SUMIF('数据-汇总表'!C$19:C$33,'数据-取费表'!A6,'数据-汇总表'!E$19:E$33)</f>
        <v>0</v>
      </c>
      <c r="L6" s="3065"/>
      <c r="M6" s="177">
        <f t="shared" ref="M6:M14" si="0">ROUND(K6*L6/10000,0)</f>
        <v>0</v>
      </c>
      <c r="N6" s="3066"/>
      <c r="O6" s="177">
        <f>IF($N$5="成新度","——",ROUND(M6*N6,0))</f>
        <v>0</v>
      </c>
      <c r="P6" s="178">
        <f>IF($N$5="成新度","——",M6-O6)</f>
        <v>0</v>
      </c>
      <c r="Q6" s="3067"/>
      <c r="R6" s="179">
        <f>SUMIF('数据-汇总表'!C$19:C$33,A6,'数据-汇总表'!R$19:R$33)</f>
        <v>0</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2321</v>
      </c>
      <c r="B14" s="2315" t="s">
        <v>1683</v>
      </c>
      <c r="C14" s="2316" t="s">
        <v>2321</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2323</v>
      </c>
      <c r="B15" s="2315" t="s">
        <v>1683</v>
      </c>
      <c r="C15" s="2316" t="s">
        <v>2322</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320">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t="e">
        <f>ROUND(SUMPRODUCT(AP6:AP13,K6:K13)/SUMPRODUCT((AP6:AP13&gt;0)*(K6:K13)),3)</f>
        <v>#DIV/0!</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c r="C19" s="2373" t="s">
        <v>2343</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c r="C20" s="2373" t="s">
        <v>2342</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0</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0</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2345</v>
      </c>
      <c r="B27" s="227"/>
      <c r="C27" s="2376" t="s">
        <v>2349</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2346</v>
      </c>
      <c r="B28" s="229"/>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2344</v>
      </c>
      <c r="B29" s="232"/>
      <c r="C29" s="1557" t="s">
        <v>2347</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c r="C33" s="2374" t="s">
        <v>2907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c r="C34" s="2374" t="s">
        <v>2908</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c r="C35" s="2374" t="s">
        <v>2909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c r="C36" s="2374" t="s">
        <v>2910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c r="C37" s="2374" t="s">
        <v>2911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c r="C38" s="2374" t="s">
        <v>2911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2465</v>
      </c>
      <c r="B39" s="803">
        <f ca="1">存贷款利率!C4</f>
        <v>0</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2466</v>
      </c>
      <c r="B40" s="2515">
        <f ca="1">存贷款利率!E2</f>
        <v>0</v>
      </c>
      <c r="C40" s="2374" t="s">
        <v>2348</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0.05</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0</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c r="C44" s="2374" t="s">
        <v>2912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c r="C45" s="2376" t="s">
        <v>2913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c r="C46" s="2376" t="s">
        <v>2914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c r="C48" s="3114" t="s">
        <v>2916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c r="C49" s="3114" t="s">
        <v>2917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0</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c r="C53" s="3115" t="s">
        <v>2918</v>
      </c>
      <c r="D53" s="3116" t="s">
        <v>2919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2920</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2923</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51" t="s">
        <v>1667</v>
      </c>
      <c r="B1" s="3252"/>
      <c r="C1" s="3252"/>
      <c r="D1" s="3252"/>
      <c r="E1" s="3252"/>
      <c r="F1" s="3252"/>
      <c r="G1" s="3252"/>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2936</v>
      </c>
      <c r="D3" s="2014"/>
      <c r="E3" s="1232" t="s">
        <v>1670</v>
      </c>
      <c r="F3" s="1233" t="s">
        <v>1658</v>
      </c>
      <c r="G3" s="3124" t="s">
        <v>2935</v>
      </c>
      <c r="H3" s="2013"/>
      <c r="I3" s="2013"/>
      <c r="J3" s="2013"/>
      <c r="K3" s="2013"/>
      <c r="L3" s="2013"/>
      <c r="M3" s="2013"/>
      <c r="N3" s="2013"/>
      <c r="O3" s="2013"/>
      <c r="P3" s="2013"/>
      <c r="Q3" s="2013"/>
      <c r="R3" s="2013"/>
    </row>
    <row r="4" spans="1:18" ht="41.25">
      <c r="A4" s="1232"/>
      <c r="B4" s="1234" t="s">
        <v>1671</v>
      </c>
      <c r="C4" s="3121" t="s">
        <v>2937</v>
      </c>
      <c r="D4" s="2014"/>
      <c r="E4" s="1235"/>
      <c r="F4" s="1236" t="s">
        <v>1672</v>
      </c>
      <c r="G4" s="3122" t="s">
        <v>2932</v>
      </c>
      <c r="H4" s="2013"/>
      <c r="I4" s="2013"/>
      <c r="J4" s="2013"/>
      <c r="K4" s="2013"/>
      <c r="L4" s="2013"/>
      <c r="M4" s="2013"/>
      <c r="N4" s="2013"/>
      <c r="O4" s="2013"/>
      <c r="P4" s="2013"/>
      <c r="Q4" s="2013"/>
      <c r="R4" s="2013"/>
    </row>
    <row r="5" spans="1:18" ht="41.25">
      <c r="A5" s="1232"/>
      <c r="B5" s="1234" t="s">
        <v>1673</v>
      </c>
      <c r="C5" s="3121" t="s">
        <v>2938</v>
      </c>
      <c r="D5" s="2014"/>
      <c r="E5" s="1235"/>
      <c r="F5" s="1234" t="s">
        <v>2556</v>
      </c>
      <c r="G5" s="3122" t="s">
        <v>2933</v>
      </c>
      <c r="H5" s="2013"/>
      <c r="I5" s="2013"/>
      <c r="J5" s="2013"/>
      <c r="K5" s="2013"/>
      <c r="L5" s="2013"/>
      <c r="M5" s="2013"/>
      <c r="N5" s="2013"/>
      <c r="O5" s="2013"/>
      <c r="P5" s="2013"/>
      <c r="Q5" s="2013"/>
      <c r="R5" s="2013"/>
    </row>
    <row r="6" spans="1:18" ht="54">
      <c r="A6" s="1232"/>
      <c r="B6" s="1234" t="s">
        <v>1659</v>
      </c>
      <c r="C6" s="3122" t="s">
        <v>2932</v>
      </c>
      <c r="D6" s="2014"/>
      <c r="E6" s="1235"/>
      <c r="F6" s="1234" t="s">
        <v>2557</v>
      </c>
      <c r="G6" s="3122" t="s">
        <v>2930</v>
      </c>
      <c r="H6" s="2013"/>
      <c r="I6" s="2013"/>
      <c r="J6" s="2013"/>
      <c r="K6" s="2013"/>
      <c r="L6" s="2013"/>
      <c r="M6" s="2013"/>
      <c r="N6" s="2013"/>
      <c r="O6" s="2013"/>
      <c r="P6" s="2013"/>
      <c r="Q6" s="2013"/>
      <c r="R6" s="2013"/>
    </row>
    <row r="7" spans="1:18" ht="41.25" thickBot="1">
      <c r="A7" s="1232"/>
      <c r="B7" s="1234" t="s">
        <v>2556</v>
      </c>
      <c r="C7" s="3122" t="s">
        <v>2933</v>
      </c>
      <c r="D7" s="2015"/>
      <c r="E7" s="1237"/>
      <c r="F7" s="1238" t="s">
        <v>1674</v>
      </c>
      <c r="G7" s="3125" t="s">
        <v>2934</v>
      </c>
      <c r="H7" s="2013"/>
      <c r="I7" s="2013"/>
      <c r="J7" s="2013"/>
      <c r="K7" s="2013"/>
      <c r="L7" s="2013"/>
      <c r="M7" s="2013"/>
      <c r="N7" s="2013"/>
      <c r="O7" s="2013"/>
      <c r="P7" s="2013"/>
      <c r="Q7" s="2013"/>
      <c r="R7" s="2013"/>
    </row>
    <row r="8" spans="1:18" ht="27">
      <c r="A8" s="1232"/>
      <c r="B8" s="1234" t="s">
        <v>2557</v>
      </c>
      <c r="C8" s="3122" t="s">
        <v>2930</v>
      </c>
      <c r="D8" s="2015"/>
      <c r="E8" s="2015"/>
      <c r="F8" s="1558"/>
      <c r="G8" s="1558"/>
      <c r="H8" s="2013"/>
      <c r="I8" s="2013"/>
      <c r="J8" s="2013"/>
      <c r="K8" s="2013"/>
      <c r="L8" s="2013"/>
      <c r="M8" s="2013"/>
      <c r="N8" s="2013"/>
      <c r="O8" s="2013"/>
      <c r="P8" s="2013"/>
      <c r="Q8" s="2013"/>
      <c r="R8" s="2013"/>
    </row>
    <row r="9" spans="1:18" ht="40.5">
      <c r="A9" s="1232"/>
      <c r="B9" s="1234" t="s">
        <v>1660</v>
      </c>
      <c r="C9" s="3121" t="s">
        <v>2931</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2556</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2557</v>
      </c>
      <c r="G20" s="1008" t="str">
        <f>G6</f>
        <v>估价对象所在区域基础设施水平</v>
      </c>
    </row>
    <row r="21" spans="1:7" ht="27">
      <c r="A21" s="2623"/>
      <c r="B21" s="1234" t="s">
        <v>2556</v>
      </c>
      <c r="C21" s="1008" t="str">
        <f>C7</f>
        <v>估价对象所在区域公共配套设施齐备情况</v>
      </c>
      <c r="D21" s="2014"/>
      <c r="E21" s="2620"/>
      <c r="F21" s="1250" t="s">
        <v>1665</v>
      </c>
      <c r="G21" s="3126"/>
    </row>
    <row r="22" spans="1:7" ht="27">
      <c r="A22" s="2623"/>
      <c r="B22" s="1234" t="s">
        <v>2557</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2857</v>
      </c>
      <c r="B1" s="3084">
        <f>SUM(B14:B23)</f>
        <v>0</v>
      </c>
      <c r="C1" s="3085"/>
      <c r="D1" s="3085"/>
      <c r="E1" s="3085"/>
      <c r="F1" s="3085"/>
    </row>
    <row r="2" spans="1:9" ht="16.5">
      <c r="A2" s="3084" t="s">
        <v>2858</v>
      </c>
      <c r="B2" s="3084" t="e">
        <f>SUM(C14:C23)</f>
        <v>#DIV/0!</v>
      </c>
      <c r="C2" s="3085"/>
      <c r="D2" s="3085"/>
      <c r="E2" s="3085"/>
      <c r="F2" s="3085"/>
    </row>
    <row r="3" spans="1:9" ht="16.5">
      <c r="A3" s="3084" t="s">
        <v>2859</v>
      </c>
      <c r="B3" s="3086">
        <f>项目基本情况!D3</f>
        <v>0</v>
      </c>
      <c r="C3" s="3085"/>
      <c r="D3" s="3085"/>
      <c r="E3" s="3085"/>
      <c r="F3" s="3085"/>
    </row>
    <row r="4" spans="1:9" ht="33">
      <c r="A4" s="3084" t="s">
        <v>2860</v>
      </c>
      <c r="B4" s="3084" t="s">
        <v>2861</v>
      </c>
      <c r="C4" s="3084" t="s">
        <v>2862</v>
      </c>
      <c r="D4" s="3084" t="s">
        <v>2863</v>
      </c>
      <c r="E4" s="3085"/>
      <c r="F4" s="3085"/>
    </row>
    <row r="5" spans="1:9" ht="16.5">
      <c r="A5" s="3084" t="s">
        <v>2864</v>
      </c>
      <c r="B5" s="3084" t="e">
        <f ca="1">SUM(D14:D23)</f>
        <v>#REF!</v>
      </c>
      <c r="C5" s="3084" t="e">
        <f ca="1">ROUND(B5*10000/$B$1,0)</f>
        <v>#REF!</v>
      </c>
      <c r="D5" s="3084" t="e">
        <f ca="1">ROUND(B5*10000/$B$2,0)</f>
        <v>#REF!</v>
      </c>
      <c r="E5" s="3085"/>
      <c r="F5" s="3085"/>
    </row>
    <row r="6" spans="1:9" ht="16.5">
      <c r="A6" s="3084" t="s">
        <v>2865</v>
      </c>
      <c r="B6" s="3084">
        <f>SUM(G14:G23)</f>
        <v>0</v>
      </c>
      <c r="C6" s="3084" t="e">
        <f t="shared" ref="C6:C8" si="0">ROUND(B6*10000/$B$1,0)</f>
        <v>#DIV/0!</v>
      </c>
      <c r="D6" s="3084" t="e">
        <f t="shared" ref="D6:D8" si="1">ROUND(B6*10000/$B$2,0)</f>
        <v>#DIV/0!</v>
      </c>
      <c r="E6" s="3085"/>
      <c r="F6" s="3085"/>
    </row>
    <row r="7" spans="1:9" ht="16.5">
      <c r="A7" s="3084" t="s">
        <v>2866</v>
      </c>
      <c r="B7" s="3084">
        <f>SUM(H14:H23)</f>
        <v>0</v>
      </c>
      <c r="C7" s="3084" t="e">
        <f t="shared" si="0"/>
        <v>#DIV/0!</v>
      </c>
      <c r="D7" s="3084" t="e">
        <f t="shared" si="1"/>
        <v>#DIV/0!</v>
      </c>
      <c r="E7" s="3085"/>
      <c r="F7" s="3085"/>
    </row>
    <row r="8" spans="1:9" ht="16.5">
      <c r="A8" s="3084" t="s">
        <v>2867</v>
      </c>
      <c r="B8" s="3084">
        <f>SUM(I14:I23)</f>
        <v>0</v>
      </c>
      <c r="C8" s="3084" t="e">
        <f t="shared" si="0"/>
        <v>#DIV/0!</v>
      </c>
      <c r="D8" s="3084" t="e">
        <f t="shared" si="1"/>
        <v>#DIV/0!</v>
      </c>
      <c r="E8" s="3085"/>
      <c r="F8" s="3085"/>
    </row>
    <row r="9" spans="1:9" ht="16.5">
      <c r="A9" s="3084" t="s">
        <v>2868</v>
      </c>
      <c r="B9" s="3087"/>
      <c r="C9" s="3085"/>
      <c r="D9" s="3085"/>
      <c r="E9" s="3085"/>
      <c r="F9" s="3085"/>
    </row>
    <row r="10" spans="1:9" ht="16.5">
      <c r="A10" s="3084" t="s">
        <v>2869</v>
      </c>
      <c r="B10" s="3087"/>
      <c r="C10" s="3085"/>
      <c r="D10" s="3085"/>
      <c r="E10" s="3085"/>
      <c r="F10" s="3085"/>
    </row>
    <row r="11" spans="1:9" ht="16.5">
      <c r="A11" s="3084" t="s">
        <v>2886</v>
      </c>
      <c r="B11" s="3087"/>
      <c r="C11" s="3085"/>
      <c r="D11" s="3085"/>
      <c r="E11" s="3085"/>
      <c r="F11" s="3085"/>
    </row>
    <row r="12" spans="1:9" ht="16.5">
      <c r="A12" s="3085"/>
      <c r="B12" s="3085"/>
      <c r="C12" s="3085"/>
      <c r="D12" s="3085"/>
      <c r="E12" s="3085"/>
      <c r="F12" s="3085"/>
    </row>
    <row r="13" spans="1:9" ht="33">
      <c r="A13" s="3090" t="s">
        <v>2885</v>
      </c>
      <c r="B13" s="3088" t="s">
        <v>2857</v>
      </c>
      <c r="C13" s="3088" t="s">
        <v>2858</v>
      </c>
      <c r="D13" s="3088" t="s">
        <v>2870</v>
      </c>
      <c r="E13" s="3084" t="s">
        <v>2884</v>
      </c>
      <c r="F13" s="3084" t="s">
        <v>2863</v>
      </c>
      <c r="G13" s="3088" t="s">
        <v>2871</v>
      </c>
      <c r="H13" s="3088" t="s">
        <v>2872</v>
      </c>
      <c r="I13" s="3088" t="s">
        <v>2873</v>
      </c>
    </row>
    <row r="14" spans="1:9" ht="16.5">
      <c r="A14" s="3091" t="s">
        <v>2883</v>
      </c>
      <c r="B14" s="3088">
        <f>'数据-汇总表'!E3</f>
        <v>0</v>
      </c>
      <c r="C14" s="3088" t="e">
        <f>'数据-汇总表'!D3</f>
        <v>#DIV/0!</v>
      </c>
      <c r="D14" s="3088" t="e">
        <f ca="1">结果表!C42</f>
        <v>#REF!</v>
      </c>
      <c r="E14" s="3088" t="e">
        <f ca="1">ROUND(D14*10000/B14,0)</f>
        <v>#REF!</v>
      </c>
      <c r="F14" s="3088" t="e">
        <f ca="1">ROUND(D14*10000/C14,0)</f>
        <v>#REF!</v>
      </c>
      <c r="G14" s="3088" t="str">
        <f>结果表!C44</f>
        <v>——</v>
      </c>
      <c r="H14" s="3088" t="str">
        <f>结果表!C45</f>
        <v>——</v>
      </c>
      <c r="I14" s="3088" t="str">
        <f>结果表!C46</f>
        <v>——</v>
      </c>
    </row>
    <row r="15" spans="1:9" ht="16.5">
      <c r="A15" s="3091" t="s">
        <v>2874</v>
      </c>
      <c r="B15" s="3092"/>
      <c r="C15" s="3092"/>
      <c r="D15" s="3092"/>
      <c r="E15" s="3088" t="e">
        <f t="shared" ref="E15:E23" si="2">ROUND(D15*10000/B15,0)</f>
        <v>#DIV/0!</v>
      </c>
      <c r="F15" s="3088" t="e">
        <f t="shared" ref="F15:F23" si="3">ROUND(D15*10000/C15,0)</f>
        <v>#DIV/0!</v>
      </c>
      <c r="G15" s="3089"/>
      <c r="H15" s="3089"/>
      <c r="I15" s="3092"/>
    </row>
    <row r="16" spans="1:9" ht="16.5">
      <c r="A16" s="3091" t="s">
        <v>2875</v>
      </c>
      <c r="B16" s="3092"/>
      <c r="C16" s="3092"/>
      <c r="D16" s="3092"/>
      <c r="E16" s="3088" t="e">
        <f t="shared" si="2"/>
        <v>#DIV/0!</v>
      </c>
      <c r="F16" s="3088" t="e">
        <f t="shared" si="3"/>
        <v>#DIV/0!</v>
      </c>
      <c r="G16" s="3089"/>
      <c r="H16" s="3089"/>
      <c r="I16" s="3092"/>
    </row>
    <row r="17" spans="1:9" ht="16.5">
      <c r="A17" s="3091" t="s">
        <v>2876</v>
      </c>
      <c r="B17" s="3092"/>
      <c r="C17" s="3092"/>
      <c r="D17" s="3092"/>
      <c r="E17" s="3088" t="e">
        <f t="shared" si="2"/>
        <v>#DIV/0!</v>
      </c>
      <c r="F17" s="3088" t="e">
        <f t="shared" si="3"/>
        <v>#DIV/0!</v>
      </c>
      <c r="G17" s="3089"/>
      <c r="H17" s="3089"/>
      <c r="I17" s="3092"/>
    </row>
    <row r="18" spans="1:9" ht="16.5">
      <c r="A18" s="3091" t="s">
        <v>2877</v>
      </c>
      <c r="B18" s="3092"/>
      <c r="C18" s="3092"/>
      <c r="D18" s="3092"/>
      <c r="E18" s="3088" t="e">
        <f t="shared" si="2"/>
        <v>#DIV/0!</v>
      </c>
      <c r="F18" s="3088" t="e">
        <f t="shared" si="3"/>
        <v>#DIV/0!</v>
      </c>
      <c r="G18" s="3092"/>
      <c r="H18" s="3092"/>
      <c r="I18" s="3092"/>
    </row>
    <row r="19" spans="1:9" ht="16.5">
      <c r="A19" s="3091" t="s">
        <v>2878</v>
      </c>
      <c r="B19" s="3092"/>
      <c r="C19" s="3092"/>
      <c r="D19" s="3092"/>
      <c r="E19" s="3088" t="e">
        <f t="shared" si="2"/>
        <v>#DIV/0!</v>
      </c>
      <c r="F19" s="3088" t="e">
        <f t="shared" si="3"/>
        <v>#DIV/0!</v>
      </c>
      <c r="G19" s="3092"/>
      <c r="H19" s="3092"/>
      <c r="I19" s="3092"/>
    </row>
    <row r="20" spans="1:9" ht="16.5">
      <c r="A20" s="3091" t="s">
        <v>2879</v>
      </c>
      <c r="B20" s="3092"/>
      <c r="C20" s="3092"/>
      <c r="D20" s="3092"/>
      <c r="E20" s="3088" t="e">
        <f t="shared" si="2"/>
        <v>#DIV/0!</v>
      </c>
      <c r="F20" s="3088" t="e">
        <f t="shared" si="3"/>
        <v>#DIV/0!</v>
      </c>
      <c r="G20" s="3092"/>
      <c r="H20" s="3092"/>
      <c r="I20" s="3092"/>
    </row>
    <row r="21" spans="1:9" ht="16.5">
      <c r="A21" s="3091" t="s">
        <v>2880</v>
      </c>
      <c r="B21" s="3092"/>
      <c r="C21" s="3092"/>
      <c r="D21" s="3092"/>
      <c r="E21" s="3088" t="e">
        <f t="shared" si="2"/>
        <v>#DIV/0!</v>
      </c>
      <c r="F21" s="3088" t="e">
        <f t="shared" si="3"/>
        <v>#DIV/0!</v>
      </c>
      <c r="G21" s="3092"/>
      <c r="H21" s="3092"/>
      <c r="I21" s="3092"/>
    </row>
    <row r="22" spans="1:9" ht="16.5">
      <c r="A22" s="3091" t="s">
        <v>2881</v>
      </c>
      <c r="B22" s="3092"/>
      <c r="C22" s="3092"/>
      <c r="D22" s="3092"/>
      <c r="E22" s="3088" t="e">
        <f t="shared" si="2"/>
        <v>#DIV/0!</v>
      </c>
      <c r="F22" s="3088" t="e">
        <f t="shared" si="3"/>
        <v>#DIV/0!</v>
      </c>
      <c r="G22" s="3092"/>
      <c r="H22" s="3092"/>
      <c r="I22" s="3092"/>
    </row>
    <row r="23" spans="1:9" ht="16.5">
      <c r="A23" s="3091" t="s">
        <v>2882</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2062</v>
      </c>
      <c r="B1" s="1782"/>
      <c r="C1" s="1810" t="s">
        <v>2063</v>
      </c>
      <c r="D1" s="1811"/>
      <c r="E1" s="1810" t="s">
        <v>2064</v>
      </c>
      <c r="F1" s="1812"/>
      <c r="G1" s="314"/>
      <c r="H1" s="314"/>
      <c r="I1" s="314"/>
      <c r="J1" s="2034"/>
      <c r="K1" s="2034"/>
      <c r="L1" s="2034"/>
      <c r="M1" s="2034"/>
      <c r="N1" s="2034"/>
      <c r="O1" s="2034"/>
      <c r="P1" s="2034"/>
      <c r="Q1" s="2034"/>
      <c r="R1" s="2034"/>
      <c r="S1" s="2034"/>
      <c r="T1" s="2034"/>
      <c r="U1" s="2034"/>
      <c r="V1" s="2034"/>
    </row>
    <row r="2" spans="1:22" ht="21.75" customHeight="1" thickBot="1">
      <c r="A2" s="3298" t="str">
        <f>项目基本情况!K2</f>
        <v>国有建设用地使用权</v>
      </c>
      <c r="B2" s="3299"/>
      <c r="C2" s="3300"/>
      <c r="D2" s="3300"/>
      <c r="E2" s="3300"/>
      <c r="F2" s="3300"/>
      <c r="G2" s="3299"/>
      <c r="H2" s="3299"/>
      <c r="I2" s="3301"/>
      <c r="J2" s="2035"/>
      <c r="K2" s="2034"/>
      <c r="L2" s="2034"/>
      <c r="M2" s="2034"/>
      <c r="N2" s="2034"/>
      <c r="O2" s="2034"/>
      <c r="P2" s="2034"/>
      <c r="Q2" s="2034"/>
      <c r="R2" s="2034"/>
      <c r="S2" s="2034"/>
      <c r="T2" s="2034"/>
      <c r="U2" s="2034"/>
      <c r="V2" s="2034"/>
    </row>
    <row r="3" spans="1:22" ht="14.25">
      <c r="A3" s="3309" t="s">
        <v>298</v>
      </c>
      <c r="B3" s="3310"/>
      <c r="C3" s="3310"/>
      <c r="D3" s="3310"/>
      <c r="E3" s="3310"/>
      <c r="F3" s="3310"/>
      <c r="G3" s="3310"/>
      <c r="H3" s="3310"/>
      <c r="I3" s="3310"/>
      <c r="J3" s="2035"/>
      <c r="K3" s="2034"/>
      <c r="L3" s="2034"/>
      <c r="M3" s="2034"/>
      <c r="N3" s="2034"/>
      <c r="O3" s="2034"/>
      <c r="P3" s="2034"/>
      <c r="Q3" s="2034"/>
      <c r="R3" s="2034"/>
      <c r="S3" s="2034"/>
      <c r="T3" s="2034"/>
      <c r="U3" s="2034"/>
      <c r="V3" s="2034"/>
    </row>
    <row r="4" spans="1:22" ht="14.25">
      <c r="A4" s="258" t="s">
        <v>299</v>
      </c>
      <c r="B4" s="259" t="s">
        <v>300</v>
      </c>
      <c r="C4" s="260"/>
      <c r="D4" s="260"/>
      <c r="E4" s="3273" t="s">
        <v>301</v>
      </c>
      <c r="F4" s="3315"/>
      <c r="G4" s="3315"/>
      <c r="H4" s="3315"/>
      <c r="I4" s="3274"/>
      <c r="J4" s="2035"/>
      <c r="K4" s="2034"/>
      <c r="L4" s="951" t="str">
        <f>IF(ISNUMBER(FIND("比较法",C4)),"比较法",IF(ISNUMBER(FIND("成本法",C4)),"成本法",IF(ISNUMBER(FIND("剩余法",C4)),"剩余法",IF(ISNUMBER(FIND("收益法",C4)),"收益法","基准地价系数修正法"))))</f>
        <v>基准地价系数修正法</v>
      </c>
      <c r="M4" s="951" t="str">
        <f>IF(ISNUMBER(FIND("比较法",D4)),"比较法",IF(ISNUMBER(FIND("成本法",D4)),"成本法",IF(ISNUMBER(FIND("剩余法",D4)),"剩余法",IF(ISNUMBER(FIND("收益法",D4)),"收益法","基准地价系数修正法"))))</f>
        <v>基准地价系数修正法</v>
      </c>
      <c r="N4" s="2034"/>
      <c r="O4" s="2034"/>
      <c r="P4" s="2034"/>
      <c r="Q4" s="2034"/>
      <c r="R4" s="2034"/>
      <c r="S4" s="2034"/>
      <c r="T4" s="2034"/>
      <c r="U4" s="2034"/>
      <c r="V4" s="2034"/>
    </row>
    <row r="5" spans="1:22" ht="14.25">
      <c r="A5" s="3302" t="s">
        <v>302</v>
      </c>
      <c r="B5" s="3303">
        <v>25</v>
      </c>
      <c r="C5" s="3311"/>
      <c r="D5" s="3314"/>
      <c r="E5" s="261" t="s">
        <v>303</v>
      </c>
      <c r="F5" s="262"/>
      <c r="G5" s="262"/>
      <c r="H5" s="262"/>
      <c r="I5" s="263"/>
      <c r="J5" s="2035"/>
      <c r="K5" s="2034"/>
      <c r="L5" s="2034"/>
      <c r="M5" s="2034"/>
      <c r="N5" s="2034"/>
      <c r="O5" s="2034"/>
      <c r="P5" s="2034"/>
      <c r="Q5" s="2034"/>
      <c r="R5" s="2034"/>
      <c r="S5" s="2034"/>
      <c r="T5" s="2034"/>
      <c r="U5" s="2034"/>
      <c r="V5" s="2034"/>
    </row>
    <row r="6" spans="1:22" ht="14.25">
      <c r="A6" s="3302"/>
      <c r="B6" s="3303"/>
      <c r="C6" s="3312"/>
      <c r="D6" s="3314"/>
      <c r="E6" s="261" t="s">
        <v>304</v>
      </c>
      <c r="F6" s="262"/>
      <c r="G6" s="262"/>
      <c r="H6" s="262"/>
      <c r="I6" s="263"/>
      <c r="J6" s="2035"/>
      <c r="K6" s="2034"/>
      <c r="L6" s="2034"/>
      <c r="M6" s="2034"/>
      <c r="N6" s="2034"/>
      <c r="O6" s="2034"/>
      <c r="P6" s="2034"/>
      <c r="Q6" s="2034"/>
      <c r="R6" s="2034"/>
      <c r="S6" s="2034"/>
      <c r="T6" s="2034"/>
      <c r="U6" s="2034"/>
      <c r="V6" s="2034"/>
    </row>
    <row r="7" spans="1:22" ht="14.25">
      <c r="A7" s="3302"/>
      <c r="B7" s="3303"/>
      <c r="C7" s="3313"/>
      <c r="D7" s="3314"/>
      <c r="E7" s="261" t="s">
        <v>305</v>
      </c>
      <c r="F7" s="262"/>
      <c r="G7" s="262"/>
      <c r="H7" s="262"/>
      <c r="I7" s="263"/>
      <c r="J7" s="2035"/>
      <c r="K7" s="2034"/>
      <c r="L7" s="2034"/>
      <c r="M7" s="2034"/>
      <c r="N7" s="2034"/>
      <c r="O7" s="2034"/>
      <c r="P7" s="2034"/>
      <c r="Q7" s="2034"/>
      <c r="R7" s="2034"/>
      <c r="S7" s="2034"/>
      <c r="T7" s="2034"/>
      <c r="U7" s="2034"/>
      <c r="V7" s="2034"/>
    </row>
    <row r="8" spans="1:22" ht="14.25">
      <c r="A8" s="3302" t="s">
        <v>306</v>
      </c>
      <c r="B8" s="3303">
        <v>15</v>
      </c>
      <c r="C8" s="3311"/>
      <c r="D8" s="3314"/>
      <c r="E8" s="261" t="s">
        <v>307</v>
      </c>
      <c r="F8" s="262"/>
      <c r="G8" s="262"/>
      <c r="H8" s="262"/>
      <c r="I8" s="263"/>
      <c r="J8" s="2035"/>
      <c r="K8" s="2034"/>
      <c r="L8" s="2034"/>
      <c r="M8" s="2034"/>
      <c r="N8" s="2034"/>
      <c r="O8" s="2034"/>
      <c r="P8" s="2034"/>
      <c r="Q8" s="2034"/>
      <c r="R8" s="2034"/>
      <c r="S8" s="2034"/>
      <c r="T8" s="2034"/>
      <c r="U8" s="2034"/>
      <c r="V8" s="2034"/>
    </row>
    <row r="9" spans="1:22" ht="14.25">
      <c r="A9" s="3302"/>
      <c r="B9" s="3303"/>
      <c r="C9" s="3313"/>
      <c r="D9" s="3314"/>
      <c r="E9" s="261" t="s">
        <v>308</v>
      </c>
      <c r="F9" s="262"/>
      <c r="G9" s="262"/>
      <c r="H9" s="262"/>
      <c r="I9" s="263"/>
      <c r="J9" s="2035"/>
      <c r="K9" s="2034"/>
      <c r="L9" s="2034"/>
      <c r="M9" s="2034"/>
      <c r="N9" s="2034"/>
      <c r="O9" s="2034"/>
      <c r="P9" s="2034"/>
      <c r="Q9" s="2034"/>
      <c r="R9" s="2034"/>
      <c r="S9" s="2034"/>
      <c r="T9" s="2034"/>
      <c r="U9" s="2034"/>
      <c r="V9" s="2034"/>
    </row>
    <row r="10" spans="1:22" ht="14.25">
      <c r="A10" s="3302" t="s">
        <v>309</v>
      </c>
      <c r="B10" s="3303">
        <v>15</v>
      </c>
      <c r="C10" s="3311"/>
      <c r="D10" s="3314"/>
      <c r="E10" s="261" t="s">
        <v>310</v>
      </c>
      <c r="F10" s="262"/>
      <c r="G10" s="262"/>
      <c r="H10" s="262"/>
      <c r="I10" s="263"/>
      <c r="J10" s="2035"/>
      <c r="K10" s="2034"/>
      <c r="L10" s="2034"/>
      <c r="M10" s="2034"/>
      <c r="N10" s="2034"/>
      <c r="O10" s="2034"/>
      <c r="P10" s="2034"/>
      <c r="Q10" s="2034"/>
      <c r="R10" s="2034"/>
      <c r="S10" s="2034"/>
      <c r="T10" s="2034"/>
      <c r="U10" s="2034"/>
      <c r="V10" s="2034"/>
    </row>
    <row r="11" spans="1:22" ht="14.25">
      <c r="A11" s="3302"/>
      <c r="B11" s="3303"/>
      <c r="C11" s="3313"/>
      <c r="D11" s="3314"/>
      <c r="E11" s="261" t="s">
        <v>311</v>
      </c>
      <c r="F11" s="262"/>
      <c r="G11" s="262"/>
      <c r="H11" s="262"/>
      <c r="I11" s="263"/>
      <c r="J11" s="2035"/>
      <c r="K11" s="2034"/>
      <c r="L11" s="2034"/>
      <c r="M11" s="2034"/>
      <c r="N11" s="2034"/>
      <c r="O11" s="2034"/>
      <c r="P11" s="2034"/>
      <c r="Q11" s="2034"/>
      <c r="R11" s="2034"/>
      <c r="S11" s="2034"/>
      <c r="T11" s="2034"/>
      <c r="U11" s="2034"/>
      <c r="V11" s="2034"/>
    </row>
    <row r="12" spans="1:22" ht="14.25">
      <c r="A12" s="3302" t="s">
        <v>312</v>
      </c>
      <c r="B12" s="3303">
        <v>15</v>
      </c>
      <c r="C12" s="3311"/>
      <c r="D12" s="3314"/>
      <c r="E12" s="261" t="s">
        <v>313</v>
      </c>
      <c r="F12" s="262"/>
      <c r="G12" s="262"/>
      <c r="H12" s="262"/>
      <c r="I12" s="263"/>
      <c r="J12" s="2035"/>
      <c r="K12" s="2034"/>
      <c r="L12" s="2034"/>
      <c r="M12" s="2034"/>
      <c r="N12" s="2034"/>
      <c r="O12" s="2034"/>
      <c r="P12" s="2034"/>
      <c r="Q12" s="2034"/>
      <c r="R12" s="2034"/>
      <c r="S12" s="2034"/>
      <c r="T12" s="2034"/>
      <c r="U12" s="2034"/>
      <c r="V12" s="2034"/>
    </row>
    <row r="13" spans="1:22" ht="14.25">
      <c r="A13" s="3302"/>
      <c r="B13" s="3303"/>
      <c r="C13" s="3313"/>
      <c r="D13" s="3314"/>
      <c r="E13" s="261" t="s">
        <v>314</v>
      </c>
      <c r="F13" s="262"/>
      <c r="G13" s="262"/>
      <c r="H13" s="262"/>
      <c r="I13" s="263"/>
      <c r="J13" s="2035"/>
      <c r="K13" s="2034"/>
      <c r="L13" s="2034"/>
      <c r="M13" s="2034"/>
      <c r="N13" s="2034"/>
      <c r="O13" s="2034"/>
      <c r="P13" s="2034"/>
      <c r="Q13" s="2034"/>
      <c r="R13" s="2034"/>
      <c r="S13" s="2034"/>
      <c r="T13" s="2034"/>
      <c r="U13" s="2034"/>
      <c r="V13" s="2034"/>
    </row>
    <row r="14" spans="1:22" ht="14.25">
      <c r="A14" s="3302" t="s">
        <v>315</v>
      </c>
      <c r="B14" s="3303">
        <v>30</v>
      </c>
      <c r="C14" s="3311"/>
      <c r="D14" s="3314"/>
      <c r="E14" s="261" t="s">
        <v>316</v>
      </c>
      <c r="F14" s="262"/>
      <c r="G14" s="262"/>
      <c r="H14" s="262"/>
      <c r="I14" s="263"/>
      <c r="J14" s="2035"/>
      <c r="K14" s="2034"/>
      <c r="L14" s="2034"/>
      <c r="M14" s="2034"/>
      <c r="N14" s="2034"/>
      <c r="O14" s="2034"/>
      <c r="P14" s="2034"/>
      <c r="Q14" s="2034"/>
      <c r="R14" s="2034"/>
      <c r="S14" s="2034"/>
      <c r="T14" s="2034"/>
      <c r="U14" s="2034"/>
      <c r="V14" s="2034"/>
    </row>
    <row r="15" spans="1:22" ht="14.25">
      <c r="A15" s="3302"/>
      <c r="B15" s="3303"/>
      <c r="C15" s="3312"/>
      <c r="D15" s="3314"/>
      <c r="E15" s="261" t="s">
        <v>317</v>
      </c>
      <c r="F15" s="262"/>
      <c r="G15" s="262"/>
      <c r="H15" s="262"/>
      <c r="I15" s="263"/>
      <c r="J15" s="2035"/>
      <c r="K15" s="2034"/>
      <c r="L15" s="2034"/>
      <c r="M15" s="2034"/>
      <c r="N15" s="2034"/>
      <c r="O15" s="2034"/>
      <c r="P15" s="2034"/>
      <c r="Q15" s="2034"/>
      <c r="R15" s="2034"/>
      <c r="S15" s="2034"/>
      <c r="T15" s="2034"/>
      <c r="U15" s="2034"/>
      <c r="V15" s="2034"/>
    </row>
    <row r="16" spans="1:22" ht="14.25">
      <c r="A16" s="3302"/>
      <c r="B16" s="3303"/>
      <c r="C16" s="3313"/>
      <c r="D16" s="3314"/>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0</v>
      </c>
      <c r="D17" s="265">
        <f>SUM(D5:D16)</f>
        <v>0</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t="e">
        <f>ROUND(C17/SUM(C17:D17),2)</f>
        <v>#DIV/0!</v>
      </c>
      <c r="D18" s="267" t="e">
        <f>1-C18</f>
        <v>#DIV/0!</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t="e">
        <f ca="1">IF(C19&lt;D19,D19/C19-1,C19/D19-1)</f>
        <v>#REF!</v>
      </c>
      <c r="E22" s="284"/>
      <c r="F22" s="285"/>
      <c r="G22" s="286" t="e">
        <f ca="1">ROUND(G19/('数据-汇总表'!D3/666.67),0)</f>
        <v>#REF!</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75"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17"/>
      <c r="B25" s="1324" t="s">
        <v>331</v>
      </c>
      <c r="C25" s="290">
        <f>IF(B30=0,0,C30)</f>
        <v>0</v>
      </c>
      <c r="D25" s="291"/>
      <c r="E25" s="314"/>
      <c r="F25" s="314"/>
      <c r="G25" s="314"/>
      <c r="H25" s="314"/>
      <c r="I25" s="314"/>
      <c r="J25" s="2034"/>
      <c r="K25" s="1258" t="e">
        <f ca="1">项目基本情况!B16&amp;"国有建设用地使用权价格："&amp;O38&amp;"万元"</f>
        <v>#REF!</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e">
        <f ca="1">"大写金额：人民币"&amp;NUMBERSTRING(INT(O38*10000),2)&amp;"元整"</f>
        <v>#REF!</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e">
        <f ca="1">"单位面积地价："&amp;M38&amp;"元/平方米"</f>
        <v>#REF!</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e">
        <f ca="1">"楼面地价："&amp;N38&amp;"元/平方米"</f>
        <v>#REF!</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6" t="s">
        <v>1692</v>
      </c>
      <c r="C32" s="1387" t="e">
        <f ca="1">G19-C24</f>
        <v>#REF!</v>
      </c>
      <c r="D32" s="1388"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9" t="s">
        <v>1694</v>
      </c>
      <c r="C33" s="264" t="e">
        <f ca="1">ROUND(C32*10000/'数据-汇总表'!E3,0)</f>
        <v>#REF!</v>
      </c>
      <c r="D33" s="1390" t="s">
        <v>1695</v>
      </c>
      <c r="E33" s="3275"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1696</v>
      </c>
      <c r="C34" s="264" t="e">
        <f ca="1">ROUND(C32*10000/'数据-汇总表'!D3,0)</f>
        <v>#REF!</v>
      </c>
      <c r="D34" s="1392" t="s">
        <v>1695</v>
      </c>
      <c r="E34" s="3276"/>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t="e">
        <f ca="1">ROUND(C32/('数据-汇总表'!D3/666.67),0)</f>
        <v>#REF!</v>
      </c>
      <c r="D35" s="1395" t="s">
        <v>1697</v>
      </c>
      <c r="E35" s="3277"/>
      <c r="F35" s="304" t="s">
        <v>342</v>
      </c>
      <c r="G35" s="985"/>
      <c r="H35" s="984" t="s">
        <v>343</v>
      </c>
      <c r="I35" s="314"/>
      <c r="J35" s="2034"/>
      <c r="K35" s="3281" t="s">
        <v>350</v>
      </c>
      <c r="L35" s="3281" t="s">
        <v>351</v>
      </c>
      <c r="M35" s="1267" t="s">
        <v>352</v>
      </c>
      <c r="N35" s="3281" t="s">
        <v>353</v>
      </c>
      <c r="O35" s="3281" t="s">
        <v>354</v>
      </c>
      <c r="P35" s="2034"/>
      <c r="V35" s="2034"/>
    </row>
    <row r="36" spans="1:26" ht="16.5" customHeight="1">
      <c r="A36" s="306" t="s">
        <v>344</v>
      </c>
      <c r="B36" s="307" t="s">
        <v>333</v>
      </c>
      <c r="C36" s="308" t="s">
        <v>345</v>
      </c>
      <c r="D36" s="308" t="s">
        <v>346</v>
      </c>
      <c r="E36" s="309" t="s">
        <v>347</v>
      </c>
      <c r="F36" s="314"/>
      <c r="G36" s="314"/>
      <c r="H36" s="314"/>
      <c r="I36" s="314"/>
      <c r="J36" s="2036"/>
      <c r="K36" s="3282"/>
      <c r="L36" s="3282"/>
      <c r="M36" s="1269" t="s">
        <v>355</v>
      </c>
      <c r="N36" s="3282"/>
      <c r="O36" s="3282"/>
      <c r="P36" s="2034"/>
      <c r="V36" s="2034"/>
    </row>
    <row r="37" spans="1:26" ht="16.5" customHeight="1" thickBot="1">
      <c r="A37" s="1263" t="s">
        <v>348</v>
      </c>
      <c r="B37" s="310"/>
      <c r="C37" s="294"/>
      <c r="D37" s="294"/>
      <c r="E37" s="295"/>
      <c r="F37" s="314"/>
      <c r="G37" s="314"/>
      <c r="H37" s="314"/>
      <c r="I37" s="314"/>
      <c r="J37" s="2036"/>
      <c r="K37" s="3283"/>
      <c r="L37" s="3283"/>
      <c r="M37" s="1270"/>
      <c r="N37" s="3283"/>
      <c r="O37" s="3283"/>
      <c r="P37" s="2034"/>
      <c r="V37" s="2034"/>
    </row>
    <row r="38" spans="1:26" ht="16.5" customHeight="1" thickBot="1">
      <c r="A38" s="1263" t="s">
        <v>349</v>
      </c>
      <c r="B38" s="310"/>
      <c r="C38" s="294"/>
      <c r="D38" s="294"/>
      <c r="E38" s="295"/>
      <c r="F38" s="314"/>
      <c r="G38" s="314"/>
      <c r="H38" s="314"/>
      <c r="I38" s="314"/>
      <c r="J38" s="2036"/>
      <c r="K38" s="1271" t="e">
        <f>'数据-汇总表'!D3</f>
        <v>#DIV/0!</v>
      </c>
      <c r="L38" s="1272">
        <f>'数据-汇总表'!E3</f>
        <v>0</v>
      </c>
      <c r="M38" s="1272" t="e">
        <f ca="1">C34</f>
        <v>#REF!</v>
      </c>
      <c r="N38" s="1272" t="e">
        <f ca="1">C33</f>
        <v>#REF!</v>
      </c>
      <c r="O38" s="1273" t="e">
        <f ca="1">C32</f>
        <v>#REF!</v>
      </c>
      <c r="P38" s="2034"/>
      <c r="V38" s="2034"/>
    </row>
    <row r="39" spans="1:26" ht="16.5" customHeight="1" thickBot="1">
      <c r="A39" s="1268"/>
      <c r="B39" s="311"/>
      <c r="C39" s="312"/>
      <c r="D39" s="312"/>
      <c r="E39" s="313"/>
      <c r="F39" s="314"/>
      <c r="G39" s="314"/>
      <c r="H39" s="314"/>
      <c r="I39" s="314"/>
      <c r="J39" s="2036"/>
      <c r="K39" s="3258" t="str">
        <f>MID(A44,3,LEN(A44)-2)</f>
        <v/>
      </c>
      <c r="L39" s="3259"/>
      <c r="M39" s="3259"/>
      <c r="N39" s="3260"/>
      <c r="O39" s="1397" t="str">
        <f>C44</f>
        <v>——</v>
      </c>
      <c r="P39" s="2034"/>
      <c r="V39" s="2034"/>
    </row>
    <row r="40" spans="1:26" ht="19.5" thickBot="1">
      <c r="A40" s="104" t="s">
        <v>876</v>
      </c>
      <c r="B40" s="314"/>
      <c r="C40" s="314"/>
      <c r="D40" s="314"/>
      <c r="E40" s="314"/>
      <c r="F40" s="314"/>
      <c r="G40" s="314"/>
      <c r="H40" s="314"/>
      <c r="I40" s="314"/>
      <c r="J40" s="2036"/>
      <c r="K40" s="3258" t="str">
        <f t="shared" ref="K40:K41" si="0">MID(A45,3,LEN(A45)-2)</f>
        <v/>
      </c>
      <c r="L40" s="3259"/>
      <c r="M40" s="3259"/>
      <c r="N40" s="3260"/>
      <c r="O40" s="1397" t="str">
        <f>C45</f>
        <v>——</v>
      </c>
      <c r="P40" s="2034"/>
      <c r="V40" s="2034"/>
    </row>
    <row r="41" spans="1:26" ht="16.5" thickBot="1">
      <c r="A41" s="315" t="s">
        <v>356</v>
      </c>
      <c r="B41" s="316"/>
      <c r="C41" s="317" t="s">
        <v>357</v>
      </c>
      <c r="D41" s="318" t="s">
        <v>358</v>
      </c>
      <c r="E41" s="318" t="s">
        <v>359</v>
      </c>
      <c r="F41" s="319" t="s">
        <v>360</v>
      </c>
      <c r="G41" s="314"/>
      <c r="H41" s="314"/>
      <c r="I41" s="314"/>
      <c r="J41" s="2036"/>
      <c r="K41" s="3258" t="str">
        <f t="shared" si="0"/>
        <v/>
      </c>
      <c r="L41" s="3259"/>
      <c r="M41" s="3259"/>
      <c r="N41" s="3260"/>
      <c r="O41" s="1397" t="str">
        <f>C46</f>
        <v>——</v>
      </c>
      <c r="P41" s="2034"/>
      <c r="V41" s="2034"/>
    </row>
    <row r="42" spans="1:26" ht="29.25">
      <c r="A42" s="3318" t="s">
        <v>2074</v>
      </c>
      <c r="B42" s="3319"/>
      <c r="C42" s="264" t="e">
        <f ca="1">C32</f>
        <v>#REF!</v>
      </c>
      <c r="D42" s="320" t="e">
        <f ca="1">C33</f>
        <v>#REF!</v>
      </c>
      <c r="E42" s="320" t="e">
        <f ca="1">C34</f>
        <v>#REF!</v>
      </c>
      <c r="F42" s="321" t="e">
        <f ca="1">C35</f>
        <v>#REF!</v>
      </c>
      <c r="G42" s="314"/>
      <c r="H42" s="314"/>
      <c r="I42" s="322"/>
      <c r="J42" s="2036"/>
      <c r="K42" s="1274" t="s">
        <v>361</v>
      </c>
      <c r="L42" s="2053" t="s">
        <v>362</v>
      </c>
      <c r="M42" s="1275" t="s">
        <v>363</v>
      </c>
      <c r="N42" s="2054" t="s">
        <v>364</v>
      </c>
      <c r="O42" s="2055" t="s">
        <v>365</v>
      </c>
      <c r="P42" s="2034"/>
      <c r="V42" s="2034"/>
    </row>
    <row r="43" spans="1:26" ht="18">
      <c r="A43" s="3328" t="s">
        <v>2743</v>
      </c>
      <c r="B43" s="3329"/>
      <c r="C43" s="264">
        <f>IF(H33="正常操作",G33+G34+G35,G34+G35)</f>
        <v>0</v>
      </c>
      <c r="D43" s="320" t="s">
        <v>43</v>
      </c>
      <c r="E43" s="320" t="s">
        <v>44</v>
      </c>
      <c r="F43" s="321" t="s">
        <v>44</v>
      </c>
      <c r="G43" s="2905" t="s">
        <v>955</v>
      </c>
      <c r="H43" s="314"/>
      <c r="I43" s="322"/>
      <c r="J43" s="2036"/>
      <c r="K43" s="1276">
        <f>C4</f>
        <v>0</v>
      </c>
      <c r="L43" s="1277" t="e">
        <f ca="1">IF(L42="估价结果/万元",C19,C20)</f>
        <v>#REF!</v>
      </c>
      <c r="M43" s="1278" t="e">
        <f>C18</f>
        <v>#DIV/0!</v>
      </c>
      <c r="N43" s="1279" t="e">
        <f ca="1">IF(N42="测算结果/万元",G19,G20)</f>
        <v>#REF!</v>
      </c>
      <c r="O43" s="1280" t="e">
        <f ca="1">IF(O42="最终结果/万元",C32,C33)</f>
        <v>#REF!</v>
      </c>
      <c r="P43" s="2034"/>
      <c r="V43" s="2034"/>
    </row>
    <row r="44" spans="1:26" ht="18.75" thickBot="1">
      <c r="A44" s="3318" t="str">
        <f>IF(OR(项目基本情况!E8="抵押价格",项目基本情况!E8="已注销及未注销"),"3.抵押价格","——")</f>
        <v>——</v>
      </c>
      <c r="B44" s="3319"/>
      <c r="C44" s="264" t="str">
        <f>IF(A44="——","——",C42-C43)</f>
        <v>——</v>
      </c>
      <c r="D44" s="320" t="e">
        <f>ROUND(C44*10000/'数据-汇总表'!E3,0)</f>
        <v>#VALUE!</v>
      </c>
      <c r="E44" s="320" t="e">
        <f>ROUND(C44*10000/'数据-汇总表'!D3,0)</f>
        <v>#VALUE!</v>
      </c>
      <c r="F44" s="321" t="e">
        <f>ROUND(C44/('数据-汇总表'!D3/666.67),0)</f>
        <v>#VALUE!</v>
      </c>
      <c r="G44" s="314"/>
      <c r="H44" s="314"/>
      <c r="I44" s="322"/>
      <c r="J44" s="2036"/>
      <c r="K44" s="1281">
        <f>D4</f>
        <v>0</v>
      </c>
      <c r="L44" s="1282" t="e">
        <f ca="1">IF(L42="估价结果/万元",D19,D20)</f>
        <v>#REF!</v>
      </c>
      <c r="M44" s="1283" t="e">
        <f>D18</f>
        <v>#DIV/0!</v>
      </c>
      <c r="N44" s="1284"/>
      <c r="O44" s="1285"/>
      <c r="P44" s="2034"/>
      <c r="V44" s="2034"/>
    </row>
    <row r="45" spans="1:26" ht="15">
      <c r="A45" s="3323" t="str">
        <f>IF(项目基本情况!E8="已注销及未注销","4.抵押担保权已注销时的抵押价格",IF(项目基本情况!E8="已注销","3.抵押担保权已注销时的抵押价格","——"))</f>
        <v>——</v>
      </c>
      <c r="B45" s="3324"/>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20" t="str">
        <f>IF(项目基本情况!E9="抵押净值",IF(A45="——","4.抵押净值","5.抵押净值"),"——")</f>
        <v>——</v>
      </c>
      <c r="B46" s="3321"/>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286" t="s">
        <v>374</v>
      </c>
      <c r="B63" s="3287"/>
      <c r="C63" s="3288"/>
      <c r="D63" s="344" t="e">
        <f ca="1">ROUND(C42*F63,0)</f>
        <v>#REF!</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325" t="s">
        <v>378</v>
      </c>
      <c r="B64" s="3326"/>
      <c r="C64" s="3326"/>
      <c r="D64" s="3326"/>
      <c r="E64" s="3326"/>
      <c r="F64" s="3326"/>
      <c r="G64" s="3327"/>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22" t="s">
        <v>386</v>
      </c>
      <c r="B66" s="3293"/>
      <c r="C66" s="3293"/>
      <c r="D66" s="261" t="e">
        <f ca="1">IF(H66="情况1",0,IF(H66="情况2",D70,IF(H66="情况3",D71,IF(H66="情况4",D72))))</f>
        <v>#REF!</v>
      </c>
      <c r="E66" s="996" t="str">
        <f>IF(H66="情况4","(销售额-原购置价)×税（费）率","销售额×税（费）率")</f>
        <v>销售额×税（费）率</v>
      </c>
      <c r="F66" s="353">
        <f>IF(H66="情况1","免征",'数据-取费表'!B41)</f>
        <v>0.05</v>
      </c>
      <c r="G66" s="354" t="s">
        <v>387</v>
      </c>
      <c r="H66" s="191" t="s">
        <v>388</v>
      </c>
      <c r="I66" s="1291"/>
      <c r="J66" s="2040"/>
      <c r="K66" s="1294">
        <v>1</v>
      </c>
      <c r="L66" s="3262" t="s">
        <v>385</v>
      </c>
      <c r="M66" s="3263"/>
      <c r="N66" s="2493"/>
      <c r="O66" s="2494"/>
      <c r="P66" s="2495"/>
      <c r="Q66" s="2034"/>
      <c r="R66" s="2034"/>
      <c r="S66" s="2034"/>
      <c r="T66" s="2034"/>
      <c r="U66" s="2034"/>
      <c r="V66" s="2034"/>
    </row>
    <row r="67" spans="1:22" ht="25.5" customHeight="1">
      <c r="A67" s="355" t="s">
        <v>390</v>
      </c>
      <c r="B67" s="3305" t="s">
        <v>391</v>
      </c>
      <c r="C67" s="3305"/>
      <c r="D67" s="356">
        <v>0</v>
      </c>
      <c r="E67" s="41" t="s">
        <v>392</v>
      </c>
      <c r="F67" s="62" t="s">
        <v>21</v>
      </c>
      <c r="G67" s="3289"/>
      <c r="H67" s="314"/>
      <c r="I67" s="1295"/>
      <c r="J67" s="2041"/>
      <c r="K67" s="1982">
        <v>2</v>
      </c>
      <c r="L67" s="3261" t="s">
        <v>389</v>
      </c>
      <c r="M67" s="3261"/>
      <c r="N67" s="1328">
        <f>'数据-取费表'!B2</f>
        <v>0</v>
      </c>
      <c r="O67" s="1328"/>
      <c r="P67" s="1328"/>
      <c r="Q67" s="2034"/>
      <c r="R67" s="2034"/>
      <c r="S67" s="2034"/>
      <c r="T67" s="2034"/>
      <c r="U67" s="2034"/>
      <c r="V67" s="2034"/>
    </row>
    <row r="68" spans="1:22" ht="25.5" customHeight="1">
      <c r="A68" s="357"/>
      <c r="B68" s="3305" t="s">
        <v>394</v>
      </c>
      <c r="C68" s="3305"/>
      <c r="D68" s="358"/>
      <c r="E68" s="77"/>
      <c r="F68" s="359"/>
      <c r="G68" s="3290"/>
      <c r="H68" s="314"/>
      <c r="I68" s="1295"/>
      <c r="J68" s="2041"/>
      <c r="K68" s="1982">
        <v>3</v>
      </c>
      <c r="L68" s="3261" t="s">
        <v>393</v>
      </c>
      <c r="M68" s="3261"/>
      <c r="N68" s="1296" t="e">
        <f ca="1">C42</f>
        <v>#REF!</v>
      </c>
      <c r="O68" s="1296"/>
      <c r="P68" s="1296"/>
      <c r="Q68" s="2034"/>
      <c r="R68" s="2034"/>
      <c r="S68" s="2034"/>
      <c r="T68" s="2034"/>
      <c r="U68" s="2034"/>
      <c r="V68" s="2034"/>
    </row>
    <row r="69" spans="1:22" ht="12" customHeight="1">
      <c r="A69" s="360"/>
      <c r="B69" s="3305" t="s">
        <v>395</v>
      </c>
      <c r="C69" s="3305"/>
      <c r="D69" s="361"/>
      <c r="E69" s="73"/>
      <c r="F69" s="359"/>
      <c r="G69" s="3291"/>
      <c r="H69" s="314"/>
      <c r="I69" s="1295"/>
      <c r="J69" s="2041"/>
      <c r="K69" s="1297">
        <v>4</v>
      </c>
      <c r="L69" s="3267" t="s">
        <v>2896</v>
      </c>
      <c r="M69" s="3268"/>
      <c r="N69" s="1298" t="str">
        <f>C44</f>
        <v>——</v>
      </c>
      <c r="O69" s="1298"/>
      <c r="P69" s="1298"/>
      <c r="Q69" s="2034"/>
      <c r="R69" s="2034"/>
      <c r="S69" s="2034"/>
      <c r="T69" s="2034"/>
      <c r="U69" s="2034"/>
      <c r="V69" s="2034"/>
    </row>
    <row r="70" spans="1:22" ht="24" customHeight="1">
      <c r="A70" s="362" t="s">
        <v>396</v>
      </c>
      <c r="B70" s="3305" t="s">
        <v>397</v>
      </c>
      <c r="C70" s="3305"/>
      <c r="D70" s="361" t="e">
        <f ca="1">ROUND(D63*'数据-取费表'!B41/(1+'数据-取费表'!C42),0)</f>
        <v>#REF!</v>
      </c>
      <c r="E70" s="17" t="s">
        <v>398</v>
      </c>
      <c r="F70" s="363">
        <f>'数据-取费表'!B41</f>
        <v>0.05</v>
      </c>
      <c r="G70" s="364"/>
      <c r="H70" s="314"/>
      <c r="I70" s="1295"/>
      <c r="J70" s="2041"/>
      <c r="K70" s="3101"/>
      <c r="L70" s="3102"/>
      <c r="M70" s="3102"/>
      <c r="N70" s="3103" t="s">
        <v>2901</v>
      </c>
      <c r="O70" s="3102"/>
      <c r="P70" s="3104"/>
      <c r="Q70" s="2034"/>
      <c r="R70" s="2034"/>
      <c r="S70" s="2034"/>
      <c r="T70" s="2034"/>
      <c r="U70" s="2034"/>
      <c r="V70" s="2034"/>
    </row>
    <row r="71" spans="1:22" ht="12" customHeight="1">
      <c r="A71" s="362" t="s">
        <v>404</v>
      </c>
      <c r="B71" s="3304" t="s">
        <v>405</v>
      </c>
      <c r="C71" s="3316"/>
      <c r="D71" s="361" t="e">
        <f ca="1">ROUND(D63*'数据-取费表'!B41/(1+'数据-取费表'!C42),0)</f>
        <v>#REF!</v>
      </c>
      <c r="E71" s="17" t="s">
        <v>398</v>
      </c>
      <c r="F71" s="363">
        <f>'数据-取费表'!B41</f>
        <v>0.05</v>
      </c>
      <c r="G71" s="364"/>
      <c r="H71" s="314"/>
      <c r="I71" s="1295"/>
      <c r="J71" s="2041"/>
      <c r="K71" s="3100" t="s">
        <v>399</v>
      </c>
      <c r="L71" s="3269" t="s">
        <v>400</v>
      </c>
      <c r="M71" s="3269"/>
      <c r="N71" s="3100" t="s">
        <v>401</v>
      </c>
      <c r="O71" s="3100" t="s">
        <v>402</v>
      </c>
      <c r="P71" s="3100" t="s">
        <v>403</v>
      </c>
      <c r="Q71" s="2034"/>
      <c r="R71" s="2034"/>
      <c r="S71" s="2034"/>
      <c r="T71" s="2034"/>
      <c r="U71" s="2034"/>
      <c r="V71" s="2034"/>
    </row>
    <row r="72" spans="1:22" ht="12" customHeight="1">
      <c r="A72" s="362" t="s">
        <v>407</v>
      </c>
      <c r="B72" s="3304" t="s">
        <v>408</v>
      </c>
      <c r="C72" s="3316"/>
      <c r="D72" s="361" t="e">
        <f ca="1">C86</f>
        <v>#REF!</v>
      </c>
      <c r="E72" s="73" t="s">
        <v>409</v>
      </c>
      <c r="F72" s="363">
        <f>'数据-取费表'!B41</f>
        <v>0.05</v>
      </c>
      <c r="G72" s="364"/>
      <c r="H72" s="1301"/>
      <c r="I72" s="1295"/>
      <c r="J72" s="2041"/>
      <c r="K72" s="1982">
        <v>1</v>
      </c>
      <c r="L72" s="3266" t="s">
        <v>406</v>
      </c>
      <c r="M72" s="3266"/>
      <c r="N72" s="1299" t="e">
        <f ca="1">D66</f>
        <v>#REF!</v>
      </c>
      <c r="O72" s="1865" t="str">
        <f>E66</f>
        <v>销售额×税（费）率</v>
      </c>
      <c r="P72" s="1300">
        <f>F66</f>
        <v>0.05</v>
      </c>
      <c r="Q72" s="2034"/>
      <c r="R72" s="2034"/>
      <c r="S72" s="2034"/>
      <c r="T72" s="2034"/>
      <c r="U72" s="2034"/>
      <c r="V72" s="2034"/>
    </row>
    <row r="73" spans="1:22" ht="24" customHeight="1">
      <c r="A73" s="3292" t="s">
        <v>411</v>
      </c>
      <c r="B73" s="3293"/>
      <c r="C73" s="3293"/>
      <c r="D73" s="365">
        <f>IF(H73="个人住宅",0,ROUND(D63*I73,0))</f>
        <v>0</v>
      </c>
      <c r="E73" s="17" t="s">
        <v>412</v>
      </c>
      <c r="F73" s="363" t="str">
        <f>IF(H73="正常",I73,"免征")</f>
        <v>免征</v>
      </c>
      <c r="G73" s="364"/>
      <c r="H73" s="191" t="s">
        <v>2464</v>
      </c>
      <c r="I73" s="363">
        <f>'数据-取费表'!B49</f>
        <v>0</v>
      </c>
      <c r="J73" s="2041"/>
      <c r="K73" s="1982">
        <v>2</v>
      </c>
      <c r="L73" s="3266" t="s">
        <v>410</v>
      </c>
      <c r="M73" s="3266"/>
      <c r="N73" s="1299">
        <f t="shared" ref="N73:P74" si="1">D73</f>
        <v>0</v>
      </c>
      <c r="O73" s="1865" t="str">
        <f t="shared" si="1"/>
        <v>销售额×税（费）率</v>
      </c>
      <c r="P73" s="1300" t="str">
        <f t="shared" si="1"/>
        <v>免征</v>
      </c>
      <c r="Q73" s="2034"/>
      <c r="R73" s="2034"/>
      <c r="S73" s="2034"/>
      <c r="T73" s="2034"/>
      <c r="U73" s="2034"/>
      <c r="V73" s="2034"/>
    </row>
    <row r="74" spans="1:22" ht="24.75">
      <c r="A74" s="3292" t="s">
        <v>415</v>
      </c>
      <c r="B74" s="3293"/>
      <c r="C74" s="3293"/>
      <c r="D74" s="365" t="e">
        <f ca="1">IF(H74="个人住宅",D75,D76)</f>
        <v>#REF!</v>
      </c>
      <c r="E74" s="17" t="s">
        <v>416</v>
      </c>
      <c r="F74" s="363" t="str">
        <f>IF(H74="正常",F76,"免征")</f>
        <v>——</v>
      </c>
      <c r="G74" s="986" t="s">
        <v>417</v>
      </c>
      <c r="H74" s="366" t="s">
        <v>413</v>
      </c>
      <c r="I74" s="42"/>
      <c r="J74" s="2041"/>
      <c r="K74" s="1982">
        <v>3</v>
      </c>
      <c r="L74" s="3266" t="s">
        <v>414</v>
      </c>
      <c r="M74" s="3266"/>
      <c r="N74" s="1299" t="e">
        <f t="shared" ca="1" si="1"/>
        <v>#REF!</v>
      </c>
      <c r="O74" s="1865" t="str">
        <f t="shared" si="1"/>
        <v>增值额×税（费）率</v>
      </c>
      <c r="P74" s="1302" t="str">
        <f t="shared" si="1"/>
        <v>——</v>
      </c>
      <c r="Q74" s="2034"/>
      <c r="R74" s="2034"/>
      <c r="S74" s="2034"/>
      <c r="T74" s="2034"/>
      <c r="U74" s="2034"/>
      <c r="V74" s="2034"/>
    </row>
    <row r="75" spans="1:22" ht="24">
      <c r="A75" s="362" t="s">
        <v>418</v>
      </c>
      <c r="B75" s="3273" t="s">
        <v>419</v>
      </c>
      <c r="C75" s="3274"/>
      <c r="D75" s="367">
        <v>0</v>
      </c>
      <c r="E75" s="41" t="s">
        <v>420</v>
      </c>
      <c r="F75" s="368"/>
      <c r="G75" s="364"/>
      <c r="H75" s="42"/>
      <c r="I75" s="42"/>
      <c r="J75" s="2041"/>
      <c r="K75" s="3093">
        <f>IF(H77="非个人房产","",4)</f>
        <v>4</v>
      </c>
      <c r="L75" s="3266" t="str">
        <f>IF(H77="非个人房产","——","个人所得税")</f>
        <v>个人所得税</v>
      </c>
      <c r="M75" s="3266"/>
      <c r="N75" s="1303" t="e">
        <f ca="1">D77</f>
        <v>#REF!</v>
      </c>
      <c r="O75" s="1878" t="str">
        <f>E77</f>
        <v>销售额×税（费）率</v>
      </c>
      <c r="P75" s="1304">
        <f>F77</f>
        <v>0.01</v>
      </c>
      <c r="Q75" s="2034"/>
      <c r="R75" s="2034"/>
      <c r="S75" s="2034"/>
      <c r="T75" s="2034"/>
      <c r="U75" s="2034"/>
      <c r="V75" s="2034"/>
    </row>
    <row r="76" spans="1:22" ht="24.75">
      <c r="A76" s="362" t="s">
        <v>396</v>
      </c>
      <c r="B76" s="3273" t="s">
        <v>422</v>
      </c>
      <c r="C76" s="3315"/>
      <c r="D76" s="365" t="e">
        <f ca="1">IF(H76="转让取得",C99,C115)</f>
        <v>#REF!</v>
      </c>
      <c r="E76" s="17" t="s">
        <v>423</v>
      </c>
      <c r="F76" s="53" t="s">
        <v>21</v>
      </c>
      <c r="G76" s="364"/>
      <c r="H76" s="366" t="s">
        <v>424</v>
      </c>
      <c r="I76" s="42"/>
      <c r="J76" s="2041"/>
      <c r="K76" s="3093" t="str">
        <f>IF(项目基本情况!K6="上海银行",IF(K75="",4,K75+1),"")</f>
        <v/>
      </c>
      <c r="L76" s="3254" t="str">
        <f>IF(项目基本情况!K6="上海银行","其他处置费用","")</f>
        <v/>
      </c>
      <c r="M76" s="3255"/>
      <c r="N76" s="1299" t="str">
        <f>IF(项目基本情况!K6="上海银行",N89,"")</f>
        <v/>
      </c>
      <c r="O76" s="3256" t="str">
        <f>IF(项目基本情况!K6="上海银行","包含处置中涉及的律师、诉讼、拍卖、评估等费用","")</f>
        <v/>
      </c>
      <c r="P76" s="3257"/>
      <c r="Q76" s="2034"/>
      <c r="R76" s="2034"/>
      <c r="S76" s="2034"/>
      <c r="T76" s="2034"/>
      <c r="U76" s="2034"/>
      <c r="V76" s="2034"/>
    </row>
    <row r="77" spans="1:22" ht="26.25" thickBot="1">
      <c r="A77" s="3284" t="s">
        <v>426</v>
      </c>
      <c r="B77" s="3285"/>
      <c r="C77" s="3285"/>
      <c r="D77" s="369" t="e">
        <f ca="1">IF(H77="非个人房产","——",IF(H77="个人住宅",0,ROUND(D63*I77,0)))</f>
        <v>#REF!</v>
      </c>
      <c r="E77" s="370" t="str">
        <f>IF(H77="非个人房产","——","销售额×税（费）率")</f>
        <v>销售额×税（费）率</v>
      </c>
      <c r="F77" s="371">
        <f>IF(H77="非个人房产","——",IF(H77="个人住宅","免征",I77))</f>
        <v>0.01</v>
      </c>
      <c r="G77" s="987" t="s">
        <v>417</v>
      </c>
      <c r="H77" s="366" t="s">
        <v>2897</v>
      </c>
      <c r="I77" s="372">
        <v>0.01</v>
      </c>
      <c r="J77" s="2041"/>
      <c r="K77" s="3280">
        <f>IF(AND(K75="",K76=""),4,IF(项目基本情况!K6="上海银行",K76+1,K75+1))</f>
        <v>5</v>
      </c>
      <c r="L77" s="3266" t="s">
        <v>2898</v>
      </c>
      <c r="M77" s="3099" t="s">
        <v>421</v>
      </c>
      <c r="N77" s="1305"/>
      <c r="O77" s="1306">
        <f ca="1">SUMIF(N72:N76,"&lt;9e307")</f>
        <v>0</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280"/>
      <c r="L78" s="3266"/>
      <c r="M78" s="3099" t="s">
        <v>425</v>
      </c>
      <c r="N78" s="1305"/>
      <c r="O78" s="1306" t="str">
        <f ca="1">NUMBERSTRING(INT(O77*10000),2)&amp;"元整"</f>
        <v>零元整</v>
      </c>
      <c r="P78" s="1307"/>
      <c r="Q78" s="2034"/>
      <c r="R78" s="2034"/>
      <c r="S78" s="2034"/>
      <c r="T78" s="2034"/>
      <c r="U78" s="2034"/>
      <c r="V78" s="2034"/>
    </row>
    <row r="79" spans="1:22" ht="13.5" thickBot="1">
      <c r="A79" s="3270" t="s">
        <v>427</v>
      </c>
      <c r="B79" s="3270"/>
      <c r="C79" s="3270"/>
      <c r="D79" s="3270"/>
      <c r="E79" s="3270"/>
      <c r="F79" s="42"/>
      <c r="G79" s="42"/>
      <c r="H79" s="1006"/>
      <c r="I79" s="314"/>
      <c r="J79" s="2041"/>
      <c r="K79" s="3264">
        <f>K77+1</f>
        <v>6</v>
      </c>
      <c r="L79" s="3266" t="s">
        <v>2899</v>
      </c>
      <c r="M79" s="3099" t="s">
        <v>421</v>
      </c>
      <c r="N79" s="1305"/>
      <c r="O79" s="1306" t="e">
        <f ca="1">N69-O77</f>
        <v>#VALUE!</v>
      </c>
      <c r="P79" s="1307"/>
      <c r="Q79" s="2034"/>
      <c r="R79" s="2034"/>
      <c r="S79" s="2034"/>
      <c r="T79" s="2034"/>
      <c r="U79" s="2034"/>
      <c r="V79" s="2034"/>
    </row>
    <row r="80" spans="1:22" ht="12.75">
      <c r="A80" s="3271" t="s">
        <v>428</v>
      </c>
      <c r="B80" s="3272"/>
      <c r="C80" s="997"/>
      <c r="D80" s="997" t="s">
        <v>429</v>
      </c>
      <c r="E80" s="373" t="s">
        <v>430</v>
      </c>
      <c r="F80" s="42"/>
      <c r="G80" s="42"/>
      <c r="H80" s="1006"/>
      <c r="I80" s="314"/>
      <c r="J80" s="2034"/>
      <c r="K80" s="3265"/>
      <c r="L80" s="3266"/>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t="e">
        <f ca="1">ROUND((C82+C83)/(1+'数据-取费表'!C42),0)</f>
        <v>#REF!</v>
      </c>
      <c r="D81" s="376"/>
      <c r="E81" s="377"/>
      <c r="F81" s="42"/>
      <c r="G81" s="42"/>
      <c r="H81" s="1006"/>
      <c r="I81" s="314"/>
      <c r="J81" s="2034"/>
      <c r="K81" s="3093">
        <f>K79+1</f>
        <v>7</v>
      </c>
      <c r="L81" s="3278" t="s">
        <v>2900</v>
      </c>
      <c r="M81" s="3279"/>
      <c r="N81" s="1309"/>
      <c r="O81" s="1310" t="e">
        <f ca="1">ROUND(O79*10000/'数据-汇总表'!E3,0)</f>
        <v>#VALUE!</v>
      </c>
      <c r="P81" s="1311"/>
      <c r="Q81" s="2034"/>
      <c r="R81" s="2034"/>
      <c r="S81" s="2034"/>
      <c r="T81" s="2034"/>
      <c r="U81" s="2034"/>
      <c r="V81" s="2034"/>
    </row>
    <row r="82" spans="1:26" ht="13.5" thickTop="1">
      <c r="A82" s="378" t="s">
        <v>1829</v>
      </c>
      <c r="B82" s="379" t="s">
        <v>432</v>
      </c>
      <c r="C82" s="380" t="e">
        <f ca="1">D63</f>
        <v>#REF!</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253" t="s">
        <v>2887</v>
      </c>
      <c r="L83" s="3105" t="s">
        <v>2888</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2957</v>
      </c>
      <c r="F84" s="42"/>
      <c r="G84" s="42"/>
      <c r="H84" s="1006"/>
      <c r="I84" s="314"/>
      <c r="J84" s="2034"/>
      <c r="K84" s="3253"/>
      <c r="L84" s="3105" t="s">
        <v>2889</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2890</v>
      </c>
      <c r="P84" s="2034"/>
      <c r="Q84" s="2034"/>
      <c r="R84" s="2034"/>
      <c r="S84" s="2034"/>
      <c r="T84" s="2034"/>
      <c r="U84" s="2034"/>
      <c r="V84" s="2034"/>
    </row>
    <row r="85" spans="1:26" ht="12.75">
      <c r="A85" s="384" t="s">
        <v>1832</v>
      </c>
      <c r="B85" s="385" t="s">
        <v>435</v>
      </c>
      <c r="C85" s="388" t="e">
        <f ca="1">C81-C84</f>
        <v>#REF!</v>
      </c>
      <c r="D85" s="381" t="s">
        <v>19</v>
      </c>
      <c r="E85" s="382"/>
      <c r="F85" s="42"/>
      <c r="G85" s="42"/>
      <c r="H85" s="1006"/>
      <c r="I85" s="314"/>
      <c r="J85" s="2034"/>
      <c r="K85" s="3253"/>
      <c r="L85" s="3105" t="s">
        <v>2891</v>
      </c>
      <c r="M85" s="3095" t="e">
        <f>IF(N69&gt;1000,N69*0.1%,IF(AND(N69&gt;500,N69&lt;=1000),N69*0.5%,IF(AND(N69&gt;50,N69&lt;=500),N69*1%,IF(AND(N69&gt;1,N69&lt;=50),N69*1.5%))))</f>
        <v>#VALUE!</v>
      </c>
      <c r="N85" s="53" t="e">
        <f t="shared" si="2"/>
        <v>#VALUE!</v>
      </c>
      <c r="O85" s="2034" t="s">
        <v>2890</v>
      </c>
      <c r="P85" s="2034"/>
      <c r="Q85" s="2034"/>
      <c r="R85" s="2034"/>
      <c r="S85" s="2034"/>
      <c r="T85" s="2034"/>
      <c r="U85" s="2034"/>
      <c r="V85" s="2034"/>
    </row>
    <row r="86" spans="1:26" ht="13.5" thickBot="1">
      <c r="A86" s="389" t="s">
        <v>1833</v>
      </c>
      <c r="B86" s="390" t="s">
        <v>436</v>
      </c>
      <c r="C86" s="391" t="e">
        <f ca="1">IF(C85&lt;=0,0,ROUND(C85*D86,0))</f>
        <v>#REF!</v>
      </c>
      <c r="D86" s="392">
        <f>'数据-取费表'!B41</f>
        <v>0.05</v>
      </c>
      <c r="E86" s="393"/>
      <c r="F86" s="42"/>
      <c r="G86" s="42"/>
      <c r="H86" s="1006"/>
      <c r="I86" s="314"/>
      <c r="J86" s="2034"/>
      <c r="K86" s="3253"/>
      <c r="L86" s="3105" t="s">
        <v>2892</v>
      </c>
      <c r="M86" s="3095" t="e">
        <f>N69*0.5%</f>
        <v>#VALUE!</v>
      </c>
      <c r="N86" s="53" t="e">
        <f>IF(M86&gt;0.5,0.5,ROUND(M86,0))</f>
        <v>#VALUE!</v>
      </c>
      <c r="O86" s="2034" t="s">
        <v>2893</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53"/>
      <c r="L87" s="3105" t="s">
        <v>2894</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307" t="s">
        <v>437</v>
      </c>
      <c r="B88" s="3308"/>
      <c r="C88" s="3308"/>
      <c r="D88" s="3308"/>
      <c r="E88" s="3308"/>
      <c r="F88" s="3308"/>
      <c r="G88" s="3308"/>
      <c r="H88" s="3308"/>
      <c r="I88" s="1318"/>
      <c r="J88" s="2042"/>
      <c r="K88" s="3253"/>
      <c r="L88" s="3105" t="s">
        <v>2895</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71" t="s">
        <v>428</v>
      </c>
      <c r="B89" s="3272"/>
      <c r="C89" s="997"/>
      <c r="D89" s="997" t="s">
        <v>429</v>
      </c>
      <c r="E89" s="394" t="s">
        <v>438</v>
      </c>
      <c r="F89" s="395"/>
      <c r="G89" s="395"/>
      <c r="H89" s="396"/>
      <c r="I89" s="1319"/>
      <c r="J89" s="2044"/>
      <c r="K89" s="3253"/>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t="e">
        <f ca="1">ROUND(D63/(1+'数据-取费表'!C42),0)</f>
        <v>#REF!</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t="e">
        <f ca="1">C92+C96</f>
        <v>#REF!</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304" t="s">
        <v>447</v>
      </c>
      <c r="F94" s="3305"/>
      <c r="G94" s="3305"/>
      <c r="H94" s="3306"/>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2437</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t="e">
        <f ca="1">ROUND(D63*D96/(1+'数据-取费表'!C42),0)</f>
        <v>#REF!</v>
      </c>
      <c r="D96" s="409">
        <f>'数据-取费表'!B43</f>
        <v>0</v>
      </c>
      <c r="E96" s="3294" t="s">
        <v>2436</v>
      </c>
      <c r="F96" s="3295"/>
      <c r="G96" s="3295"/>
      <c r="H96" s="3296"/>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t="e">
        <f ca="1">C90-C91</f>
        <v>#REF!</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t="e">
        <f ca="1">IF(C97&lt;=0,0,C97/C91)</f>
        <v>#REF!</v>
      </c>
      <c r="D98" s="381" t="s">
        <v>19</v>
      </c>
      <c r="E98" s="26" t="e">
        <f ca="1">IF(C98&gt;=200%,"增值额超过扣除项目金额200%",IF(C98&gt;=100%,"增值额超过扣除项目金额100%，未超过200%",IF(C98&gt;=50%,"增值额超过扣除项目金额50%，未超过100%",IF(C98&lt;50%,"增值额未超过扣除项目金额50%"))))</f>
        <v>#REF!</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t="e">
        <f ca="1">ROUND(IF(C97&lt;=0,0,IF(C98&gt;=200%,C97*60%-C91*35%,IF(C98&gt;=100%,C97*50%-C91*15%,IF(C98&gt;=50%,C97*40%-C91*5%,IF(C98&lt;50%,C97*30%,0))))),0)</f>
        <v>#REF!</v>
      </c>
      <c r="D99" s="412" t="s">
        <v>19</v>
      </c>
      <c r="E99" s="41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07" t="s">
        <v>454</v>
      </c>
      <c r="B101" s="3308"/>
      <c r="C101" s="3308"/>
      <c r="D101" s="3308"/>
      <c r="E101" s="3308"/>
      <c r="F101" s="3308"/>
      <c r="G101" s="3308"/>
      <c r="H101" s="3308"/>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71" t="s">
        <v>428</v>
      </c>
      <c r="B102" s="3272"/>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t="e">
        <f ca="1">ROUND(D63/(1+'数据-取费表'!C42),0)</f>
        <v>#REF!</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t="e">
        <f ca="1">IF(H106="仅含出让金",C105+C108+C109+C110+C111+C112,C105+C109+C110+C111+C112)</f>
        <v>#REF!</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555</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2447</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0</v>
      </c>
      <c r="D107" s="409">
        <f>'数据-取费表'!B48+'数据-取费表'!B49</f>
        <v>0</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97" t="s">
        <v>462</v>
      </c>
      <c r="F109" s="3295"/>
      <c r="G109" s="3295"/>
      <c r="H109" s="1947" t="s">
        <v>2286</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61</v>
      </c>
      <c r="D110" s="409">
        <v>0.1</v>
      </c>
      <c r="E110" s="3297" t="s">
        <v>464</v>
      </c>
      <c r="F110" s="3295"/>
      <c r="G110" s="3295"/>
      <c r="H110" s="3296"/>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t="e">
        <f ca="1">ROUND(D63*D111/(1+'数据-取费表'!C42),0)</f>
        <v>#REF!</v>
      </c>
      <c r="D111" s="409">
        <f>'数据-取费表'!B43</f>
        <v>0</v>
      </c>
      <c r="E111" s="3294" t="s">
        <v>2436</v>
      </c>
      <c r="F111" s="3295"/>
      <c r="G111" s="3295"/>
      <c r="H111" s="3296"/>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97" t="s">
        <v>2461</v>
      </c>
      <c r="F112" s="3295"/>
      <c r="G112" s="3295"/>
      <c r="H112" s="3296"/>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t="e">
        <f ca="1">ROUND(C103-C104,0)</f>
        <v>#REF!</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t="e">
        <f ca="1">IF(C113&lt;=0,0,C113/C104)</f>
        <v>#REF!</v>
      </c>
      <c r="D114" s="381" t="s">
        <v>19</v>
      </c>
      <c r="E114" s="26" t="e">
        <f ca="1">IF(C114&gt;=200%,"增值额超过扣除项目金额200%",IF(C114&gt;=100%,"增值额超过扣除项目金额100%，未超过200%",IF(C114&gt;=50%,"增值额超过扣除项目金额50%，未超过100%",IF(C114&lt;50%,"增值额未超过扣除项目金额50%"))))</f>
        <v>#REF!</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t="e">
        <f ca="1">ROUND(IF(C113&lt;=0,0,IF(C114&gt;=200%,C113*60%-C104*35%,IF(C114&gt;=100%,C113*50%-C104*15%,IF(C114&gt;=50%,C113*40%-C104*5%,IF(C114&lt;50%,C113*30%,0))))),0)</f>
        <v>#REF!</v>
      </c>
      <c r="D115" s="412" t="s">
        <v>19</v>
      </c>
      <c r="E115" s="41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9" sqref="C29"/>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6</v>
      </c>
    </row>
    <row r="2" spans="1:31" s="2047" customFormat="1" ht="18" customHeight="1">
      <c r="A2" s="2111" t="s">
        <v>467</v>
      </c>
      <c r="B2" s="2115" t="e">
        <f ca="1">C36</f>
        <v>#DIV/0!</v>
      </c>
      <c r="C2" s="2114"/>
      <c r="D2" s="2114"/>
      <c r="E2" s="2114"/>
      <c r="F2" s="2114"/>
      <c r="G2" s="2114"/>
      <c r="H2" s="2114"/>
      <c r="I2" s="2114"/>
      <c r="J2" s="2114"/>
      <c r="K2" s="2114"/>
    </row>
    <row r="3" spans="1:31" s="2047" customFormat="1" ht="18" customHeight="1">
      <c r="A3" s="2116" t="s">
        <v>1688</v>
      </c>
      <c r="B3" s="2117" t="e">
        <f ca="1">ROUND(B2*10000/IF(B1="",'数据-汇总表'!E3,INDIRECT("'数据-取费表'!K"&amp;$K$1)),0)</f>
        <v>#DIV/0!</v>
      </c>
      <c r="C3" s="2114"/>
      <c r="D3" s="2114"/>
      <c r="E3" s="2114"/>
      <c r="F3" s="2114"/>
      <c r="G3" s="2114"/>
      <c r="H3" s="2114"/>
      <c r="I3" s="2114"/>
      <c r="J3" s="2114"/>
      <c r="K3" s="2114"/>
    </row>
    <row r="4" spans="1:31" s="2047" customFormat="1" ht="18" customHeight="1">
      <c r="A4" s="429" t="s">
        <v>468</v>
      </c>
      <c r="B4" s="430" t="e">
        <f ca="1">ROUND(B2*10000/IF(B1="",'数据-汇总表'!D3,INDIRECT("'数据-取费表'!R"&amp;$K$1)),0)</f>
        <v>#DIV/0!</v>
      </c>
      <c r="C4" s="431"/>
      <c r="D4" s="425"/>
      <c r="E4" s="425"/>
      <c r="F4" s="425"/>
      <c r="G4" s="425"/>
      <c r="H4" s="425"/>
      <c r="I4" s="425"/>
      <c r="J4" s="425"/>
      <c r="K4" s="425"/>
    </row>
    <row r="5" spans="1:31" s="2047" customFormat="1" ht="18" customHeight="1" thickBot="1">
      <c r="A5" s="432"/>
      <c r="B5" s="433" t="e">
        <f ca="1">ROUND(B2/(IF(B1="",'数据-汇总表'!D3,INDIRECT("'数据-取费表'!R"&amp;$K$1))/666.67),0)</f>
        <v>#DIV/0!</v>
      </c>
      <c r="C5" s="434" t="s">
        <v>469</v>
      </c>
      <c r="D5" s="425"/>
      <c r="E5" s="425"/>
      <c r="F5" s="425"/>
      <c r="G5" s="425"/>
      <c r="H5" s="425"/>
      <c r="I5" s="425"/>
      <c r="J5" s="425"/>
      <c r="K5" s="425"/>
    </row>
    <row r="6" spans="1:31" s="2121" customFormat="1" ht="16.5" customHeight="1">
      <c r="A6" s="2867" t="s">
        <v>1847</v>
      </c>
      <c r="B6" s="2868"/>
      <c r="C6" s="2869">
        <f>SUM(C10:K10)</f>
        <v>0</v>
      </c>
      <c r="D6" s="2868"/>
      <c r="E6" s="2868"/>
      <c r="F6" s="2868"/>
      <c r="G6" s="2868"/>
      <c r="H6" s="2868"/>
      <c r="I6" s="2868"/>
      <c r="J6" s="2868"/>
      <c r="K6" s="2870"/>
    </row>
    <row r="7" spans="1:31" s="2123" customFormat="1" ht="15">
      <c r="A7" s="2871" t="s">
        <v>470</v>
      </c>
      <c r="B7" s="2872"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0</v>
      </c>
      <c r="D13" s="2883"/>
      <c r="E13" s="2884"/>
      <c r="F13" s="2885"/>
      <c r="G13" s="2851"/>
      <c r="H13" s="2852"/>
      <c r="I13" s="2852"/>
      <c r="J13" s="2852"/>
      <c r="K13" s="2853"/>
    </row>
    <row r="14" spans="1:31" s="2126" customFormat="1" ht="13.5" customHeight="1">
      <c r="A14" s="2881" t="s">
        <v>1854</v>
      </c>
      <c r="B14" s="2882" t="s">
        <v>480</v>
      </c>
      <c r="C14" s="53">
        <f ca="1">ROUND(C13*F14,0)</f>
        <v>0</v>
      </c>
      <c r="D14" s="2883"/>
      <c r="E14" s="2884"/>
      <c r="F14" s="2886">
        <f>'数据-取费表'!B33</f>
        <v>0</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0</v>
      </c>
      <c r="D15" s="2883"/>
      <c r="E15" s="2884"/>
      <c r="F15" s="2886">
        <f>'数据-取费表'!B34</f>
        <v>0</v>
      </c>
      <c r="G15" s="2851" t="s">
        <v>483</v>
      </c>
      <c r="H15" s="2852"/>
      <c r="I15" s="2852"/>
      <c r="J15" s="2852"/>
      <c r="K15" s="2853"/>
    </row>
    <row r="16" spans="1:31" s="2127" customFormat="1" ht="13.5" customHeight="1">
      <c r="A16" s="2881" t="s">
        <v>1856</v>
      </c>
      <c r="B16" s="2882" t="s">
        <v>484</v>
      </c>
      <c r="C16" s="53">
        <f ca="1">ROUND(D16*E16/10000,0)</f>
        <v>0</v>
      </c>
      <c r="D16" s="2883">
        <f ca="1">IF(B1="",'数据-汇总表'!E3,INDIRECT("'数据-取费表'!K"&amp;$K$1)+INDIRECT("'数据-取费表'!S"&amp;$K$1))</f>
        <v>0</v>
      </c>
      <c r="E16" s="53">
        <f>'数据-取费表'!B35</f>
        <v>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0</v>
      </c>
      <c r="D17" s="478"/>
      <c r="E17" s="2887"/>
      <c r="F17" s="2888">
        <f>'数据-取费表'!B36</f>
        <v>0</v>
      </c>
      <c r="G17" s="261" t="s">
        <v>486</v>
      </c>
      <c r="H17" s="2854"/>
      <c r="I17" s="2854"/>
      <c r="J17" s="2854"/>
      <c r="K17" s="279"/>
    </row>
    <row r="18" spans="1:14" s="2126" customFormat="1" ht="13.5" customHeight="1">
      <c r="A18" s="2889" t="s">
        <v>1858</v>
      </c>
      <c r="B18" s="2890" t="s">
        <v>487</v>
      </c>
      <c r="C18" s="2891">
        <f ca="1">SUM(C13:C17)</f>
        <v>0</v>
      </c>
      <c r="D18" s="2892"/>
      <c r="E18" s="471"/>
      <c r="F18" s="471"/>
      <c r="G18" s="2855" t="s">
        <v>2438</v>
      </c>
      <c r="H18" s="2856"/>
      <c r="I18" s="2856"/>
      <c r="J18" s="2856"/>
      <c r="K18" s="2857"/>
    </row>
    <row r="19" spans="1:14" s="2126" customFormat="1" ht="13.5" customHeight="1">
      <c r="A19" s="2889" t="s">
        <v>1859</v>
      </c>
      <c r="B19" s="2890" t="s">
        <v>488</v>
      </c>
      <c r="C19" s="2847">
        <f ca="1">ROUND(D19*E19/10000,0)</f>
        <v>0</v>
      </c>
      <c r="D19" s="2893">
        <f ca="1">D16</f>
        <v>0</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0</v>
      </c>
      <c r="D20" s="2893"/>
      <c r="E20" s="2847"/>
      <c r="F20" s="2894"/>
      <c r="G20" s="3128"/>
      <c r="H20" s="2849"/>
      <c r="I20" s="2850" t="s">
        <v>2664</v>
      </c>
      <c r="J20" s="2856"/>
      <c r="K20" s="2857"/>
    </row>
    <row r="21" spans="1:14" s="2126" customFormat="1" ht="13.5" customHeight="1">
      <c r="A21" s="2881" t="s">
        <v>1861</v>
      </c>
      <c r="B21" s="2882" t="s">
        <v>491</v>
      </c>
      <c r="C21" s="53">
        <f ca="1">ROUND(D21*E21/10000,0)</f>
        <v>0</v>
      </c>
      <c r="D21" s="2883">
        <f ca="1">IF(B1="",'数据-汇总表'!E5,IF(INDIRECT("'数据-取费表'!c"&amp;$K$1)="住宅",INDIRECT("'数据-取费表'!k"&amp;$K$1),0))</f>
        <v>0</v>
      </c>
      <c r="E21" s="53">
        <f>'数据-取费表'!B27</f>
        <v>0</v>
      </c>
      <c r="F21" s="2886"/>
      <c r="G21" s="26"/>
      <c r="H21" s="51"/>
      <c r="I21" s="51"/>
      <c r="J21" s="51"/>
      <c r="K21" s="2858"/>
    </row>
    <row r="22" spans="1:14" s="2126" customFormat="1" ht="13.5" customHeight="1">
      <c r="A22" s="2881" t="s">
        <v>1862</v>
      </c>
      <c r="B22" s="2882" t="s">
        <v>492</v>
      </c>
      <c r="C22" s="53">
        <f ca="1">ROUND(D22*E22/10000,0)</f>
        <v>0</v>
      </c>
      <c r="D22" s="2883">
        <f ca="1">IF(B1="",'数据-汇总表'!E6,IF(INDIRECT("'数据-取费表'!c"&amp;$K$1)="住宅",INDIRECT("'数据-取费表'!s"&amp;$K$1),INDIRECT("'数据-取费表'!k"&amp;$K$1)+INDIRECT("'数据-取费表'!s"&amp;$K$1)))</f>
        <v>0</v>
      </c>
      <c r="E22" s="53">
        <f>'数据-取费表'!B28</f>
        <v>0</v>
      </c>
      <c r="F22" s="2886"/>
      <c r="G22" s="26"/>
      <c r="H22" s="51"/>
      <c r="I22" s="51"/>
      <c r="J22" s="51"/>
      <c r="K22" s="2858"/>
    </row>
    <row r="23" spans="1:14" s="2126" customFormat="1" ht="13.5" customHeight="1">
      <c r="A23" s="2889" t="s">
        <v>1863</v>
      </c>
      <c r="B23" s="3074" t="s">
        <v>2847</v>
      </c>
      <c r="C23" s="2891">
        <f ca="1">ROUND((C18+C19+C20)*F23,0)</f>
        <v>0</v>
      </c>
      <c r="D23" s="471"/>
      <c r="E23" s="471"/>
      <c r="F23" s="2895">
        <f>'数据-取费表'!B37</f>
        <v>0</v>
      </c>
      <c r="G23" s="2851" t="s">
        <v>2439</v>
      </c>
      <c r="H23" s="2852"/>
      <c r="I23" s="2852"/>
      <c r="J23" s="2852"/>
      <c r="K23" s="2853"/>
      <c r="L23" s="2128"/>
      <c r="M23" s="2128"/>
      <c r="N23" s="2128"/>
    </row>
    <row r="24" spans="1:14" s="2126" customFormat="1" ht="13.5" customHeight="1">
      <c r="A24" s="2889" t="s">
        <v>1864</v>
      </c>
      <c r="B24" s="3074" t="s">
        <v>2850</v>
      </c>
      <c r="C24" s="2891">
        <f>ROUND(C6*F24,0)</f>
        <v>0</v>
      </c>
      <c r="D24" s="478"/>
      <c r="E24" s="476"/>
      <c r="F24" s="2895">
        <f>'数据-取费表'!B38</f>
        <v>0</v>
      </c>
      <c r="G24" s="2860" t="s">
        <v>499</v>
      </c>
      <c r="H24" s="2854"/>
      <c r="I24" s="2854"/>
      <c r="J24" s="2854"/>
      <c r="K24" s="279"/>
      <c r="L24" s="2128"/>
      <c r="M24" s="2128"/>
      <c r="N24" s="2128"/>
    </row>
    <row r="25" spans="1:14" s="2129" customFormat="1" ht="13.5" customHeight="1">
      <c r="A25" s="2889" t="s">
        <v>1865</v>
      </c>
      <c r="B25" s="3074" t="s">
        <v>2848</v>
      </c>
      <c r="C25" s="470">
        <f>ROUND(F25/(1+'数据-取费表'!C42),4)</f>
        <v>0</v>
      </c>
      <c r="D25" s="465" t="s">
        <v>2842</v>
      </c>
      <c r="E25" s="472"/>
      <c r="F25" s="2895">
        <f>'数据-取费表'!B48+'数据-取费表'!B49</f>
        <v>0</v>
      </c>
      <c r="G25" s="2859" t="s">
        <v>2296</v>
      </c>
      <c r="H25" s="2852"/>
      <c r="I25" s="2852"/>
      <c r="J25" s="2852"/>
      <c r="K25" s="2853"/>
    </row>
    <row r="26" spans="1:14" s="2128" customFormat="1" ht="13.5" customHeight="1">
      <c r="A26" s="2889" t="s">
        <v>1866</v>
      </c>
      <c r="B26" s="3075" t="s">
        <v>2849</v>
      </c>
      <c r="C26" s="2896">
        <f ca="1">C28</f>
        <v>0</v>
      </c>
      <c r="D26" s="470">
        <f ca="1">C27</f>
        <v>0</v>
      </c>
      <c r="E26" s="472" t="s">
        <v>495</v>
      </c>
      <c r="F26" s="474">
        <f ca="1">'数据-取费表'!B40</f>
        <v>0</v>
      </c>
      <c r="G26" s="2607" t="str">
        <f>IF('数据-取费表'!B22&lt;=1,"单利计息。","复利计息。")&amp;"后续开发成本、管理费用及销售费用产生的利息。"</f>
        <v>单利计息。后续开发成本、管理费用及销售费用产生的利息。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v>
      </c>
      <c r="D27" s="475"/>
      <c r="E27" s="476"/>
      <c r="F27" s="477"/>
      <c r="G27" s="2607" t="str">
        <f>IF('数据-取费表'!B22&lt;=1,"（1+取得税费率/(1+5%)）×年利率×建设期","（1+取得税费率）/(1+5%)×((1+年利率)^建设期-1)")</f>
        <v>（1+取得税费率/(1+5%)）×年利率×建设期</v>
      </c>
      <c r="H27" s="2854"/>
      <c r="I27" s="2854"/>
      <c r="J27" s="2854"/>
      <c r="K27" s="279"/>
    </row>
    <row r="28" spans="1:14" s="2130" customFormat="1" ht="13.5" customHeight="1">
      <c r="A28" s="806" t="s">
        <v>1862</v>
      </c>
      <c r="B28" s="2897" t="s">
        <v>2851</v>
      </c>
      <c r="C28" s="2899">
        <f ca="1">ROUND(IF('数据-取费表'!B22&lt;=1,(C18+C19+C20+C23+C24)*F26*'数据-取费表'!B24/2,(C18+C19+C20+C23+C24)*(POWER((1+F26),'数据-取费表'!B24/2)-1)),0)</f>
        <v>0</v>
      </c>
      <c r="D28" s="475"/>
      <c r="E28" s="476"/>
      <c r="F28" s="477"/>
      <c r="G28" s="2607" t="str">
        <f>IF('数据-取费表'!B22&lt;=1,"（1）-（4）项×年利率×建设期÷2","（1）-（4）项×((1+年利率)^(建设期÷2)-1)")</f>
        <v>（1）-（4）项×年利率×建设期÷2</v>
      </c>
      <c r="H28" s="2854"/>
      <c r="I28" s="2854"/>
      <c r="J28" s="2854"/>
      <c r="K28" s="279"/>
    </row>
    <row r="29" spans="1:14" s="2130" customFormat="1" ht="13.5" customHeight="1">
      <c r="A29" s="2900" t="s">
        <v>1867</v>
      </c>
      <c r="B29" s="2890" t="s">
        <v>497</v>
      </c>
      <c r="C29" s="2891">
        <f>ROUND(C6*F29/(1+'数据-取费表'!C42),0)</f>
        <v>0</v>
      </c>
      <c r="D29" s="471"/>
      <c r="E29" s="471"/>
      <c r="F29" s="3076">
        <f>'数据-取费表'!B41</f>
        <v>0.05</v>
      </c>
      <c r="G29" s="2860" t="s">
        <v>498</v>
      </c>
      <c r="H29" s="2852"/>
      <c r="I29" s="2852"/>
      <c r="J29" s="2852"/>
      <c r="K29" s="2853"/>
    </row>
    <row r="30" spans="1:14" s="2131" customFormat="1" ht="13.5" customHeight="1">
      <c r="A30" s="1640" t="s">
        <v>1868</v>
      </c>
      <c r="B30" s="2901" t="s">
        <v>500</v>
      </c>
      <c r="C30" s="2896">
        <f ca="1">C31</f>
        <v>0</v>
      </c>
      <c r="D30" s="480">
        <f ca="1">C32</f>
        <v>0</v>
      </c>
      <c r="E30" s="472" t="s">
        <v>495</v>
      </c>
      <c r="F30" s="474"/>
      <c r="G30" s="2851" t="s">
        <v>501</v>
      </c>
      <c r="H30" s="2852"/>
      <c r="I30" s="2852"/>
      <c r="J30" s="2852"/>
      <c r="K30" s="2853"/>
    </row>
    <row r="31" spans="1:14" s="2130" customFormat="1" ht="13.5" customHeight="1">
      <c r="A31" s="806" t="s">
        <v>1861</v>
      </c>
      <c r="B31" s="2897"/>
      <c r="C31" s="453">
        <f ca="1">C18+C19+C20+C23+C24+C26+C29</f>
        <v>0</v>
      </c>
      <c r="D31" s="475"/>
      <c r="E31" s="476"/>
      <c r="F31" s="477"/>
      <c r="G31" s="261"/>
      <c r="H31" s="2854"/>
      <c r="I31" s="2854"/>
      <c r="J31" s="2854"/>
      <c r="K31" s="279"/>
    </row>
    <row r="32" spans="1:14" s="2130" customFormat="1" ht="13.5" customHeight="1">
      <c r="A32" s="806" t="s">
        <v>1862</v>
      </c>
      <c r="B32" s="2897"/>
      <c r="C32" s="53">
        <f ca="1">ROUND(C25+D26,4)</f>
        <v>0</v>
      </c>
      <c r="D32" s="475"/>
      <c r="E32" s="476"/>
      <c r="F32" s="477"/>
      <c r="G32" s="261"/>
      <c r="H32" s="2854"/>
      <c r="I32" s="2854"/>
      <c r="J32" s="2854"/>
      <c r="K32" s="279"/>
    </row>
    <row r="33" spans="1:11" s="2132" customFormat="1" ht="13.5" customHeight="1">
      <c r="A33" s="3073" t="s">
        <v>2846</v>
      </c>
      <c r="B33" s="3071" t="s">
        <v>2844</v>
      </c>
      <c r="C33" s="481" t="e">
        <f ca="1">C35</f>
        <v>#DIV/0!</v>
      </c>
      <c r="D33" s="470" t="e">
        <f ca="1">C34</f>
        <v>#DIV/0!</v>
      </c>
      <c r="E33" s="472" t="s">
        <v>495</v>
      </c>
      <c r="F33" s="482" t="e">
        <f ca="1">IF(B1="",'数据-取费表'!Q16,INDIRECT("'数据-取费表'!q"&amp;$K$1))</f>
        <v>#DIV/0!</v>
      </c>
      <c r="G33" s="2855"/>
      <c r="H33" s="2856"/>
      <c r="I33" s="2856"/>
      <c r="J33" s="2856"/>
      <c r="K33" s="2857"/>
    </row>
    <row r="34" spans="1:11" s="2133" customFormat="1" ht="13.5" customHeight="1">
      <c r="A34" s="378" t="s">
        <v>1861</v>
      </c>
      <c r="B34" s="2902" t="s">
        <v>502</v>
      </c>
      <c r="C34" s="475" t="e">
        <f ca="1">ROUND((1+C25)*F33,4)</f>
        <v>#DIV/0!</v>
      </c>
      <c r="D34" s="475"/>
      <c r="E34" s="476"/>
      <c r="F34" s="483"/>
      <c r="G34" s="261" t="s">
        <v>2297</v>
      </c>
      <c r="H34" s="2854"/>
      <c r="I34" s="2854"/>
      <c r="J34" s="2854"/>
      <c r="K34" s="279"/>
    </row>
    <row r="35" spans="1:11" s="2133" customFormat="1" ht="13.5" customHeight="1" thickBot="1">
      <c r="A35" s="1641" t="s">
        <v>1862</v>
      </c>
      <c r="B35" s="3072" t="s">
        <v>2852</v>
      </c>
      <c r="C35" s="1633" t="e">
        <f ca="1">ROUND((C18+C19+C20+C23+C24)*F33,0)</f>
        <v>#DIV/0!</v>
      </c>
      <c r="D35" s="1634"/>
      <c r="E35" s="2903"/>
      <c r="F35" s="1635"/>
      <c r="G35" s="2861"/>
      <c r="H35" s="2862"/>
      <c r="I35" s="2862"/>
      <c r="J35" s="2862"/>
      <c r="K35" s="2863"/>
    </row>
    <row r="36" spans="1:11" s="2092" customFormat="1" ht="13.5" customHeight="1" thickBot="1">
      <c r="A36" s="284" t="s">
        <v>1849</v>
      </c>
      <c r="B36" s="2865"/>
      <c r="C36" s="2904" t="e">
        <f ca="1">ROUND((C6-C30-C33)/(1+D30+D33),0)</f>
        <v>#DIV/0!</v>
      </c>
      <c r="D36" s="2865"/>
      <c r="E36" s="2865"/>
      <c r="F36" s="2865"/>
      <c r="G36" s="2864" t="s">
        <v>2853</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6</v>
      </c>
    </row>
    <row r="2" spans="1:41" s="2047" customFormat="1" ht="18" customHeight="1">
      <c r="A2" s="426" t="s">
        <v>467</v>
      </c>
      <c r="B2" s="427" t="e">
        <f ca="1">C32</f>
        <v>#DIV/0!</v>
      </c>
      <c r="C2" s="2114"/>
      <c r="D2" s="2114"/>
      <c r="E2" s="2114"/>
      <c r="F2" s="2114"/>
      <c r="G2" s="2114"/>
      <c r="H2" s="2114"/>
      <c r="I2" s="2114"/>
      <c r="J2" s="2114"/>
      <c r="K2" s="2114"/>
    </row>
    <row r="3" spans="1:41" s="2047" customFormat="1" ht="18" customHeight="1">
      <c r="A3" s="1384" t="s">
        <v>1688</v>
      </c>
      <c r="B3" s="428" t="e">
        <f ca="1">ROUND(B2*10000/IF(B1="",'数据-汇总表'!E3,INDIRECT("'数据-取费表'!K"&amp;$K$1)),0)</f>
        <v>#DIV/0!</v>
      </c>
      <c r="C3" s="2114"/>
      <c r="D3" s="2114"/>
      <c r="E3" s="2114"/>
      <c r="F3" s="2114"/>
      <c r="G3" s="2114"/>
      <c r="H3" s="2114"/>
      <c r="I3" s="2114"/>
      <c r="J3" s="2114"/>
      <c r="K3" s="2114"/>
    </row>
    <row r="4" spans="1:41" s="2047" customFormat="1" ht="18" customHeight="1">
      <c r="A4" s="429" t="s">
        <v>468</v>
      </c>
      <c r="B4" s="430" t="e">
        <f ca="1">ROUND(B2*10000/IF(B1="",'数据-汇总表'!D3,INDIRECT("'数据-取费表'!R"&amp;$K$1)),0)</f>
        <v>#DIV/0!</v>
      </c>
      <c r="C4" s="2068"/>
      <c r="D4" s="2114"/>
      <c r="E4" s="2114"/>
      <c r="F4" s="2114"/>
      <c r="G4" s="2114"/>
      <c r="H4" s="2114"/>
      <c r="I4" s="2114"/>
      <c r="J4" s="2114"/>
      <c r="K4" s="2114"/>
    </row>
    <row r="5" spans="1:41" s="2047" customFormat="1" ht="18" customHeight="1" thickBot="1">
      <c r="A5" s="432"/>
      <c r="B5" s="433" t="e">
        <f ca="1">ROUND(B2/(IF(B1="",'数据-汇总表'!D3,INDIRECT("'数据-取费表'!R"&amp;$K$1))/666.67),0)</f>
        <v>#DIV/0!</v>
      </c>
      <c r="C5" s="434" t="s">
        <v>469</v>
      </c>
      <c r="D5" s="2114"/>
      <c r="E5" s="2114"/>
      <c r="F5" s="2114"/>
      <c r="G5" s="2114"/>
      <c r="H5" s="2114"/>
      <c r="I5" s="2114"/>
      <c r="J5" s="2114"/>
      <c r="K5" s="2114"/>
    </row>
    <row r="6" spans="1:41" s="2121" customFormat="1" ht="16.5" customHeight="1">
      <c r="A6" s="435" t="s">
        <v>2665</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0</v>
      </c>
      <c r="D13" s="454"/>
      <c r="E13" s="368"/>
      <c r="F13" s="455"/>
      <c r="G13" s="447"/>
      <c r="H13" s="450"/>
      <c r="I13" s="450"/>
      <c r="J13" s="450"/>
      <c r="K13" s="451"/>
    </row>
    <row r="14" spans="1:41" s="2126" customFormat="1" ht="13.5" customHeight="1">
      <c r="A14" s="1638" t="s">
        <v>1854</v>
      </c>
      <c r="B14" s="452" t="s">
        <v>480</v>
      </c>
      <c r="C14" s="53">
        <f ca="1">ROUND(C13*F14,0)</f>
        <v>0</v>
      </c>
      <c r="D14" s="454"/>
      <c r="E14" s="368"/>
      <c r="F14" s="456">
        <f>'数据-取费表'!B33</f>
        <v>0</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7" customFormat="1" ht="13.5" customHeight="1">
      <c r="A16" s="1638" t="s">
        <v>1856</v>
      </c>
      <c r="B16" s="452" t="s">
        <v>484</v>
      </c>
      <c r="C16" s="53">
        <f ca="1">ROUND(D16*E16/10000,0)</f>
        <v>0</v>
      </c>
      <c r="D16" s="454">
        <f ca="1">IF(B1="",'数据-汇总表'!E3,INDIRECT("'数据-取费表'!K"&amp;$K$1)+INDIRECT("'数据-取费表'!S"&amp;$K$1))</f>
        <v>0</v>
      </c>
      <c r="E16" s="53">
        <f>'数据-取费表'!B35</f>
        <v>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0</v>
      </c>
      <c r="D17" s="458"/>
      <c r="E17" s="457"/>
      <c r="F17" s="459">
        <f>'数据-取费表'!B36</f>
        <v>0</v>
      </c>
      <c r="G17" s="447" t="s">
        <v>503</v>
      </c>
      <c r="H17" s="460"/>
      <c r="I17" s="460"/>
      <c r="J17" s="460"/>
      <c r="K17" s="461"/>
    </row>
    <row r="18" spans="1:14" s="2129" customFormat="1" ht="13.5" customHeight="1">
      <c r="A18" s="1639" t="s">
        <v>1858</v>
      </c>
      <c r="B18" s="462" t="s">
        <v>487</v>
      </c>
      <c r="C18" s="463">
        <f ca="1">SUM(C13:C17)</f>
        <v>0</v>
      </c>
      <c r="D18" s="464"/>
      <c r="E18" s="465"/>
      <c r="F18" s="465"/>
      <c r="G18" s="1330" t="s">
        <v>2440</v>
      </c>
      <c r="H18" s="450"/>
      <c r="I18" s="450"/>
      <c r="J18" s="450"/>
      <c r="K18" s="451"/>
    </row>
    <row r="19" spans="1:14" s="2129" customFormat="1" ht="13.5" customHeight="1">
      <c r="A19" s="1639" t="s">
        <v>1859</v>
      </c>
      <c r="B19" s="462" t="s">
        <v>493</v>
      </c>
      <c r="C19" s="463">
        <f ca="1">ROUND(C18*F19,0)</f>
        <v>0</v>
      </c>
      <c r="D19" s="465"/>
      <c r="E19" s="465"/>
      <c r="F19" s="469">
        <f>'数据-取费表'!B37</f>
        <v>0</v>
      </c>
      <c r="G19" s="447" t="s">
        <v>504</v>
      </c>
      <c r="H19" s="450"/>
      <c r="I19" s="450"/>
      <c r="J19" s="450"/>
      <c r="K19" s="451"/>
      <c r="L19" s="2131"/>
      <c r="M19" s="2131"/>
      <c r="N19" s="2131"/>
    </row>
    <row r="20" spans="1:14" s="2129" customFormat="1" ht="13.5" customHeight="1">
      <c r="A20" s="1639" t="s">
        <v>1860</v>
      </c>
      <c r="B20" s="462" t="s">
        <v>505</v>
      </c>
      <c r="C20" s="3069">
        <f>F20</f>
        <v>0</v>
      </c>
      <c r="D20" s="472" t="s">
        <v>506</v>
      </c>
      <c r="E20" s="472"/>
      <c r="F20" s="489">
        <f>'数据-取费表'!B38</f>
        <v>0</v>
      </c>
      <c r="G20" s="1330" t="s">
        <v>507</v>
      </c>
      <c r="H20" s="450"/>
      <c r="I20" s="450"/>
      <c r="J20" s="450"/>
      <c r="K20" s="451"/>
      <c r="L20" s="2131"/>
      <c r="M20" s="2131"/>
      <c r="N20" s="2131"/>
    </row>
    <row r="21" spans="1:14" s="2131" customFormat="1" ht="13.5" customHeight="1">
      <c r="A21" s="1639" t="s">
        <v>1863</v>
      </c>
      <c r="B21" s="464" t="s">
        <v>494</v>
      </c>
      <c r="C21" s="473">
        <f ca="1">C22</f>
        <v>0</v>
      </c>
      <c r="D21" s="470">
        <f ca="1">C23</f>
        <v>0</v>
      </c>
      <c r="E21" s="472" t="s">
        <v>508</v>
      </c>
      <c r="F21" s="474">
        <f ca="1">'数据-取费表'!B40</f>
        <v>0</v>
      </c>
      <c r="G21" s="1330" t="str">
        <f>IF('数据-取费表'!B22&lt;=1,"单利计息。","复利计息。")&amp;"建造成本、管理费用及销售费用产生的利息。"</f>
        <v>单利计息。建造成本、管理费用及销售费用产生的利息。</v>
      </c>
      <c r="H21" s="450"/>
      <c r="I21" s="450"/>
      <c r="J21" s="450"/>
      <c r="K21" s="451"/>
      <c r="L21" s="2128" t="s">
        <v>2462</v>
      </c>
    </row>
    <row r="22" spans="1:14" s="2130" customFormat="1" ht="13.5" customHeight="1">
      <c r="A22" s="1638" t="s">
        <v>1853</v>
      </c>
      <c r="B22" s="1331" t="s">
        <v>2443</v>
      </c>
      <c r="C22" s="490">
        <f ca="1">ROUND(IF('数据-取费表'!B22&lt;=1,(C18+C19)*F21*'数据-取费表'!B20/2,(C18+C19)*(POWER((1+F21),'数据-取费表'!B20/2)-1)),0)</f>
        <v>0</v>
      </c>
      <c r="D22" s="475"/>
      <c r="E22" s="476"/>
      <c r="F22" s="477"/>
      <c r="G22" s="2602" t="str">
        <f>IF('数据-取费表'!B22&lt;=1,"((1)+(2))×年利率×建设期÷2","((1)+(2))×((1+年利率)^(建设期÷2)-1)")</f>
        <v>((1)+(2))×年利率×建设期÷2</v>
      </c>
      <c r="H22" s="460"/>
      <c r="I22" s="460"/>
      <c r="J22" s="460"/>
      <c r="K22" s="461"/>
    </row>
    <row r="23" spans="1:14" s="2130" customFormat="1" ht="13.5" customHeight="1">
      <c r="A23" s="1638" t="s">
        <v>1854</v>
      </c>
      <c r="B23" s="1331" t="s">
        <v>509</v>
      </c>
      <c r="C23" s="491">
        <f ca="1">ROUND(IF('数据-取费表'!B22&lt;=1,F20*F21*'数据-取费表'!B20/2,F20*(POWER((1+F21),'数据-取费表'!B20/2)-1)),4)</f>
        <v>0</v>
      </c>
      <c r="D23" s="475"/>
      <c r="E23" s="476"/>
      <c r="F23" s="477"/>
      <c r="G23" s="2602" t="str">
        <f>IF('数据-取费表'!B22&lt;=1,"销售费用率×年利率×建设期÷2","销售费用率×((1+年利率)^(建设期÷2)-1)")</f>
        <v>销售费用率×年利率×建设期÷2</v>
      </c>
      <c r="H23" s="460"/>
      <c r="I23" s="460"/>
      <c r="J23" s="460"/>
      <c r="K23" s="461"/>
    </row>
    <row r="24" spans="1:14" s="2130" customFormat="1" ht="13.5" customHeight="1">
      <c r="A24" s="1639" t="s">
        <v>1864</v>
      </c>
      <c r="B24" s="3071" t="s">
        <v>2845</v>
      </c>
      <c r="C24" s="481" t="e">
        <f ca="1">C25</f>
        <v>#DIV/0!</v>
      </c>
      <c r="D24" s="492" t="e">
        <f ca="1">C26</f>
        <v>#DIV/0!</v>
      </c>
      <c r="E24" s="472" t="s">
        <v>508</v>
      </c>
      <c r="F24" s="482" t="e">
        <f ca="1">IF(B1="",'数据-取费表'!Q16,INDIRECT("'数据-取费表'!q"&amp;$K$1))</f>
        <v>#DIV/0!</v>
      </c>
      <c r="G24" s="447"/>
      <c r="H24" s="450"/>
      <c r="I24" s="450"/>
      <c r="J24" s="450"/>
      <c r="K24" s="451"/>
    </row>
    <row r="25" spans="1:14" s="2130" customFormat="1" ht="13.5" customHeight="1">
      <c r="A25" s="1638" t="s">
        <v>1853</v>
      </c>
      <c r="B25" s="1331" t="s">
        <v>2444</v>
      </c>
      <c r="C25" s="493" t="e">
        <f ca="1">ROUND((C18+C19)*F24,0)</f>
        <v>#DIV/0!</v>
      </c>
      <c r="D25" s="475"/>
      <c r="E25" s="476"/>
      <c r="F25" s="483"/>
      <c r="G25" s="1329" t="s">
        <v>2441</v>
      </c>
      <c r="H25" s="460"/>
      <c r="I25" s="460"/>
      <c r="J25" s="460"/>
      <c r="K25" s="461"/>
    </row>
    <row r="26" spans="1:14" s="2130" customFormat="1" ht="13.5" customHeight="1">
      <c r="A26" s="1638" t="s">
        <v>1854</v>
      </c>
      <c r="B26" s="1331" t="s">
        <v>510</v>
      </c>
      <c r="C26" s="494" t="e">
        <f ca="1">ROUND(F20*F24,4)</f>
        <v>#DIV/0!</v>
      </c>
      <c r="D26" s="475"/>
      <c r="E26" s="484"/>
      <c r="F26" s="483"/>
      <c r="G26" s="1329" t="s">
        <v>511</v>
      </c>
      <c r="H26" s="460"/>
      <c r="I26" s="460"/>
      <c r="J26" s="460"/>
      <c r="K26" s="461"/>
    </row>
    <row r="27" spans="1:14" s="2130" customFormat="1" ht="13.5" customHeight="1">
      <c r="A27" s="1642" t="s">
        <v>1872</v>
      </c>
      <c r="B27" s="462" t="s">
        <v>512</v>
      </c>
      <c r="C27" s="3070">
        <f>ROUND(F27/(1+'数据-取费表'!C42),4)</f>
        <v>0.05</v>
      </c>
      <c r="D27" s="465" t="s">
        <v>2843</v>
      </c>
      <c r="E27" s="465"/>
      <c r="F27" s="469">
        <f>'数据-取费表'!B41</f>
        <v>0.05</v>
      </c>
      <c r="G27" s="1966" t="s">
        <v>2298</v>
      </c>
      <c r="H27" s="450"/>
      <c r="I27" s="450"/>
      <c r="J27" s="450"/>
      <c r="K27" s="451"/>
    </row>
    <row r="28" spans="1:14" s="2131" customFormat="1" ht="13.5" customHeight="1">
      <c r="A28" s="1642" t="s">
        <v>1873</v>
      </c>
      <c r="B28" s="479" t="s">
        <v>513</v>
      </c>
      <c r="C28" s="473" t="e">
        <f ca="1">ROUND((C18+C19+C21+C24)/(1-C20-D21-D24-C27),0)</f>
        <v>#DIV/0!</v>
      </c>
      <c r="D28" s="480"/>
      <c r="E28" s="472"/>
      <c r="F28" s="474"/>
      <c r="G28" s="1330" t="s">
        <v>2442</v>
      </c>
      <c r="H28" s="450"/>
      <c r="I28" s="450"/>
      <c r="J28" s="450"/>
      <c r="K28" s="451"/>
    </row>
    <row r="29" spans="1:14" s="2131" customFormat="1" ht="13.5" customHeight="1">
      <c r="A29" s="1642" t="s">
        <v>1874</v>
      </c>
      <c r="B29" s="479" t="s">
        <v>514</v>
      </c>
      <c r="C29" s="495" t="e">
        <f ca="1">IF(B1="",'数据-取费表'!N16,INDIRECT("'数据-取费表'!N"&amp;$K$1))</f>
        <v>#DIV/0!</v>
      </c>
      <c r="D29" s="496"/>
      <c r="E29" s="497"/>
      <c r="F29" s="498"/>
      <c r="G29" s="447"/>
      <c r="H29" s="450"/>
      <c r="I29" s="450"/>
      <c r="J29" s="450"/>
      <c r="K29" s="451"/>
    </row>
    <row r="30" spans="1:14" s="2131" customFormat="1" ht="13.5" customHeight="1">
      <c r="A30" s="446">
        <v>2</v>
      </c>
      <c r="B30" s="479" t="s">
        <v>515</v>
      </c>
      <c r="C30" s="500" t="e">
        <f ca="1">ROUND(C28*C29,0)</f>
        <v>#DIV/0!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0.05</v>
      </c>
      <c r="G31" s="1335"/>
      <c r="H31" s="1335"/>
      <c r="I31" s="1335"/>
      <c r="J31" s="1336"/>
      <c r="K31" s="1337"/>
    </row>
    <row r="32" spans="1:14" s="2092" customFormat="1" ht="13.5" customHeight="1" thickBot="1">
      <c r="A32" s="485" t="s">
        <v>1871</v>
      </c>
      <c r="B32" s="486"/>
      <c r="C32" s="487" t="e">
        <f ca="1">IF('数据-取费表'!B20&lt;=1,(C6-C30-C31)/(1+F21*'数据-取费表'!B20+F24)/(1+'数据-取费表'!B48+'数据-取费表'!B49),(C6-C30-C31)/(1+(POWER((1+F21),'数据-取费表'!B20)-1)+F24)/(1+'数据-取费表'!B48+'数据-取费表'!B49))</f>
        <v>#DIV/0!</v>
      </c>
      <c r="D32" s="486"/>
      <c r="E32" s="486"/>
      <c r="F32" s="486"/>
      <c r="G32" s="2518" t="s">
        <v>2463</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5" t="str">
        <f>项目基本情况!B1</f>
        <v>国有建设用地使用权预评估</v>
      </c>
      <c r="C37" s="3165"/>
      <c r="D37" s="3165"/>
      <c r="E37" s="3165"/>
      <c r="F37" s="3165"/>
      <c r="G37" s="3165"/>
      <c r="H37" s="3165"/>
      <c r="I37" s="3165"/>
    </row>
    <row r="38" spans="1:9">
      <c r="A38" s="1661"/>
      <c r="B38" s="1661"/>
    </row>
    <row r="39" spans="1:9">
      <c r="A39" s="1659" t="s">
        <v>1906</v>
      </c>
      <c r="B39" s="1659" t="s">
        <v>2053</v>
      </c>
    </row>
    <row r="40" spans="1:9">
      <c r="A40" s="1659"/>
      <c r="B40" s="1659">
        <f>项目基本情况!B5</f>
        <v>0</v>
      </c>
    </row>
    <row r="41" spans="1:9">
      <c r="A41" s="1659"/>
      <c r="B41" s="1659"/>
    </row>
    <row r="42" spans="1:9">
      <c r="A42" s="1659" t="s">
        <v>1906</v>
      </c>
      <c r="B42" s="1659" t="s">
        <v>2054</v>
      </c>
    </row>
    <row r="43" spans="1:9">
      <c r="A43" s="1659"/>
      <c r="B43" s="1659" t="s">
        <v>1908</v>
      </c>
    </row>
    <row r="44" spans="1:9">
      <c r="A44" s="1659"/>
      <c r="B44" s="1659"/>
    </row>
    <row r="45" spans="1:9">
      <c r="A45" s="1659" t="s">
        <v>1906</v>
      </c>
      <c r="B45" s="1659" t="s">
        <v>2052</v>
      </c>
    </row>
    <row r="46" spans="1:9" s="1659" customFormat="1" ht="12.75">
      <c r="B46" s="1659" t="str">
        <f>项目基本情况!K4</f>
        <v>土地估价师、土地估价师</v>
      </c>
    </row>
    <row r="47" spans="1:9">
      <c r="A47" s="1659"/>
      <c r="B47" s="1659"/>
    </row>
    <row r="48" spans="1:9">
      <c r="A48" s="1659" t="s">
        <v>1906</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t="e">
        <f>F68</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t="e">
        <f>ROUND(B2*10000/'数据-汇总表'!E3,0)</f>
        <v>#DIV/0!</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t="e">
        <f>IF(B48="单位面积地价",C50,ROUND(B2*10000/'数据-汇总表'!D3,0))</f>
        <v>#DIV/0!</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52" t="s">
        <v>523</v>
      </c>
      <c r="D6" s="3353"/>
      <c r="E6" s="3352" t="s">
        <v>524</v>
      </c>
      <c r="F6" s="3353"/>
      <c r="G6" s="3352" t="s">
        <v>525</v>
      </c>
      <c r="H6" s="3353"/>
      <c r="I6" s="3352" t="s">
        <v>526</v>
      </c>
      <c r="J6" s="3353"/>
      <c r="K6" s="517" t="s">
        <v>527</v>
      </c>
      <c r="L6" s="2143"/>
      <c r="M6" s="2142"/>
      <c r="N6" s="2142"/>
      <c r="O6" s="2144"/>
      <c r="P6" s="3354" t="s">
        <v>528</v>
      </c>
      <c r="Q6" s="3355"/>
      <c r="R6" s="3340" t="s">
        <v>524</v>
      </c>
      <c r="S6" s="3341"/>
      <c r="T6" s="3340" t="s">
        <v>525</v>
      </c>
      <c r="U6" s="3341"/>
      <c r="V6" s="3360" t="s">
        <v>526</v>
      </c>
      <c r="W6" s="3360"/>
      <c r="X6" s="1572"/>
      <c r="Y6" s="3340" t="s">
        <v>528</v>
      </c>
      <c r="Z6" s="3341"/>
      <c r="AA6" s="3335" t="s">
        <v>524</v>
      </c>
      <c r="AB6" s="3336" t="s">
        <v>525</v>
      </c>
      <c r="AC6" s="3335" t="s">
        <v>526</v>
      </c>
    </row>
    <row r="7" spans="1:30" ht="20.25">
      <c r="A7" s="518"/>
      <c r="B7" s="519"/>
      <c r="C7" s="3363" t="s">
        <v>2944</v>
      </c>
      <c r="D7" s="3364"/>
      <c r="E7" s="3363" t="s">
        <v>2945</v>
      </c>
      <c r="F7" s="3364"/>
      <c r="G7" s="3363" t="s">
        <v>2946</v>
      </c>
      <c r="H7" s="3364"/>
      <c r="I7" s="3363" t="s">
        <v>2947</v>
      </c>
      <c r="J7" s="3364"/>
      <c r="K7" s="517"/>
      <c r="L7" s="2143"/>
      <c r="M7" s="2142"/>
      <c r="N7" s="2142"/>
      <c r="O7" s="2144"/>
      <c r="P7" s="3356"/>
      <c r="Q7" s="3357"/>
      <c r="R7" s="3342"/>
      <c r="S7" s="3343"/>
      <c r="T7" s="3342"/>
      <c r="U7" s="3343"/>
      <c r="V7" s="3360"/>
      <c r="W7" s="3360"/>
      <c r="X7" s="1572"/>
      <c r="Y7" s="3342"/>
      <c r="Z7" s="3343"/>
      <c r="AA7" s="3336"/>
      <c r="AB7" s="3336"/>
      <c r="AC7" s="3336"/>
    </row>
    <row r="8" spans="1:30" ht="21" thickBot="1">
      <c r="A8" s="518"/>
      <c r="B8" s="519"/>
      <c r="C8" s="3365" t="s">
        <v>2948</v>
      </c>
      <c r="D8" s="3366"/>
      <c r="E8" s="3365" t="s">
        <v>2948</v>
      </c>
      <c r="F8" s="3366"/>
      <c r="G8" s="3361" t="s">
        <v>2948</v>
      </c>
      <c r="H8" s="3362"/>
      <c r="I8" s="3361" t="s">
        <v>2948</v>
      </c>
      <c r="J8" s="3362"/>
      <c r="K8" s="517" t="s">
        <v>529</v>
      </c>
      <c r="L8" s="2143"/>
      <c r="M8" s="2142"/>
      <c r="N8" s="2142"/>
      <c r="O8" s="2144"/>
      <c r="P8" s="3358"/>
      <c r="Q8" s="3359"/>
      <c r="R8" s="3342"/>
      <c r="S8" s="3343"/>
      <c r="T8" s="3344"/>
      <c r="U8" s="3345"/>
      <c r="V8" s="3360"/>
      <c r="W8" s="3360"/>
      <c r="X8" s="1572"/>
      <c r="Y8" s="3344"/>
      <c r="Z8" s="3345"/>
      <c r="AA8" s="3337"/>
      <c r="AB8" s="3337"/>
      <c r="AC8" s="3337"/>
    </row>
    <row r="9" spans="1:30" s="1223" customFormat="1" ht="21" thickBot="1">
      <c r="A9" s="2951"/>
      <c r="B9" s="2958" t="s">
        <v>530</v>
      </c>
      <c r="C9" s="2950">
        <f>'数据-取费表'!B2</f>
        <v>0</v>
      </c>
      <c r="D9" s="523">
        <v>100</v>
      </c>
      <c r="E9" s="524"/>
      <c r="F9" s="525">
        <f>SUMIF(72:72,YEAR(E9)&amp;"-"&amp;INT((MONTH(E9)+2)/3),73:73)</f>
        <v>100</v>
      </c>
      <c r="G9" s="526"/>
      <c r="H9" s="523">
        <f>SUMIF(72:72,YEAR(G9)&amp;"-"&amp;INT((MONTH(G9)+2)/3),73:73)</f>
        <v>100</v>
      </c>
      <c r="I9" s="526"/>
      <c r="J9" s="523">
        <f>SUMIF(72:72,YEAR(I9)&amp;"-"&amp;INT((MONTH(I9)+2)/3),73:73)</f>
        <v>100</v>
      </c>
      <c r="K9" s="527"/>
      <c r="L9" s="2145"/>
      <c r="M9" s="2142"/>
      <c r="N9" s="2142"/>
      <c r="O9" s="2146"/>
      <c r="P9" s="3338" t="s">
        <v>531</v>
      </c>
      <c r="Q9" s="3347"/>
      <c r="R9" s="1573" t="s">
        <v>8</v>
      </c>
      <c r="S9" s="1574">
        <f t="shared" ref="S9:S17" si="0">F9</f>
        <v>100</v>
      </c>
      <c r="T9" s="1573" t="s">
        <v>8</v>
      </c>
      <c r="U9" s="1574">
        <f t="shared" ref="U9:U17" si="1">H9</f>
        <v>100</v>
      </c>
      <c r="V9" s="1573" t="s">
        <v>8</v>
      </c>
      <c r="W9" s="1574">
        <f t="shared" ref="W9:W17" si="2">J9</f>
        <v>100</v>
      </c>
      <c r="X9" s="1575"/>
      <c r="Y9" s="3338" t="s">
        <v>531</v>
      </c>
      <c r="Z9" s="3339"/>
      <c r="AA9" s="1576">
        <f>D9/F9</f>
        <v>1</v>
      </c>
      <c r="AB9" s="1576">
        <f>D9/H9</f>
        <v>1</v>
      </c>
      <c r="AC9" s="1576">
        <f>D9/J9</f>
        <v>1</v>
      </c>
    </row>
    <row r="10" spans="1:30" s="1223" customFormat="1" ht="21" thickBot="1">
      <c r="A10" s="2952"/>
      <c r="B10" s="2959"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5"/>
      <c r="M10" s="2142"/>
      <c r="N10" s="2142"/>
      <c r="O10" s="2146"/>
      <c r="P10" s="3338" t="s">
        <v>534</v>
      </c>
      <c r="Q10" s="3339"/>
      <c r="R10" s="1573" t="s">
        <v>8</v>
      </c>
      <c r="S10" s="1574">
        <f t="shared" si="0"/>
        <v>0</v>
      </c>
      <c r="T10" s="1573" t="s">
        <v>8</v>
      </c>
      <c r="U10" s="1574">
        <f t="shared" si="1"/>
        <v>0</v>
      </c>
      <c r="V10" s="1573" t="s">
        <v>8</v>
      </c>
      <c r="W10" s="1574">
        <f t="shared" si="2"/>
        <v>0</v>
      </c>
      <c r="X10" s="1575"/>
      <c r="Y10" s="3338" t="s">
        <v>534</v>
      </c>
      <c r="Z10" s="3339"/>
      <c r="AA10" s="1576" t="e">
        <f t="shared" ref="AA10:AA47" si="3">D10/F10</f>
        <v>#DIV/0!</v>
      </c>
      <c r="AB10" s="1576" t="e">
        <f t="shared" ref="AB10:AB47" si="4">D10/H10</f>
        <v>#DIV/0!</v>
      </c>
      <c r="AC10" s="1576" t="e">
        <f t="shared" ref="AC10:AC47" si="5">D10/J10</f>
        <v>#DIV/0!</v>
      </c>
    </row>
    <row r="11" spans="1:30" s="1223" customFormat="1" ht="20.25">
      <c r="A11" s="2953"/>
      <c r="B11" s="2960" t="s">
        <v>2769</v>
      </c>
      <c r="C11" s="2947"/>
      <c r="D11" s="254">
        <v>100</v>
      </c>
      <c r="E11" s="529"/>
      <c r="F11" s="254">
        <f>SUMIF(77:77,E11,78:78)-SUMIF(77:77,C11,78:78)+100</f>
        <v>100</v>
      </c>
      <c r="G11" s="529"/>
      <c r="H11" s="254">
        <f>SUMIF(77:77,G11,78:78)-SUMIF(77:77,C11,78:78)+100</f>
        <v>100</v>
      </c>
      <c r="I11" s="529"/>
      <c r="J11" s="254">
        <f>SUMIF(77:77,I11,78:78)-SUMIF(77:77,C11,78:78)+100</f>
        <v>100</v>
      </c>
      <c r="K11" s="527"/>
      <c r="L11" s="2145"/>
      <c r="M11" s="2142"/>
      <c r="N11" s="2142"/>
      <c r="O11" s="2147"/>
      <c r="P11" s="3346" t="s">
        <v>536</v>
      </c>
      <c r="Q11" s="1154" t="str">
        <f t="shared" ref="Q11:Q17" si="6">B11</f>
        <v>用途</v>
      </c>
      <c r="R11" s="1573" t="s">
        <v>8</v>
      </c>
      <c r="S11" s="1574">
        <f t="shared" si="0"/>
        <v>100</v>
      </c>
      <c r="T11" s="1573" t="s">
        <v>8</v>
      </c>
      <c r="U11" s="1574">
        <f t="shared" si="1"/>
        <v>100</v>
      </c>
      <c r="V11" s="1573" t="s">
        <v>8</v>
      </c>
      <c r="W11" s="1574">
        <f t="shared" si="2"/>
        <v>100</v>
      </c>
      <c r="X11" s="1575"/>
      <c r="Y11" s="3303" t="s">
        <v>537</v>
      </c>
      <c r="Z11" s="1153" t="str">
        <f t="shared" ref="Z11:Z17" si="7">Q11</f>
        <v>用途</v>
      </c>
      <c r="AA11" s="1576">
        <f t="shared" si="3"/>
        <v>1</v>
      </c>
      <c r="AB11" s="1576">
        <f t="shared" si="4"/>
        <v>1</v>
      </c>
      <c r="AC11" s="1576">
        <f t="shared" si="5"/>
        <v>1</v>
      </c>
    </row>
    <row r="12" spans="1:30" s="1341" customFormat="1" ht="27">
      <c r="A12" s="2954"/>
      <c r="B12" s="2959" t="s">
        <v>2770</v>
      </c>
      <c r="C12" s="913"/>
      <c r="D12" s="255">
        <v>100</v>
      </c>
      <c r="E12" s="532"/>
      <c r="F12" s="255" t="e">
        <f>ROUND(100/'数据-取费表'!G16,0)</f>
        <v>#DIV/0!</v>
      </c>
      <c r="G12" s="533"/>
      <c r="H12" s="255" t="e">
        <f>ROUND(100/'数据-取费表'!G16,0)</f>
        <v>#DIV/0!</v>
      </c>
      <c r="I12" s="533"/>
      <c r="J12" s="255" t="e">
        <f>ROUND(100/'数据-取费表'!G16,0)</f>
        <v>#DIV/0!</v>
      </c>
      <c r="K12" s="534"/>
      <c r="L12" s="2148"/>
      <c r="M12" s="2142"/>
      <c r="N12" s="2142"/>
      <c r="O12" s="2149"/>
      <c r="P12" s="3346"/>
      <c r="Q12" s="1154" t="str">
        <f t="shared" si="6"/>
        <v>土地使用年限（年）</v>
      </c>
      <c r="R12" s="1573" t="s">
        <v>8</v>
      </c>
      <c r="S12" s="1574" t="e">
        <f t="shared" si="0"/>
        <v>#DIV/0!</v>
      </c>
      <c r="T12" s="1573" t="s">
        <v>8</v>
      </c>
      <c r="U12" s="1574" t="e">
        <f t="shared" si="1"/>
        <v>#DIV/0!</v>
      </c>
      <c r="V12" s="1573" t="s">
        <v>8</v>
      </c>
      <c r="W12" s="1574" t="e">
        <f t="shared" si="2"/>
        <v>#DIV/0!</v>
      </c>
      <c r="X12" s="1575"/>
      <c r="Y12" s="3303"/>
      <c r="Z12" s="1153" t="str">
        <f t="shared" si="7"/>
        <v>土地使用年限（年）</v>
      </c>
      <c r="AA12" s="1576" t="e">
        <f t="shared" si="3"/>
        <v>#DIV/0!</v>
      </c>
      <c r="AB12" s="1576" t="e">
        <f t="shared" si="4"/>
        <v>#DIV/0!</v>
      </c>
      <c r="AC12" s="1576" t="e">
        <f t="shared" si="5"/>
        <v>#DIV/0!</v>
      </c>
    </row>
    <row r="13" spans="1:30" ht="20.25">
      <c r="A13" s="2955"/>
      <c r="B13" s="2959" t="s">
        <v>2771</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0"/>
      <c r="M13" s="2142"/>
      <c r="N13" s="2142"/>
      <c r="O13" s="2151"/>
      <c r="P13" s="3346"/>
      <c r="Q13" s="1154" t="str">
        <f t="shared" si="6"/>
        <v>容积率</v>
      </c>
      <c r="R13" s="1573" t="s">
        <v>8</v>
      </c>
      <c r="S13" s="1574" t="e">
        <f t="shared" si="0"/>
        <v>#N/A</v>
      </c>
      <c r="T13" s="1573" t="s">
        <v>8</v>
      </c>
      <c r="U13" s="1574" t="e">
        <f t="shared" si="1"/>
        <v>#N/A</v>
      </c>
      <c r="V13" s="1573" t="s">
        <v>8</v>
      </c>
      <c r="W13" s="1574" t="e">
        <f t="shared" si="2"/>
        <v>#N/A</v>
      </c>
      <c r="X13" s="1575"/>
      <c r="Y13" s="3303"/>
      <c r="Z13" s="1153" t="str">
        <f t="shared" si="7"/>
        <v>容积率</v>
      </c>
      <c r="AA13" s="1576" t="e">
        <f t="shared" si="3"/>
        <v>#N/A</v>
      </c>
      <c r="AB13" s="1576" t="e">
        <f t="shared" si="4"/>
        <v>#N/A</v>
      </c>
      <c r="AC13" s="1576" t="e">
        <f t="shared" si="5"/>
        <v>#N/A</v>
      </c>
    </row>
    <row r="14" spans="1:30" s="1223" customFormat="1" ht="20.25">
      <c r="A14" s="2952"/>
      <c r="B14" s="2961" t="s">
        <v>2772</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46"/>
      <c r="Q14" s="1154" t="str">
        <f t="shared" si="6"/>
        <v>配建</v>
      </c>
      <c r="R14" s="1573" t="s">
        <v>8</v>
      </c>
      <c r="S14" s="1574">
        <f t="shared" si="0"/>
        <v>100</v>
      </c>
      <c r="T14" s="1573" t="s">
        <v>8</v>
      </c>
      <c r="U14" s="1574">
        <f t="shared" si="1"/>
        <v>100</v>
      </c>
      <c r="V14" s="1573" t="s">
        <v>8</v>
      </c>
      <c r="W14" s="1574">
        <f t="shared" si="2"/>
        <v>100</v>
      </c>
      <c r="X14" s="1575"/>
      <c r="Y14" s="3303"/>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46"/>
      <c r="Q15" s="1154">
        <f t="shared" si="6"/>
        <v>111</v>
      </c>
      <c r="R15" s="1573" t="s">
        <v>8</v>
      </c>
      <c r="S15" s="1574">
        <f t="shared" si="0"/>
        <v>100</v>
      </c>
      <c r="T15" s="1573" t="s">
        <v>8</v>
      </c>
      <c r="U15" s="1574">
        <f t="shared" si="1"/>
        <v>100</v>
      </c>
      <c r="V15" s="1573" t="s">
        <v>8</v>
      </c>
      <c r="W15" s="1574">
        <f t="shared" si="2"/>
        <v>100</v>
      </c>
      <c r="X15" s="1575"/>
      <c r="Y15" s="3303"/>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46"/>
      <c r="Q16" s="1154">
        <f t="shared" si="6"/>
        <v>111</v>
      </c>
      <c r="R16" s="1573" t="s">
        <v>8</v>
      </c>
      <c r="S16" s="1574">
        <f t="shared" si="0"/>
        <v>100</v>
      </c>
      <c r="T16" s="1573" t="s">
        <v>8</v>
      </c>
      <c r="U16" s="1574">
        <f t="shared" si="1"/>
        <v>100</v>
      </c>
      <c r="V16" s="1573" t="s">
        <v>8</v>
      </c>
      <c r="W16" s="1574">
        <f t="shared" si="2"/>
        <v>100</v>
      </c>
      <c r="X16" s="1575"/>
      <c r="Y16" s="3303"/>
      <c r="Z16" s="1153">
        <f t="shared" si="7"/>
        <v>111</v>
      </c>
      <c r="AA16" s="1576">
        <f>D16/F16</f>
        <v>1</v>
      </c>
      <c r="AB16" s="1576">
        <f>D16/H16</f>
        <v>1</v>
      </c>
      <c r="AC16" s="1576">
        <f>D16/J16</f>
        <v>1</v>
      </c>
    </row>
    <row r="17" spans="1:29" ht="99.75">
      <c r="A17" s="2949" t="s">
        <v>2767</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2"/>
      <c r="M17" s="2142"/>
      <c r="N17" s="2142"/>
      <c r="O17" s="2151"/>
      <c r="P17" s="3348" t="s">
        <v>541</v>
      </c>
      <c r="Q17" s="1577" t="str">
        <f t="shared" si="6"/>
        <v>居住社区成熟度</v>
      </c>
      <c r="R17" s="1578" t="s">
        <v>8</v>
      </c>
      <c r="S17" s="1579">
        <f t="shared" si="0"/>
        <v>100</v>
      </c>
      <c r="T17" s="1578" t="s">
        <v>8</v>
      </c>
      <c r="U17" s="1579">
        <f t="shared" si="1"/>
        <v>100</v>
      </c>
      <c r="V17" s="1578" t="s">
        <v>8</v>
      </c>
      <c r="W17" s="1579">
        <f t="shared" si="2"/>
        <v>100</v>
      </c>
      <c r="X17" s="1572"/>
      <c r="Y17" s="3348" t="s">
        <v>541</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2"/>
      <c r="M18" s="2142"/>
      <c r="N18" s="2142"/>
      <c r="O18" s="2151"/>
      <c r="P18" s="3349"/>
      <c r="Q18" s="1577"/>
      <c r="R18" s="1578"/>
      <c r="S18" s="1579"/>
      <c r="T18" s="1578"/>
      <c r="U18" s="1579"/>
      <c r="V18" s="1578"/>
      <c r="W18" s="1579"/>
      <c r="X18" s="1572"/>
      <c r="Y18" s="3349"/>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49"/>
      <c r="Q19" s="1577" t="str">
        <f>B19</f>
        <v>商业繁华度</v>
      </c>
      <c r="R19" s="1578" t="s">
        <v>8</v>
      </c>
      <c r="S19" s="1579">
        <f>F19</f>
        <v>100</v>
      </c>
      <c r="T19" s="1578" t="s">
        <v>8</v>
      </c>
      <c r="U19" s="1579">
        <f>H19</f>
        <v>100</v>
      </c>
      <c r="V19" s="1578" t="s">
        <v>8</v>
      </c>
      <c r="W19" s="1579">
        <f>J19</f>
        <v>100</v>
      </c>
      <c r="X19" s="1572"/>
      <c r="Y19" s="3349"/>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49"/>
      <c r="Q20" s="1577"/>
      <c r="R20" s="1578"/>
      <c r="S20" s="1579"/>
      <c r="T20" s="1578"/>
      <c r="U20" s="1579"/>
      <c r="V20" s="1578"/>
      <c r="W20" s="1579"/>
      <c r="X20" s="1572"/>
      <c r="Y20" s="3349"/>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49"/>
      <c r="Q21" s="1577" t="str">
        <f>B21</f>
        <v>办公集聚程度</v>
      </c>
      <c r="R21" s="1578" t="s">
        <v>8</v>
      </c>
      <c r="S21" s="1579">
        <f>F21</f>
        <v>100</v>
      </c>
      <c r="T21" s="1578" t="s">
        <v>8</v>
      </c>
      <c r="U21" s="1579">
        <f>H21</f>
        <v>100</v>
      </c>
      <c r="V21" s="1578" t="s">
        <v>8</v>
      </c>
      <c r="W21" s="1579">
        <f>J21</f>
        <v>100</v>
      </c>
      <c r="X21" s="1572"/>
      <c r="Y21" s="3349"/>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49"/>
      <c r="Q22" s="1577"/>
      <c r="R22" s="1578"/>
      <c r="S22" s="1579"/>
      <c r="T22" s="1578"/>
      <c r="U22" s="1579"/>
      <c r="V22" s="1578"/>
      <c r="W22" s="1579"/>
      <c r="X22" s="1572"/>
      <c r="Y22" s="3349"/>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2"/>
      <c r="M23" s="2142"/>
      <c r="N23" s="2142"/>
      <c r="O23" s="2151"/>
      <c r="P23" s="3349"/>
      <c r="Q23" s="1577" t="str">
        <f>B23</f>
        <v>交通便捷度</v>
      </c>
      <c r="R23" s="1578" t="s">
        <v>8</v>
      </c>
      <c r="S23" s="1579">
        <f>F23</f>
        <v>100</v>
      </c>
      <c r="T23" s="1578" t="s">
        <v>8</v>
      </c>
      <c r="U23" s="1579">
        <f>H23</f>
        <v>100</v>
      </c>
      <c r="V23" s="1578" t="s">
        <v>8</v>
      </c>
      <c r="W23" s="1579">
        <f>J23</f>
        <v>100</v>
      </c>
      <c r="X23" s="1572"/>
      <c r="Y23" s="3349"/>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2"/>
      <c r="M24" s="2142"/>
      <c r="N24" s="2142"/>
      <c r="O24" s="2151"/>
      <c r="P24" s="3349"/>
      <c r="Q24" s="1577"/>
      <c r="R24" s="1578"/>
      <c r="S24" s="1579"/>
      <c r="T24" s="1578"/>
      <c r="U24" s="1579"/>
      <c r="V24" s="1578"/>
      <c r="W24" s="1579"/>
      <c r="X24" s="1572"/>
      <c r="Y24" s="3349"/>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49"/>
      <c r="Q25" s="1577" t="str">
        <f t="shared" ref="Q25:Q39" si="8">B25</f>
        <v>区域土地利用方向</v>
      </c>
      <c r="R25" s="1578" t="s">
        <v>8</v>
      </c>
      <c r="S25" s="1579">
        <f>F25</f>
        <v>100</v>
      </c>
      <c r="T25" s="1578" t="s">
        <v>8</v>
      </c>
      <c r="U25" s="1579">
        <f>H25</f>
        <v>100</v>
      </c>
      <c r="V25" s="1578" t="s">
        <v>8</v>
      </c>
      <c r="W25" s="1579">
        <f>J25</f>
        <v>100</v>
      </c>
      <c r="X25" s="1572"/>
      <c r="Y25" s="3349"/>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349"/>
      <c r="Q26" s="1577"/>
      <c r="R26" s="1578"/>
      <c r="S26" s="1579"/>
      <c r="T26" s="1578"/>
      <c r="U26" s="1579"/>
      <c r="V26" s="1578"/>
      <c r="W26" s="1579"/>
      <c r="X26" s="1572"/>
      <c r="Y26" s="3349"/>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2"/>
      <c r="M27" s="2142"/>
      <c r="N27" s="2142"/>
      <c r="O27" s="2151"/>
      <c r="P27" s="3349"/>
      <c r="Q27" s="1577" t="str">
        <f t="shared" si="8"/>
        <v>自然及人文环境状况</v>
      </c>
      <c r="R27" s="1578" t="s">
        <v>8</v>
      </c>
      <c r="S27" s="1579">
        <f>F27</f>
        <v>100</v>
      </c>
      <c r="T27" s="1578" t="s">
        <v>8</v>
      </c>
      <c r="U27" s="1579">
        <f>H27</f>
        <v>100</v>
      </c>
      <c r="V27" s="1578" t="s">
        <v>8</v>
      </c>
      <c r="W27" s="1579">
        <f>J27</f>
        <v>100</v>
      </c>
      <c r="X27" s="1572"/>
      <c r="Y27" s="3349"/>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2"/>
      <c r="M28" s="2142"/>
      <c r="N28" s="2142"/>
      <c r="O28" s="2151"/>
      <c r="P28" s="3349"/>
      <c r="Q28" s="1577"/>
      <c r="R28" s="1578"/>
      <c r="S28" s="1579"/>
      <c r="T28" s="1578"/>
      <c r="U28" s="1579"/>
      <c r="V28" s="1578"/>
      <c r="W28" s="1579"/>
      <c r="X28" s="1572"/>
      <c r="Y28" s="3349"/>
      <c r="Z28" s="1580"/>
      <c r="AA28" s="1581">
        <v>1</v>
      </c>
      <c r="AB28" s="1581">
        <v>1</v>
      </c>
      <c r="AC28" s="1581">
        <v>1</v>
      </c>
    </row>
    <row r="29" spans="1:29" s="1223" customFormat="1" ht="42.75">
      <c r="A29" s="580"/>
      <c r="B29" s="2626" t="s">
        <v>2558</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5"/>
      <c r="M29" s="2142"/>
      <c r="N29" s="2142"/>
      <c r="O29" s="2147"/>
      <c r="P29" s="3349"/>
      <c r="Q29" s="1154" t="str">
        <f t="shared" si="8"/>
        <v>公共配套设施</v>
      </c>
      <c r="R29" s="1573" t="s">
        <v>8</v>
      </c>
      <c r="S29" s="1574">
        <f>F29</f>
        <v>100</v>
      </c>
      <c r="T29" s="1573" t="s">
        <v>8</v>
      </c>
      <c r="U29" s="1574">
        <f>H29</f>
        <v>100</v>
      </c>
      <c r="V29" s="1573" t="s">
        <v>8</v>
      </c>
      <c r="W29" s="1574">
        <f>J29</f>
        <v>100</v>
      </c>
      <c r="X29" s="1575"/>
      <c r="Y29" s="3349"/>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5"/>
      <c r="M30" s="2142"/>
      <c r="N30" s="2142"/>
      <c r="O30" s="2147"/>
      <c r="P30" s="3349"/>
      <c r="Q30" s="1154"/>
      <c r="R30" s="1573"/>
      <c r="S30" s="1574"/>
      <c r="T30" s="1573"/>
      <c r="U30" s="1574"/>
      <c r="V30" s="1573"/>
      <c r="W30" s="1574"/>
      <c r="X30" s="1575"/>
      <c r="Y30" s="3349"/>
      <c r="Z30" s="1153"/>
      <c r="AA30" s="1581">
        <v>1</v>
      </c>
      <c r="AB30" s="1581">
        <v>1</v>
      </c>
      <c r="AC30" s="1581">
        <v>1</v>
      </c>
    </row>
    <row r="31" spans="1:29" s="1223" customFormat="1" ht="28.5">
      <c r="A31" s="580"/>
      <c r="B31" s="2626" t="s">
        <v>2559</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49"/>
      <c r="Q31" s="2613" t="str">
        <f t="shared" ref="Q31" si="9">B31</f>
        <v>基础设施水平</v>
      </c>
      <c r="R31" s="1573" t="s">
        <v>8</v>
      </c>
      <c r="S31" s="1574">
        <f>F31</f>
        <v>100</v>
      </c>
      <c r="T31" s="1573" t="s">
        <v>8</v>
      </c>
      <c r="U31" s="1574">
        <f>H31</f>
        <v>100</v>
      </c>
      <c r="V31" s="1573" t="s">
        <v>8</v>
      </c>
      <c r="W31" s="1574">
        <f>J31</f>
        <v>100</v>
      </c>
      <c r="X31" s="1575"/>
      <c r="Y31" s="3349"/>
      <c r="Z31" s="2610" t="str">
        <f>Q31</f>
        <v>基础设施水平</v>
      </c>
      <c r="AA31" s="1581">
        <f>D31/F31</f>
        <v>1</v>
      </c>
      <c r="AB31" s="1581">
        <f>D31/H31</f>
        <v>1</v>
      </c>
      <c r="AC31" s="1581">
        <f>D31/J31</f>
        <v>1</v>
      </c>
    </row>
    <row r="32" spans="1:29" s="1223" customFormat="1" ht="20.25">
      <c r="A32" s="580"/>
      <c r="B32" s="569"/>
      <c r="C32" s="582"/>
      <c r="D32" s="560"/>
      <c r="E32" s="2627"/>
      <c r="F32" s="558"/>
      <c r="G32" s="582"/>
      <c r="H32" s="558"/>
      <c r="I32" s="582"/>
      <c r="J32" s="558"/>
      <c r="K32" s="534"/>
      <c r="L32" s="2145"/>
      <c r="M32" s="2142"/>
      <c r="N32" s="2142"/>
      <c r="O32" s="2147"/>
      <c r="P32" s="3349"/>
      <c r="Q32" s="2613"/>
      <c r="R32" s="1573"/>
      <c r="S32" s="1574"/>
      <c r="T32" s="1573"/>
      <c r="U32" s="1574"/>
      <c r="V32" s="1573"/>
      <c r="W32" s="1574"/>
      <c r="X32" s="1575"/>
      <c r="Y32" s="3349"/>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4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49"/>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49"/>
      <c r="Q34" s="1577" t="str">
        <f t="shared" si="8"/>
        <v>毗邻道路的类型与等级</v>
      </c>
      <c r="R34" s="1578" t="s">
        <v>8</v>
      </c>
      <c r="S34" s="1579">
        <f t="shared" si="10"/>
        <v>100</v>
      </c>
      <c r="T34" s="1578" t="s">
        <v>8</v>
      </c>
      <c r="U34" s="1579">
        <f t="shared" si="11"/>
        <v>100</v>
      </c>
      <c r="V34" s="1578" t="s">
        <v>8</v>
      </c>
      <c r="W34" s="1579">
        <f t="shared" si="12"/>
        <v>100</v>
      </c>
      <c r="X34" s="1572"/>
      <c r="Y34" s="3349"/>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2"/>
      <c r="M35" s="2142"/>
      <c r="N35" s="2142"/>
      <c r="O35" s="2151"/>
      <c r="P35" s="3349"/>
      <c r="Q35" s="1577"/>
      <c r="R35" s="1578"/>
      <c r="S35" s="1579"/>
      <c r="T35" s="1578"/>
      <c r="U35" s="1579"/>
      <c r="V35" s="1578"/>
      <c r="W35" s="1579"/>
      <c r="X35" s="1572"/>
      <c r="Y35" s="3349"/>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49"/>
      <c r="Q36" s="1577" t="str">
        <f t="shared" si="8"/>
        <v>土地级别</v>
      </c>
      <c r="R36" s="1578" t="s">
        <v>8</v>
      </c>
      <c r="S36" s="1579">
        <f t="shared" si="10"/>
        <v>100</v>
      </c>
      <c r="T36" s="1578" t="s">
        <v>8</v>
      </c>
      <c r="U36" s="1579">
        <f t="shared" si="11"/>
        <v>100</v>
      </c>
      <c r="V36" s="1578" t="s">
        <v>8</v>
      </c>
      <c r="W36" s="1579">
        <f t="shared" si="12"/>
        <v>100</v>
      </c>
      <c r="X36" s="1572"/>
      <c r="Y36" s="3349"/>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49"/>
      <c r="Q37" s="1577">
        <f t="shared" si="8"/>
        <v>111</v>
      </c>
      <c r="R37" s="1578" t="s">
        <v>8</v>
      </c>
      <c r="S37" s="1579">
        <f t="shared" si="10"/>
        <v>100</v>
      </c>
      <c r="T37" s="1578" t="s">
        <v>8</v>
      </c>
      <c r="U37" s="1579">
        <f t="shared" si="11"/>
        <v>100</v>
      </c>
      <c r="V37" s="1578" t="s">
        <v>8</v>
      </c>
      <c r="W37" s="1579">
        <f t="shared" si="12"/>
        <v>100</v>
      </c>
      <c r="X37" s="1572"/>
      <c r="Y37" s="3349"/>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50" t="s">
        <v>551</v>
      </c>
      <c r="Q38" s="1577">
        <f t="shared" si="8"/>
        <v>111</v>
      </c>
      <c r="R38" s="1578" t="s">
        <v>8</v>
      </c>
      <c r="S38" s="1579">
        <f t="shared" si="10"/>
        <v>100</v>
      </c>
      <c r="T38" s="1578" t="s">
        <v>8</v>
      </c>
      <c r="U38" s="1579">
        <f t="shared" si="11"/>
        <v>100</v>
      </c>
      <c r="V38" s="1578" t="s">
        <v>8</v>
      </c>
      <c r="W38" s="1579">
        <f t="shared" si="12"/>
        <v>100</v>
      </c>
      <c r="X38" s="1572"/>
      <c r="Y38" s="3351"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51"/>
      <c r="Q39" s="1577">
        <f t="shared" si="8"/>
        <v>111</v>
      </c>
      <c r="R39" s="1582" t="s">
        <v>8</v>
      </c>
      <c r="S39" s="1583">
        <f t="shared" si="10"/>
        <v>100</v>
      </c>
      <c r="T39" s="1582" t="s">
        <v>8</v>
      </c>
      <c r="U39" s="1583">
        <f t="shared" si="11"/>
        <v>100</v>
      </c>
      <c r="V39" s="1582" t="s">
        <v>8</v>
      </c>
      <c r="W39" s="1583">
        <f t="shared" si="12"/>
        <v>100</v>
      </c>
      <c r="X39" s="1584"/>
      <c r="Y39" s="3351"/>
      <c r="Z39" s="1585">
        <f t="shared" si="13"/>
        <v>111</v>
      </c>
      <c r="AA39" s="1581">
        <f t="shared" si="3"/>
        <v>1</v>
      </c>
      <c r="AB39" s="1581">
        <f t="shared" si="4"/>
        <v>1</v>
      </c>
      <c r="AC39" s="1581">
        <f t="shared" si="5"/>
        <v>1</v>
      </c>
    </row>
    <row r="40" spans="1:29" ht="20.25">
      <c r="A40" s="2946" t="s">
        <v>2768</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2"/>
      <c r="M40" s="2142"/>
      <c r="N40" s="2142"/>
      <c r="O40" s="2151"/>
      <c r="P40" s="3351"/>
      <c r="Q40" s="1577" t="str">
        <f>B40</f>
        <v>宗地面积</v>
      </c>
      <c r="R40" s="1578" t="s">
        <v>8</v>
      </c>
      <c r="S40" s="1579" t="e">
        <f t="shared" si="10"/>
        <v>#N/A</v>
      </c>
      <c r="T40" s="1578" t="s">
        <v>8</v>
      </c>
      <c r="U40" s="1579" t="e">
        <f t="shared" si="11"/>
        <v>#N/A</v>
      </c>
      <c r="V40" s="1578" t="s">
        <v>8</v>
      </c>
      <c r="W40" s="1579" t="e">
        <f t="shared" si="12"/>
        <v>#N/A</v>
      </c>
      <c r="X40" s="1572"/>
      <c r="Y40" s="3351"/>
      <c r="Z40" s="1580" t="str">
        <f t="shared" si="13"/>
        <v>宗地面积</v>
      </c>
      <c r="AA40" s="1581" t="e">
        <f t="shared" si="3"/>
        <v>#N/A</v>
      </c>
      <c r="AB40" s="1581" t="e">
        <f t="shared" si="4"/>
        <v>#N/A</v>
      </c>
      <c r="AC40" s="1581"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51"/>
      <c r="Q41" s="1577" t="str">
        <f t="shared" ref="Q41:Q47" si="14">B41</f>
        <v>宗地形状</v>
      </c>
      <c r="R41" s="1578" t="s">
        <v>8</v>
      </c>
      <c r="S41" s="1579">
        <f t="shared" si="10"/>
        <v>100</v>
      </c>
      <c r="T41" s="1578" t="s">
        <v>8</v>
      </c>
      <c r="U41" s="1579">
        <f t="shared" si="11"/>
        <v>100</v>
      </c>
      <c r="V41" s="1578" t="s">
        <v>8</v>
      </c>
      <c r="W41" s="1579">
        <f t="shared" si="12"/>
        <v>100</v>
      </c>
      <c r="X41" s="1572"/>
      <c r="Y41" s="3351"/>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51"/>
      <c r="Q42" s="1577" t="str">
        <f t="shared" si="14"/>
        <v>临街宽度及深度</v>
      </c>
      <c r="R42" s="1578" t="s">
        <v>8</v>
      </c>
      <c r="S42" s="1579">
        <f t="shared" si="10"/>
        <v>100</v>
      </c>
      <c r="T42" s="1578" t="s">
        <v>8</v>
      </c>
      <c r="U42" s="1579">
        <f t="shared" si="11"/>
        <v>100</v>
      </c>
      <c r="V42" s="1578" t="s">
        <v>8</v>
      </c>
      <c r="W42" s="1579">
        <f t="shared" si="12"/>
        <v>100</v>
      </c>
      <c r="X42" s="1572"/>
      <c r="Y42" s="3351"/>
      <c r="Z42" s="1580" t="str">
        <f t="shared" si="13"/>
        <v>临街宽度及深度</v>
      </c>
      <c r="AA42" s="1581">
        <f t="shared" si="3"/>
        <v>1</v>
      </c>
      <c r="AB42" s="1581">
        <f t="shared" si="4"/>
        <v>1</v>
      </c>
      <c r="AC42" s="1581">
        <f t="shared" si="5"/>
        <v>1</v>
      </c>
    </row>
    <row r="43" spans="1:29" s="1223" customFormat="1" ht="20.25">
      <c r="A43" s="603"/>
      <c r="B43" s="1901" t="s">
        <v>2432</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5"/>
      <c r="M43" s="2142"/>
      <c r="N43" s="2142"/>
      <c r="O43" s="2147"/>
      <c r="P43" s="3351"/>
      <c r="Q43" s="1577" t="str">
        <f t="shared" si="14"/>
        <v>宗地开发程度</v>
      </c>
      <c r="R43" s="1573" t="s">
        <v>8</v>
      </c>
      <c r="S43" s="1574">
        <f t="shared" si="10"/>
        <v>100</v>
      </c>
      <c r="T43" s="1573" t="s">
        <v>8</v>
      </c>
      <c r="U43" s="1574">
        <f t="shared" si="11"/>
        <v>100</v>
      </c>
      <c r="V43" s="1573" t="s">
        <v>8</v>
      </c>
      <c r="W43" s="1574">
        <f t="shared" si="12"/>
        <v>100</v>
      </c>
      <c r="X43" s="1575"/>
      <c r="Y43" s="3351"/>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2"/>
      <c r="M44" s="2142"/>
      <c r="N44" s="2142"/>
      <c r="O44" s="2151"/>
      <c r="P44" s="3351" t="s">
        <v>551</v>
      </c>
      <c r="Q44" s="1577" t="str">
        <f t="shared" si="14"/>
        <v>工程地质条件</v>
      </c>
      <c r="R44" s="1578" t="s">
        <v>8</v>
      </c>
      <c r="S44" s="1579">
        <f t="shared" si="10"/>
        <v>100</v>
      </c>
      <c r="T44" s="1578" t="s">
        <v>8</v>
      </c>
      <c r="U44" s="1579">
        <f t="shared" si="11"/>
        <v>100</v>
      </c>
      <c r="V44" s="1578" t="s">
        <v>8</v>
      </c>
      <c r="W44" s="1579">
        <f t="shared" si="12"/>
        <v>100</v>
      </c>
      <c r="X44" s="1572"/>
      <c r="Y44" s="3351"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51"/>
      <c r="Q45" s="1577">
        <f t="shared" si="14"/>
        <v>111</v>
      </c>
      <c r="R45" s="1578" t="s">
        <v>8</v>
      </c>
      <c r="S45" s="1579">
        <f t="shared" si="10"/>
        <v>100</v>
      </c>
      <c r="T45" s="1578" t="s">
        <v>8</v>
      </c>
      <c r="U45" s="1579">
        <f t="shared" si="11"/>
        <v>100</v>
      </c>
      <c r="V45" s="1578" t="s">
        <v>8</v>
      </c>
      <c r="W45" s="1579">
        <f t="shared" si="12"/>
        <v>100</v>
      </c>
      <c r="X45" s="1572"/>
      <c r="Y45" s="3351"/>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51"/>
      <c r="Q46" s="1577">
        <f t="shared" si="14"/>
        <v>111</v>
      </c>
      <c r="R46" s="1578" t="s">
        <v>8</v>
      </c>
      <c r="S46" s="1579">
        <f t="shared" si="10"/>
        <v>100</v>
      </c>
      <c r="T46" s="1578" t="s">
        <v>8</v>
      </c>
      <c r="U46" s="1579">
        <f t="shared" si="11"/>
        <v>100</v>
      </c>
      <c r="V46" s="1578" t="s">
        <v>8</v>
      </c>
      <c r="W46" s="1579">
        <f t="shared" si="12"/>
        <v>100</v>
      </c>
      <c r="X46" s="1572"/>
      <c r="Y46" s="3351"/>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51"/>
      <c r="Q47" s="1577">
        <f t="shared" si="14"/>
        <v>111</v>
      </c>
      <c r="R47" s="1582" t="s">
        <v>8</v>
      </c>
      <c r="S47" s="1583">
        <f t="shared" si="10"/>
        <v>100</v>
      </c>
      <c r="T47" s="1582" t="s">
        <v>8</v>
      </c>
      <c r="U47" s="1583">
        <f t="shared" si="11"/>
        <v>100</v>
      </c>
      <c r="V47" s="1582" t="s">
        <v>8</v>
      </c>
      <c r="W47" s="1583">
        <f t="shared" si="12"/>
        <v>100</v>
      </c>
      <c r="X47" s="1584"/>
      <c r="Y47" s="3351"/>
      <c r="Z47" s="1585">
        <f t="shared" si="13"/>
        <v>111</v>
      </c>
      <c r="AA47" s="1581">
        <f t="shared" si="3"/>
        <v>1</v>
      </c>
      <c r="AB47" s="1581">
        <f t="shared" si="4"/>
        <v>1</v>
      </c>
      <c r="AC47" s="1581">
        <f t="shared" si="5"/>
        <v>1</v>
      </c>
    </row>
    <row r="48" spans="1:29" ht="20.25">
      <c r="A48" s="610" t="s">
        <v>557</v>
      </c>
      <c r="B48" s="611" t="s">
        <v>2949</v>
      </c>
      <c r="C48" s="612" t="s">
        <v>1</v>
      </c>
      <c r="D48" s="613"/>
      <c r="E48" s="614"/>
      <c r="F48" s="615"/>
      <c r="G48" s="616"/>
      <c r="H48" s="617"/>
      <c r="I48" s="614"/>
      <c r="J48" s="617"/>
      <c r="K48" s="1343"/>
      <c r="L48" s="2154"/>
      <c r="M48" s="2142"/>
      <c r="N48" s="2142"/>
      <c r="O48" s="2155"/>
      <c r="P48" s="3346" t="str">
        <f>A48</f>
        <v>成交单价</v>
      </c>
      <c r="Q48" s="3346"/>
      <c r="R48" s="3360">
        <f>E48</f>
        <v>0</v>
      </c>
      <c r="S48" s="3360"/>
      <c r="T48" s="3360">
        <f>G48</f>
        <v>0</v>
      </c>
      <c r="U48" s="3360"/>
      <c r="V48" s="3360">
        <f>I48</f>
        <v>0</v>
      </c>
      <c r="W48" s="3360"/>
      <c r="X48" s="1564"/>
      <c r="Y48" s="1586"/>
      <c r="Z48" s="1564"/>
      <c r="AA48" s="1564"/>
      <c r="AB48" s="1564"/>
      <c r="AC48" s="1564"/>
    </row>
    <row r="49" spans="1:29" ht="21" thickBot="1">
      <c r="A49" s="618" t="s">
        <v>2706</v>
      </c>
      <c r="B49" s="619"/>
      <c r="C49" s="620" t="e">
        <f>R50</f>
        <v>#DIV/0!</v>
      </c>
      <c r="D49" s="621"/>
      <c r="E49" s="620" t="e">
        <f>R49</f>
        <v>#DIV/0!</v>
      </c>
      <c r="F49" s="622"/>
      <c r="G49" s="623" t="e">
        <f>T49</f>
        <v>#DIV/0!</v>
      </c>
      <c r="H49" s="621"/>
      <c r="I49" s="620" t="e">
        <f>V49</f>
        <v>#DIV/0!</v>
      </c>
      <c r="J49" s="621"/>
      <c r="K49" s="1344"/>
      <c r="L49" s="2154"/>
      <c r="M49" s="2142"/>
      <c r="N49" s="2142"/>
      <c r="O49" s="2155"/>
      <c r="P49" s="3346" t="str">
        <f>A49</f>
        <v>比较价格（元/平方米）</v>
      </c>
      <c r="Q49" s="3346"/>
      <c r="R49" s="3370" t="e">
        <f>ROUND(PRODUCT(R48,AA9:AA47),0)</f>
        <v>#DIV/0!</v>
      </c>
      <c r="S49" s="3370"/>
      <c r="T49" s="3370" t="e">
        <f>ROUND(PRODUCT(T48,AB9:AB47),0)</f>
        <v>#DIV/0!</v>
      </c>
      <c r="U49" s="3370"/>
      <c r="V49" s="3370" t="e">
        <f>ROUND(PRODUCT(V48,AC9:AC47),0)</f>
        <v>#DIV/0!</v>
      </c>
      <c r="W49" s="3370"/>
      <c r="X49" s="1564"/>
      <c r="Y49" s="1564"/>
      <c r="Z49" s="1564"/>
      <c r="AA49" s="1564"/>
      <c r="AB49" s="1564"/>
      <c r="AC49" s="1564"/>
    </row>
    <row r="50" spans="1:29" ht="21" thickBot="1">
      <c r="A50" s="624" t="s">
        <v>2950</v>
      </c>
      <c r="B50" s="625"/>
      <c r="C50" s="626" t="e">
        <f>R50</f>
        <v>#DIV/0!</v>
      </c>
      <c r="D50" s="626"/>
      <c r="E50" s="626"/>
      <c r="F50" s="626"/>
      <c r="G50" s="626"/>
      <c r="H50" s="626"/>
      <c r="I50" s="626"/>
      <c r="J50" s="626"/>
      <c r="K50" s="1345"/>
      <c r="L50" s="2154"/>
      <c r="M50" s="2142"/>
      <c r="N50" s="2142"/>
      <c r="O50" s="2155"/>
      <c r="P50" s="3367" t="str">
        <f>A50</f>
        <v>估价对象XX用房的比较价格（楼面单价，元/平方米）</v>
      </c>
      <c r="Q50" s="3368"/>
      <c r="R50" s="3369" t="e">
        <f>ROUND(AVERAGE(R49:V49),0)</f>
        <v>#DIV/0!</v>
      </c>
      <c r="S50" s="3369"/>
      <c r="T50" s="3369"/>
      <c r="U50" s="3369"/>
      <c r="V50" s="3369"/>
      <c r="W50" s="3369"/>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2300</v>
      </c>
      <c r="E57" s="634" t="s">
        <v>563</v>
      </c>
      <c r="F57" s="635" t="s">
        <v>564</v>
      </c>
      <c r="G57" s="3330" t="s">
        <v>2288</v>
      </c>
      <c r="H57" s="3331"/>
      <c r="I57" s="1560" t="s">
        <v>1726</v>
      </c>
      <c r="J57" s="1560">
        <f>项目基本情况!F41</f>
        <v>0</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t="e">
        <f>C50</f>
        <v>#DIV/0!</v>
      </c>
      <c r="C58" s="638">
        <v>1</v>
      </c>
      <c r="D58" s="2238">
        <v>1</v>
      </c>
      <c r="E58" s="638">
        <f>'数据-汇总表'!E8+'数据-汇总表'!E9</f>
        <v>0</v>
      </c>
      <c r="F58" s="639" t="e">
        <f t="shared" ref="F58:F67" si="15">ROUND(B58*E58/10000,0)</f>
        <v>#DIV/0!</v>
      </c>
      <c r="G58" s="3332"/>
      <c r="H58" s="3333"/>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t="e">
        <f>ROUND($C$50*C59*D59,0)</f>
        <v>#DIV/0!</v>
      </c>
      <c r="C59" s="381">
        <f t="shared" ref="C59:C67" si="16">IF($C$57="北京市系数",I59,J59)</f>
        <v>0</v>
      </c>
      <c r="D59" s="2239">
        <v>0.25</v>
      </c>
      <c r="E59" s="642">
        <v>0</v>
      </c>
      <c r="F59" s="639" t="e">
        <f t="shared" si="15"/>
        <v>#DIV/0!</v>
      </c>
      <c r="G59" s="3334" t="s">
        <v>2289</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t="e">
        <f t="shared" ref="B60:B67" si="17">ROUND($C$50*C60*D60,0)</f>
        <v>#DIV/0!</v>
      </c>
      <c r="C60" s="381">
        <f t="shared" si="16"/>
        <v>0</v>
      </c>
      <c r="D60" s="2239">
        <v>0.25</v>
      </c>
      <c r="E60" s="642">
        <v>0</v>
      </c>
      <c r="F60" s="639" t="e">
        <f t="shared" si="15"/>
        <v>#DIV/0!</v>
      </c>
      <c r="G60" s="3334"/>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t="e">
        <f t="shared" si="17"/>
        <v>#DIV/0!</v>
      </c>
      <c r="C61" s="381">
        <f t="shared" si="16"/>
        <v>0</v>
      </c>
      <c r="D61" s="2239">
        <v>0.25</v>
      </c>
      <c r="E61" s="642">
        <v>0</v>
      </c>
      <c r="F61" s="639" t="e">
        <f t="shared" si="15"/>
        <v>#DIV/0!</v>
      </c>
      <c r="G61" s="3334"/>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t="e">
        <f t="shared" si="17"/>
        <v>#DIV/0!</v>
      </c>
      <c r="C62" s="381">
        <f t="shared" si="16"/>
        <v>0</v>
      </c>
      <c r="D62" s="2239">
        <v>0.25</v>
      </c>
      <c r="E62" s="642">
        <v>0</v>
      </c>
      <c r="F62" s="639" t="e">
        <f t="shared" si="15"/>
        <v>#DIV/0!</v>
      </c>
      <c r="G62" s="3334"/>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2335</v>
      </c>
      <c r="B63" s="641" t="e">
        <f t="shared" si="17"/>
        <v>#DIV/0!</v>
      </c>
      <c r="C63" s="381">
        <f t="shared" si="16"/>
        <v>0</v>
      </c>
      <c r="D63" s="2239">
        <v>0.25</v>
      </c>
      <c r="E63" s="644">
        <f>'数据-汇总表'!E11</f>
        <v>0</v>
      </c>
      <c r="F63" s="639" t="e">
        <f t="shared" si="15"/>
        <v>#DIV/0!</v>
      </c>
      <c r="G63" s="1951" t="s">
        <v>2290</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t="e">
        <f t="shared" si="17"/>
        <v>#DIV/0!</v>
      </c>
      <c r="C64" s="381">
        <f t="shared" si="16"/>
        <v>0</v>
      </c>
      <c r="D64" s="2239">
        <v>0.25</v>
      </c>
      <c r="E64" s="644">
        <f>'数据-汇总表'!E12</f>
        <v>0</v>
      </c>
      <c r="F64" s="639" t="e">
        <f t="shared" si="15"/>
        <v>#DIV/0!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t="e">
        <f t="shared" si="17"/>
        <v>#DIV/0!</v>
      </c>
      <c r="C65" s="381">
        <f t="shared" si="16"/>
        <v>0</v>
      </c>
      <c r="D65" s="2239">
        <v>0.25</v>
      </c>
      <c r="E65" s="644">
        <f>'数据-汇总表'!E13</f>
        <v>0</v>
      </c>
      <c r="F65" s="639" t="e">
        <f t="shared" si="15"/>
        <v>#DIV/0!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t="e">
        <f t="shared" si="17"/>
        <v>#DIV/0!</v>
      </c>
      <c r="C66" s="381">
        <f t="shared" si="16"/>
        <v>0</v>
      </c>
      <c r="D66" s="2239">
        <v>0.25</v>
      </c>
      <c r="E66" s="644">
        <f>'数据-汇总表'!E14</f>
        <v>0</v>
      </c>
      <c r="F66" s="639" t="e">
        <f t="shared" si="15"/>
        <v>#DIV/0!</v>
      </c>
      <c r="G66" s="1951" t="s">
        <v>2289</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t="e">
        <f t="shared" si="17"/>
        <v>#DIV/0!</v>
      </c>
      <c r="C67" s="381">
        <f t="shared" si="16"/>
        <v>0</v>
      </c>
      <c r="D67" s="2239">
        <v>0.25</v>
      </c>
      <c r="E67" s="644">
        <f>'数据-汇总表'!E15</f>
        <v>0</v>
      </c>
      <c r="F67" s="639" t="e">
        <f t="shared" si="15"/>
        <v>#DIV/0!</v>
      </c>
      <c r="G67" s="1953" t="s">
        <v>2290</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2301</v>
      </c>
      <c r="E68" s="646" t="e">
        <f>IF(B48="楼面地价",SUM(E58:E67),'数据-汇总表'!D3)</f>
        <v>#DIV/0!</v>
      </c>
      <c r="F68" s="647" t="e">
        <f>IF(B48="楼面地价",SUM(F58:F67),ROUND(C50*E68/10000,0))</f>
        <v>#DIV/0!</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1900-1-1</v>
      </c>
      <c r="D70" s="2838" t="e">
        <f>EDATE(C70,-3)</f>
        <v>#NUM!</v>
      </c>
      <c r="E70" s="2838" t="e">
        <f t="shared" ref="E70:N70" si="18">EDATE(D70,-3)</f>
        <v>#NUM!</v>
      </c>
      <c r="F70" s="2838" t="e">
        <f t="shared" si="18"/>
        <v>#NUM!</v>
      </c>
      <c r="G70" s="2838" t="e">
        <f t="shared" si="18"/>
        <v>#NUM!</v>
      </c>
      <c r="H70" s="2838" t="e">
        <f t="shared" si="18"/>
        <v>#NUM!</v>
      </c>
      <c r="I70" s="2838" t="e">
        <f t="shared" si="18"/>
        <v>#NUM!</v>
      </c>
      <c r="J70" s="2838" t="e">
        <f t="shared" si="18"/>
        <v>#NUM!</v>
      </c>
      <c r="K70" s="2838" t="e">
        <f t="shared" si="18"/>
        <v>#NUM!</v>
      </c>
      <c r="L70" s="2838" t="e">
        <f t="shared" si="18"/>
        <v>#NUM!</v>
      </c>
      <c r="M70" s="2838" t="e">
        <f t="shared" si="18"/>
        <v>#NUM!</v>
      </c>
      <c r="N70" s="2838" t="e">
        <f t="shared" si="18"/>
        <v>#NUM!</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2542</v>
      </c>
      <c r="B72" s="2604"/>
      <c r="C72" s="2833" t="str">
        <f>YEAR(C70)&amp;"-"&amp;ROUNDUP(MONTH(C70)/3,0)</f>
        <v>1900-1</v>
      </c>
      <c r="D72" s="2840" t="e">
        <f>YEAR(D70)&amp;"-"&amp;ROUNDUP(MONTH(D70)/3,0)</f>
        <v>#NUM!</v>
      </c>
      <c r="E72" s="2840" t="e">
        <f t="shared" ref="E72:N72" si="19">YEAR(E70)&amp;"-"&amp;ROUNDUP(MONTH(E70)/3,0)</f>
        <v>#NUM!</v>
      </c>
      <c r="F72" s="2840" t="e">
        <f t="shared" si="19"/>
        <v>#NUM!</v>
      </c>
      <c r="G72" s="2840" t="e">
        <f t="shared" si="19"/>
        <v>#NUM!</v>
      </c>
      <c r="H72" s="2840" t="e">
        <f t="shared" si="19"/>
        <v>#NUM!</v>
      </c>
      <c r="I72" s="2840" t="e">
        <f t="shared" si="19"/>
        <v>#NUM!</v>
      </c>
      <c r="J72" s="2840" t="e">
        <f t="shared" si="19"/>
        <v>#NUM!</v>
      </c>
      <c r="K72" s="2840" t="e">
        <f t="shared" si="19"/>
        <v>#NUM!</v>
      </c>
      <c r="L72" s="2840" t="e">
        <f t="shared" si="19"/>
        <v>#NUM!</v>
      </c>
      <c r="M72" s="2840" t="e">
        <f t="shared" si="19"/>
        <v>#NUM!</v>
      </c>
      <c r="N72" s="2840" t="e">
        <f t="shared" si="19"/>
        <v>#NUM!</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2660</v>
      </c>
      <c r="B73" s="482" t="str">
        <f>"北京市平均增长率"&amp;TEXT(SUMIF(基准地价!N21:N25,A73,基准地价!P21:P25),"0.00%")</f>
        <v>北京市平均增长率0.00%</v>
      </c>
      <c r="C73" s="897">
        <v>100</v>
      </c>
      <c r="D73" s="733"/>
      <c r="E73" s="733"/>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2659</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601"/>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c r="D82" s="544"/>
      <c r="E82" s="544"/>
      <c r="F82" s="544"/>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2558</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2560</v>
      </c>
      <c r="C104" s="2633" t="s">
        <v>2561</v>
      </c>
      <c r="D104" s="2633" t="s">
        <v>2562</v>
      </c>
      <c r="E104" s="2633" t="s">
        <v>2563</v>
      </c>
      <c r="F104" s="2633" t="s">
        <v>2564</v>
      </c>
      <c r="G104" s="2633" t="s">
        <v>2565</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c r="D108" s="691"/>
      <c r="E108" s="691"/>
      <c r="F108" s="691"/>
      <c r="G108" s="691"/>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c r="D119" s="733"/>
      <c r="E119" s="733"/>
      <c r="F119" s="733"/>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c r="D120" s="729"/>
      <c r="E120" s="729"/>
      <c r="F120" s="729"/>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2433</v>
      </c>
      <c r="C125" s="1380"/>
      <c r="D125" s="1380"/>
      <c r="E125" s="1380"/>
      <c r="F125" s="1380"/>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52" t="s">
        <v>523</v>
      </c>
      <c r="D6" s="3353"/>
      <c r="E6" s="3376" t="s">
        <v>524</v>
      </c>
      <c r="F6" s="3377"/>
      <c r="G6" s="3352" t="s">
        <v>525</v>
      </c>
      <c r="H6" s="3353"/>
      <c r="I6" s="3352" t="s">
        <v>526</v>
      </c>
      <c r="J6" s="3353"/>
      <c r="K6" s="517" t="s">
        <v>527</v>
      </c>
      <c r="L6" s="2143"/>
      <c r="M6" s="2144"/>
      <c r="N6" s="2144"/>
      <c r="O6" s="2144"/>
      <c r="P6" s="3354" t="s">
        <v>528</v>
      </c>
      <c r="Q6" s="3355"/>
      <c r="R6" s="3340" t="s">
        <v>524</v>
      </c>
      <c r="S6" s="3341"/>
      <c r="T6" s="3340" t="s">
        <v>525</v>
      </c>
      <c r="U6" s="3341"/>
      <c r="V6" s="3360" t="s">
        <v>526</v>
      </c>
      <c r="W6" s="3360"/>
      <c r="X6" s="1572"/>
      <c r="Y6" s="3340" t="s">
        <v>528</v>
      </c>
      <c r="Z6" s="3341"/>
      <c r="AA6" s="3335" t="s">
        <v>524</v>
      </c>
      <c r="AB6" s="3336" t="s">
        <v>525</v>
      </c>
      <c r="AC6" s="3335" t="s">
        <v>526</v>
      </c>
    </row>
    <row r="7" spans="1:29" ht="15">
      <c r="A7" s="518"/>
      <c r="B7" s="519"/>
      <c r="C7" s="3363" t="s">
        <v>2944</v>
      </c>
      <c r="D7" s="3364"/>
      <c r="E7" s="3378" t="s">
        <v>2945</v>
      </c>
      <c r="F7" s="3379"/>
      <c r="G7" s="3363" t="s">
        <v>2946</v>
      </c>
      <c r="H7" s="3364"/>
      <c r="I7" s="3363" t="s">
        <v>2947</v>
      </c>
      <c r="J7" s="3364"/>
      <c r="K7" s="517"/>
      <c r="L7" s="2143"/>
      <c r="M7" s="2144"/>
      <c r="N7" s="2144"/>
      <c r="O7" s="2144"/>
      <c r="P7" s="3356"/>
      <c r="Q7" s="3357"/>
      <c r="R7" s="3342"/>
      <c r="S7" s="3343"/>
      <c r="T7" s="3342"/>
      <c r="U7" s="3343"/>
      <c r="V7" s="3360"/>
      <c r="W7" s="3360"/>
      <c r="X7" s="1572"/>
      <c r="Y7" s="3342"/>
      <c r="Z7" s="3343"/>
      <c r="AA7" s="3336"/>
      <c r="AB7" s="3336"/>
      <c r="AC7" s="3336"/>
    </row>
    <row r="8" spans="1:29" ht="15.75" thickBot="1">
      <c r="A8" s="520"/>
      <c r="B8" s="521"/>
      <c r="C8" s="3361" t="s">
        <v>2948</v>
      </c>
      <c r="D8" s="3362"/>
      <c r="E8" s="3380" t="s">
        <v>2948</v>
      </c>
      <c r="F8" s="3381"/>
      <c r="G8" s="3361" t="s">
        <v>2948</v>
      </c>
      <c r="H8" s="3362"/>
      <c r="I8" s="3361" t="s">
        <v>2948</v>
      </c>
      <c r="J8" s="3362"/>
      <c r="K8" s="517" t="s">
        <v>529</v>
      </c>
      <c r="L8" s="2143"/>
      <c r="M8" s="2144"/>
      <c r="N8" s="2144"/>
      <c r="O8" s="2144"/>
      <c r="P8" s="3358"/>
      <c r="Q8" s="3359"/>
      <c r="R8" s="3342"/>
      <c r="S8" s="3343"/>
      <c r="T8" s="3344"/>
      <c r="U8" s="3345"/>
      <c r="V8" s="3360"/>
      <c r="W8" s="3360"/>
      <c r="X8" s="1572"/>
      <c r="Y8" s="3344"/>
      <c r="Z8" s="3345"/>
      <c r="AA8" s="3337"/>
      <c r="AB8" s="3337"/>
      <c r="AC8" s="3337"/>
    </row>
    <row r="9" spans="1:29" s="1223" customFormat="1" ht="15.75" thickBot="1">
      <c r="A9" s="2951"/>
      <c r="B9" s="2958" t="s">
        <v>530</v>
      </c>
      <c r="C9" s="522">
        <f>'数据-取费表'!B2</f>
        <v>0</v>
      </c>
      <c r="D9" s="523">
        <v>100</v>
      </c>
      <c r="E9" s="524"/>
      <c r="F9" s="525">
        <f>SUMIF(67:67,YEAR(E9)&amp;"-"&amp;INT((MONTH(E9)+2)/3),68:68)</f>
        <v>100</v>
      </c>
      <c r="G9" s="526"/>
      <c r="H9" s="523">
        <f>SUMIF(67:67,YEAR(G9)&amp;"-"&amp;INT((MONTH(G9)+2)/3),68:68)</f>
        <v>100</v>
      </c>
      <c r="I9" s="526"/>
      <c r="J9" s="523">
        <f>SUMIF(67:67,YEAR(I9)&amp;"-"&amp;INT((MONTH(I9)+2)/3),68:68)</f>
        <v>100</v>
      </c>
      <c r="K9" s="527"/>
      <c r="L9" s="2145"/>
      <c r="M9" s="2146"/>
      <c r="N9" s="2146"/>
      <c r="O9" s="2146"/>
      <c r="P9" s="3338" t="s">
        <v>531</v>
      </c>
      <c r="Q9" s="3347"/>
      <c r="R9" s="1573" t="s">
        <v>8</v>
      </c>
      <c r="S9" s="1574">
        <f t="shared" ref="S9:S17" si="0">F9</f>
        <v>100</v>
      </c>
      <c r="T9" s="1573" t="s">
        <v>8</v>
      </c>
      <c r="U9" s="1574">
        <f t="shared" ref="U9:U17" si="1">H9</f>
        <v>100</v>
      </c>
      <c r="V9" s="1573" t="s">
        <v>8</v>
      </c>
      <c r="W9" s="1574">
        <f t="shared" ref="W9:W17" si="2">J9</f>
        <v>100</v>
      </c>
      <c r="X9" s="1575"/>
      <c r="Y9" s="3338" t="s">
        <v>531</v>
      </c>
      <c r="Z9" s="3339"/>
      <c r="AA9" s="1576">
        <f>D9/F9</f>
        <v>1</v>
      </c>
      <c r="AB9" s="1576">
        <f>D9/H9</f>
        <v>1</v>
      </c>
      <c r="AC9" s="1576">
        <f>D9/J9</f>
        <v>1</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38" t="s">
        <v>534</v>
      </c>
      <c r="Q10" s="3339"/>
      <c r="R10" s="1573" t="s">
        <v>8</v>
      </c>
      <c r="S10" s="1574">
        <f t="shared" si="0"/>
        <v>0</v>
      </c>
      <c r="T10" s="1573" t="s">
        <v>8</v>
      </c>
      <c r="U10" s="1574">
        <f t="shared" si="1"/>
        <v>0</v>
      </c>
      <c r="V10" s="1573" t="s">
        <v>8</v>
      </c>
      <c r="W10" s="1574">
        <f t="shared" si="2"/>
        <v>0</v>
      </c>
      <c r="X10" s="1575"/>
      <c r="Y10" s="3338" t="s">
        <v>534</v>
      </c>
      <c r="Z10" s="3339"/>
      <c r="AA10" s="1576" t="e">
        <f t="shared" ref="AA10:AA42" si="3">D10/F10</f>
        <v>#DIV/0!</v>
      </c>
      <c r="AB10" s="1576" t="e">
        <f t="shared" ref="AB10:AB42" si="4">D10/H10</f>
        <v>#DIV/0!</v>
      </c>
      <c r="AC10" s="1576" t="e">
        <f t="shared" ref="AC10:AC42" si="5">D10/J10</f>
        <v>#DIV/0!</v>
      </c>
    </row>
    <row r="11" spans="1:29" s="1223" customFormat="1" ht="15">
      <c r="A11" s="2953"/>
      <c r="B11" s="2960" t="s">
        <v>2769</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46" t="s">
        <v>536</v>
      </c>
      <c r="Q11" s="1154" t="str">
        <f t="shared" ref="Q11:Q17" si="6">B11</f>
        <v>用途</v>
      </c>
      <c r="R11" s="1573" t="s">
        <v>8</v>
      </c>
      <c r="S11" s="1574">
        <f t="shared" si="0"/>
        <v>100</v>
      </c>
      <c r="T11" s="1573" t="s">
        <v>8</v>
      </c>
      <c r="U11" s="1574">
        <f t="shared" si="1"/>
        <v>100</v>
      </c>
      <c r="V11" s="1573" t="s">
        <v>8</v>
      </c>
      <c r="W11" s="1574">
        <f t="shared" si="2"/>
        <v>100</v>
      </c>
      <c r="X11" s="1575"/>
      <c r="Y11" s="3303" t="s">
        <v>537</v>
      </c>
      <c r="Z11" s="1153" t="str">
        <f t="shared" ref="Z11:Z17" si="7">Q11</f>
        <v>用途</v>
      </c>
      <c r="AA11" s="1576">
        <f t="shared" si="3"/>
        <v>1</v>
      </c>
      <c r="AB11" s="1576">
        <f t="shared" si="4"/>
        <v>1</v>
      </c>
      <c r="AC11" s="1576">
        <f t="shared" si="5"/>
        <v>1</v>
      </c>
    </row>
    <row r="12" spans="1:29" s="1341" customFormat="1" ht="27">
      <c r="A12" s="2954"/>
      <c r="B12" s="2959" t="s">
        <v>2770</v>
      </c>
      <c r="C12" s="531"/>
      <c r="D12" s="255">
        <v>100</v>
      </c>
      <c r="E12" s="531"/>
      <c r="F12" s="255" t="e">
        <f>ROUND(100/'数据-取费表'!G16,0)</f>
        <v>#DIV/0!</v>
      </c>
      <c r="G12" s="531"/>
      <c r="H12" s="255" t="e">
        <f>ROUND(100/'数据-取费表'!G16,0)</f>
        <v>#DIV/0!</v>
      </c>
      <c r="I12" s="531"/>
      <c r="J12" s="255" t="e">
        <f>ROUND(100/'数据-取费表'!G16,0)</f>
        <v>#DIV/0!</v>
      </c>
      <c r="K12" s="534"/>
      <c r="L12" s="2148"/>
      <c r="M12" s="2188"/>
      <c r="N12" s="2188"/>
      <c r="O12" s="2149"/>
      <c r="P12" s="3346"/>
      <c r="Q12" s="1154" t="str">
        <f t="shared" si="6"/>
        <v>土地使用年限（年）</v>
      </c>
      <c r="R12" s="1573" t="s">
        <v>8</v>
      </c>
      <c r="S12" s="1574" t="e">
        <f t="shared" si="0"/>
        <v>#DIV/0!</v>
      </c>
      <c r="T12" s="1573" t="s">
        <v>8</v>
      </c>
      <c r="U12" s="1574" t="e">
        <f t="shared" si="1"/>
        <v>#DIV/0!</v>
      </c>
      <c r="V12" s="1573" t="s">
        <v>8</v>
      </c>
      <c r="W12" s="1574" t="e">
        <f t="shared" si="2"/>
        <v>#DIV/0!</v>
      </c>
      <c r="X12" s="1575"/>
      <c r="Y12" s="3303"/>
      <c r="Z12" s="1153" t="str">
        <f t="shared" si="7"/>
        <v>土地使用年限（年）</v>
      </c>
      <c r="AA12" s="1576" t="e">
        <f t="shared" si="3"/>
        <v>#DIV/0!</v>
      </c>
      <c r="AB12" s="1576" t="e">
        <f t="shared" si="4"/>
        <v>#DIV/0!</v>
      </c>
      <c r="AC12" s="1576" t="e">
        <f t="shared" si="5"/>
        <v>#DIV/0!</v>
      </c>
    </row>
    <row r="13" spans="1:29" ht="15">
      <c r="A13" s="2955"/>
      <c r="B13" s="2959" t="s">
        <v>2771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46"/>
      <c r="Q13" s="1154" t="str">
        <f t="shared" si="6"/>
        <v>容积率</v>
      </c>
      <c r="R13" s="1573" t="s">
        <v>8</v>
      </c>
      <c r="S13" s="1574" t="e">
        <f t="shared" si="0"/>
        <v>#N/A</v>
      </c>
      <c r="T13" s="1573" t="s">
        <v>8</v>
      </c>
      <c r="U13" s="1574" t="e">
        <f t="shared" si="1"/>
        <v>#N/A</v>
      </c>
      <c r="V13" s="1573" t="s">
        <v>8</v>
      </c>
      <c r="W13" s="1574" t="e">
        <f t="shared" si="2"/>
        <v>#N/A</v>
      </c>
      <c r="X13" s="1575"/>
      <c r="Y13" s="3303"/>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46"/>
      <c r="Q14" s="1154">
        <f t="shared" si="6"/>
        <v>111</v>
      </c>
      <c r="R14" s="1573" t="s">
        <v>8</v>
      </c>
      <c r="S14" s="1574">
        <f t="shared" si="0"/>
        <v>100</v>
      </c>
      <c r="T14" s="1573" t="s">
        <v>8</v>
      </c>
      <c r="U14" s="1574">
        <f t="shared" si="1"/>
        <v>100</v>
      </c>
      <c r="V14" s="1573" t="s">
        <v>8</v>
      </c>
      <c r="W14" s="1574">
        <f t="shared" si="2"/>
        <v>100</v>
      </c>
      <c r="X14" s="1575"/>
      <c r="Y14" s="3303"/>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46"/>
      <c r="Q15" s="1154">
        <f t="shared" si="6"/>
        <v>111</v>
      </c>
      <c r="R15" s="1573" t="s">
        <v>8</v>
      </c>
      <c r="S15" s="1574">
        <f t="shared" si="0"/>
        <v>100</v>
      </c>
      <c r="T15" s="1573" t="s">
        <v>8</v>
      </c>
      <c r="U15" s="1574">
        <f t="shared" si="1"/>
        <v>100</v>
      </c>
      <c r="V15" s="1573" t="s">
        <v>8</v>
      </c>
      <c r="W15" s="1574">
        <f t="shared" si="2"/>
        <v>100</v>
      </c>
      <c r="X15" s="1575"/>
      <c r="Y15" s="3303"/>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46"/>
      <c r="Q16" s="1154">
        <f t="shared" si="6"/>
        <v>111</v>
      </c>
      <c r="R16" s="1573" t="s">
        <v>8</v>
      </c>
      <c r="S16" s="1574">
        <f t="shared" si="0"/>
        <v>100</v>
      </c>
      <c r="T16" s="1573" t="s">
        <v>8</v>
      </c>
      <c r="U16" s="1574">
        <f t="shared" si="1"/>
        <v>100</v>
      </c>
      <c r="V16" s="1573" t="s">
        <v>8</v>
      </c>
      <c r="W16" s="1574">
        <f t="shared" si="2"/>
        <v>100</v>
      </c>
      <c r="X16" s="1575"/>
      <c r="Y16" s="3303"/>
      <c r="Z16" s="1153">
        <f t="shared" si="7"/>
        <v>111</v>
      </c>
      <c r="AA16" s="1576">
        <f t="shared" si="3"/>
        <v>1</v>
      </c>
      <c r="AB16" s="1576">
        <f t="shared" si="4"/>
        <v>1</v>
      </c>
      <c r="AC16" s="1576">
        <f t="shared" si="5"/>
        <v>1</v>
      </c>
    </row>
    <row r="17" spans="1:29" ht="57">
      <c r="A17" s="2949" t="s">
        <v>2767</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48" t="s">
        <v>541</v>
      </c>
      <c r="Q17" s="1577" t="str">
        <f t="shared" si="6"/>
        <v>产业集聚程度</v>
      </c>
      <c r="R17" s="1578" t="s">
        <v>8</v>
      </c>
      <c r="S17" s="1579">
        <f t="shared" si="0"/>
        <v>100</v>
      </c>
      <c r="T17" s="1578" t="s">
        <v>8</v>
      </c>
      <c r="U17" s="1579">
        <f t="shared" si="1"/>
        <v>100</v>
      </c>
      <c r="V17" s="1578" t="s">
        <v>8</v>
      </c>
      <c r="W17" s="1579">
        <f t="shared" si="2"/>
        <v>100</v>
      </c>
      <c r="X17" s="1572"/>
      <c r="Y17" s="3348"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49"/>
      <c r="Q18" s="1577"/>
      <c r="R18" s="1578"/>
      <c r="S18" s="1579"/>
      <c r="T18" s="1578"/>
      <c r="U18" s="1579"/>
      <c r="V18" s="1578"/>
      <c r="W18" s="1579"/>
      <c r="X18" s="1572"/>
      <c r="Y18" s="3349"/>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49"/>
      <c r="Q19" s="1577" t="str">
        <f>B19</f>
        <v>交通便捷度</v>
      </c>
      <c r="R19" s="1578" t="s">
        <v>8</v>
      </c>
      <c r="S19" s="1579">
        <f>F19</f>
        <v>100</v>
      </c>
      <c r="T19" s="1578" t="s">
        <v>8</v>
      </c>
      <c r="U19" s="1579">
        <f>H19</f>
        <v>100</v>
      </c>
      <c r="V19" s="1578" t="s">
        <v>8</v>
      </c>
      <c r="W19" s="1579">
        <f>J19</f>
        <v>100</v>
      </c>
      <c r="X19" s="1572"/>
      <c r="Y19" s="334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49"/>
      <c r="Q20" s="1577"/>
      <c r="R20" s="1578"/>
      <c r="S20" s="1579"/>
      <c r="T20" s="1578"/>
      <c r="U20" s="1579"/>
      <c r="V20" s="1578"/>
      <c r="W20" s="1579"/>
      <c r="X20" s="1572"/>
      <c r="Y20" s="3349"/>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49"/>
      <c r="Q21" s="1577" t="str">
        <f t="shared" ref="Q21:Q35" si="8">B21</f>
        <v>区域土地利用方向</v>
      </c>
      <c r="R21" s="1578" t="s">
        <v>8</v>
      </c>
      <c r="S21" s="1579">
        <f>F21</f>
        <v>100</v>
      </c>
      <c r="T21" s="1578" t="s">
        <v>8</v>
      </c>
      <c r="U21" s="1579">
        <f>H21</f>
        <v>100</v>
      </c>
      <c r="V21" s="1578" t="s">
        <v>8</v>
      </c>
      <c r="W21" s="1579">
        <f>J21</f>
        <v>100</v>
      </c>
      <c r="X21" s="1572"/>
      <c r="Y21" s="334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49"/>
      <c r="Q22" s="1577"/>
      <c r="R22" s="1578"/>
      <c r="S22" s="1579"/>
      <c r="T22" s="1578"/>
      <c r="U22" s="1579"/>
      <c r="V22" s="1578"/>
      <c r="W22" s="1579"/>
      <c r="X22" s="1572"/>
      <c r="Y22" s="3349"/>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49"/>
      <c r="Q23" s="1577" t="str">
        <f t="shared" si="8"/>
        <v>环境状况</v>
      </c>
      <c r="R23" s="1578" t="s">
        <v>8</v>
      </c>
      <c r="S23" s="1579">
        <f>F23</f>
        <v>100</v>
      </c>
      <c r="T23" s="1578" t="s">
        <v>8</v>
      </c>
      <c r="U23" s="1579">
        <f>H23</f>
        <v>100</v>
      </c>
      <c r="V23" s="1578" t="s">
        <v>8</v>
      </c>
      <c r="W23" s="1579">
        <f>J23</f>
        <v>100</v>
      </c>
      <c r="X23" s="1572"/>
      <c r="Y23" s="334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49"/>
      <c r="Q24" s="1577"/>
      <c r="R24" s="1578"/>
      <c r="S24" s="1579"/>
      <c r="T24" s="1578"/>
      <c r="U24" s="1579"/>
      <c r="V24" s="1578"/>
      <c r="W24" s="1579"/>
      <c r="X24" s="1572"/>
      <c r="Y24" s="3349"/>
      <c r="Z24" s="1580"/>
      <c r="AA24" s="1581">
        <v>1</v>
      </c>
      <c r="AB24" s="1581">
        <v>1</v>
      </c>
      <c r="AC24" s="1581">
        <v>1</v>
      </c>
    </row>
    <row r="25" spans="1:29" s="1223" customFormat="1" ht="42.75">
      <c r="A25" s="580"/>
      <c r="B25" s="2628" t="s">
        <v>2558</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49"/>
      <c r="Q25" s="1154" t="str">
        <f t="shared" si="8"/>
        <v>公共配套设施</v>
      </c>
      <c r="R25" s="1573" t="s">
        <v>8</v>
      </c>
      <c r="S25" s="1574">
        <f>F25</f>
        <v>100</v>
      </c>
      <c r="T25" s="1573" t="s">
        <v>8</v>
      </c>
      <c r="U25" s="1574">
        <f>H25</f>
        <v>100</v>
      </c>
      <c r="V25" s="1573" t="s">
        <v>8</v>
      </c>
      <c r="W25" s="1574">
        <f>J25</f>
        <v>100</v>
      </c>
      <c r="X25" s="1575"/>
      <c r="Y25" s="3349"/>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49"/>
      <c r="Q26" s="1154"/>
      <c r="R26" s="1573"/>
      <c r="S26" s="1574"/>
      <c r="T26" s="1573"/>
      <c r="U26" s="1574"/>
      <c r="V26" s="1573"/>
      <c r="W26" s="1574"/>
      <c r="X26" s="1575"/>
      <c r="Y26" s="3349"/>
      <c r="Z26" s="1153"/>
      <c r="AA26" s="1576">
        <v>1</v>
      </c>
      <c r="AB26" s="1576">
        <v>1</v>
      </c>
      <c r="AC26" s="1576">
        <v>1</v>
      </c>
    </row>
    <row r="27" spans="1:29" s="1223" customFormat="1" ht="28.5">
      <c r="A27" s="580"/>
      <c r="B27" s="2628" t="s">
        <v>2559</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49"/>
      <c r="Q27" s="2613" t="str">
        <f t="shared" ref="Q27" si="9">B27</f>
        <v>基础设施水平</v>
      </c>
      <c r="R27" s="1573" t="s">
        <v>8</v>
      </c>
      <c r="S27" s="1574">
        <f>F27</f>
        <v>100</v>
      </c>
      <c r="T27" s="1573" t="s">
        <v>8</v>
      </c>
      <c r="U27" s="1574">
        <f>H27</f>
        <v>100</v>
      </c>
      <c r="V27" s="1573" t="s">
        <v>8</v>
      </c>
      <c r="W27" s="1574">
        <f>J27</f>
        <v>100</v>
      </c>
      <c r="X27" s="1575"/>
      <c r="Y27" s="3349"/>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49"/>
      <c r="Q28" s="2613"/>
      <c r="R28" s="1573"/>
      <c r="S28" s="1574"/>
      <c r="T28" s="1573"/>
      <c r="U28" s="1574"/>
      <c r="V28" s="1573"/>
      <c r="W28" s="1574"/>
      <c r="X28" s="1575"/>
      <c r="Y28" s="3349"/>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4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49"/>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49"/>
      <c r="Q30" s="1577" t="str">
        <f t="shared" si="8"/>
        <v>毗邻道路的类型与等级</v>
      </c>
      <c r="R30" s="1578" t="s">
        <v>8</v>
      </c>
      <c r="S30" s="1579">
        <f t="shared" si="10"/>
        <v>100</v>
      </c>
      <c r="T30" s="1578" t="s">
        <v>8</v>
      </c>
      <c r="U30" s="1579">
        <f t="shared" si="11"/>
        <v>100</v>
      </c>
      <c r="V30" s="1578" t="s">
        <v>8</v>
      </c>
      <c r="W30" s="1579">
        <f t="shared" si="12"/>
        <v>100</v>
      </c>
      <c r="X30" s="1572"/>
      <c r="Y30" s="334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49"/>
      <c r="Q31" s="1577"/>
      <c r="R31" s="1578"/>
      <c r="S31" s="1579"/>
      <c r="T31" s="1578"/>
      <c r="U31" s="1579"/>
      <c r="V31" s="1578"/>
      <c r="W31" s="1579"/>
      <c r="X31" s="1572"/>
      <c r="Y31" s="3349"/>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49"/>
      <c r="Q32" s="1577" t="str">
        <f t="shared" si="8"/>
        <v>土地级别</v>
      </c>
      <c r="R32" s="1578" t="s">
        <v>8</v>
      </c>
      <c r="S32" s="1579">
        <f t="shared" si="10"/>
        <v>100</v>
      </c>
      <c r="T32" s="1578" t="s">
        <v>8</v>
      </c>
      <c r="U32" s="1579">
        <f t="shared" si="11"/>
        <v>100</v>
      </c>
      <c r="V32" s="1578" t="s">
        <v>8</v>
      </c>
      <c r="W32" s="1579">
        <f t="shared" si="12"/>
        <v>100</v>
      </c>
      <c r="X32" s="1572"/>
      <c r="Y32" s="334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49"/>
      <c r="Q33" s="1577">
        <f t="shared" si="8"/>
        <v>111</v>
      </c>
      <c r="R33" s="1578" t="s">
        <v>8</v>
      </c>
      <c r="S33" s="1579">
        <f t="shared" si="10"/>
        <v>100</v>
      </c>
      <c r="T33" s="1578" t="s">
        <v>8</v>
      </c>
      <c r="U33" s="1579">
        <f t="shared" si="11"/>
        <v>100</v>
      </c>
      <c r="V33" s="1578" t="s">
        <v>8</v>
      </c>
      <c r="W33" s="1579">
        <f t="shared" si="12"/>
        <v>100</v>
      </c>
      <c r="X33" s="1572"/>
      <c r="Y33" s="334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50" t="s">
        <v>551</v>
      </c>
      <c r="Q34" s="1577">
        <f t="shared" si="8"/>
        <v>111</v>
      </c>
      <c r="R34" s="1578" t="s">
        <v>8</v>
      </c>
      <c r="S34" s="1579">
        <f t="shared" si="10"/>
        <v>100</v>
      </c>
      <c r="T34" s="1578" t="s">
        <v>8</v>
      </c>
      <c r="U34" s="1579">
        <f t="shared" si="11"/>
        <v>100</v>
      </c>
      <c r="V34" s="1578" t="s">
        <v>8</v>
      </c>
      <c r="W34" s="1579">
        <f t="shared" si="12"/>
        <v>100</v>
      </c>
      <c r="X34" s="1572"/>
      <c r="Y34" s="3351"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51"/>
      <c r="Q35" s="1577">
        <f t="shared" si="8"/>
        <v>111</v>
      </c>
      <c r="R35" s="1582" t="s">
        <v>8</v>
      </c>
      <c r="S35" s="1583">
        <f t="shared" si="10"/>
        <v>100</v>
      </c>
      <c r="T35" s="1582" t="s">
        <v>8</v>
      </c>
      <c r="U35" s="1583">
        <f t="shared" si="11"/>
        <v>100</v>
      </c>
      <c r="V35" s="1582" t="s">
        <v>8</v>
      </c>
      <c r="W35" s="1583">
        <f t="shared" si="12"/>
        <v>100</v>
      </c>
      <c r="X35" s="1584"/>
      <c r="Y35" s="3351"/>
      <c r="Z35" s="1585">
        <f t="shared" si="13"/>
        <v>111</v>
      </c>
      <c r="AA35" s="1581">
        <f t="shared" si="3"/>
        <v>1</v>
      </c>
      <c r="AB35" s="1581">
        <f t="shared" si="4"/>
        <v>1</v>
      </c>
      <c r="AC35" s="1581">
        <f t="shared" si="5"/>
        <v>1</v>
      </c>
    </row>
    <row r="36" spans="1:29" ht="15">
      <c r="A36" s="2946" t="s">
        <v>2768</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51"/>
      <c r="Q36" s="1577" t="str">
        <f>B36</f>
        <v>宗地面积</v>
      </c>
      <c r="R36" s="1578" t="s">
        <v>8</v>
      </c>
      <c r="S36" s="1579" t="e">
        <f t="shared" si="10"/>
        <v>#N/A</v>
      </c>
      <c r="T36" s="1578" t="s">
        <v>8</v>
      </c>
      <c r="U36" s="1579" t="e">
        <f t="shared" si="11"/>
        <v>#N/A</v>
      </c>
      <c r="V36" s="1578" t="s">
        <v>8</v>
      </c>
      <c r="W36" s="1579" t="e">
        <f t="shared" si="12"/>
        <v>#N/A</v>
      </c>
      <c r="X36" s="1572"/>
      <c r="Y36" s="3351"/>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51"/>
      <c r="Q37" s="1577" t="str">
        <f t="shared" ref="Q37:Q42" si="14">B37</f>
        <v>宗地形状</v>
      </c>
      <c r="R37" s="1578" t="s">
        <v>8</v>
      </c>
      <c r="S37" s="1579">
        <f t="shared" si="10"/>
        <v>100</v>
      </c>
      <c r="T37" s="1578" t="s">
        <v>8</v>
      </c>
      <c r="U37" s="1579">
        <f t="shared" si="11"/>
        <v>100</v>
      </c>
      <c r="V37" s="1578" t="s">
        <v>8</v>
      </c>
      <c r="W37" s="1579">
        <f t="shared" si="12"/>
        <v>100</v>
      </c>
      <c r="X37" s="1572"/>
      <c r="Y37" s="3351"/>
      <c r="Z37" s="1580" t="str">
        <f t="shared" si="13"/>
        <v>宗地形状</v>
      </c>
      <c r="AA37" s="1581">
        <f t="shared" si="3"/>
        <v>1</v>
      </c>
      <c r="AB37" s="1581">
        <f t="shared" si="4"/>
        <v>1</v>
      </c>
      <c r="AC37" s="1581">
        <f t="shared" si="5"/>
        <v>1</v>
      </c>
    </row>
    <row r="38" spans="1:29" s="1223" customFormat="1" ht="15">
      <c r="A38" s="603"/>
      <c r="B38" s="1901" t="s">
        <v>2432</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51"/>
      <c r="Q38" s="1577" t="str">
        <f t="shared" si="14"/>
        <v>宗地开发程度</v>
      </c>
      <c r="R38" s="1573" t="s">
        <v>8</v>
      </c>
      <c r="S38" s="1574">
        <f t="shared" si="10"/>
        <v>100</v>
      </c>
      <c r="T38" s="1573" t="s">
        <v>8</v>
      </c>
      <c r="U38" s="1574">
        <f t="shared" si="11"/>
        <v>100</v>
      </c>
      <c r="V38" s="1573" t="s">
        <v>8</v>
      </c>
      <c r="W38" s="1574">
        <f t="shared" si="12"/>
        <v>100</v>
      </c>
      <c r="X38" s="1575"/>
      <c r="Y38" s="3351"/>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51" t="s">
        <v>602</v>
      </c>
      <c r="Q39" s="1577" t="str">
        <f t="shared" si="14"/>
        <v>工程地质条件</v>
      </c>
      <c r="R39" s="1578" t="s">
        <v>8</v>
      </c>
      <c r="S39" s="1579">
        <f t="shared" si="10"/>
        <v>100</v>
      </c>
      <c r="T39" s="1578" t="s">
        <v>8</v>
      </c>
      <c r="U39" s="1579">
        <f t="shared" si="11"/>
        <v>100</v>
      </c>
      <c r="V39" s="1578" t="s">
        <v>8</v>
      </c>
      <c r="W39" s="1579">
        <f t="shared" si="12"/>
        <v>100</v>
      </c>
      <c r="X39" s="1572"/>
      <c r="Y39" s="3351"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51"/>
      <c r="Q40" s="1577">
        <f t="shared" si="14"/>
        <v>111</v>
      </c>
      <c r="R40" s="1578" t="s">
        <v>8</v>
      </c>
      <c r="S40" s="1579">
        <f t="shared" si="10"/>
        <v>100</v>
      </c>
      <c r="T40" s="1578" t="s">
        <v>8</v>
      </c>
      <c r="U40" s="1579">
        <f t="shared" si="11"/>
        <v>100</v>
      </c>
      <c r="V40" s="1578" t="s">
        <v>8</v>
      </c>
      <c r="W40" s="1579">
        <f t="shared" si="12"/>
        <v>100</v>
      </c>
      <c r="X40" s="1572"/>
      <c r="Y40" s="335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51"/>
      <c r="Q41" s="1577">
        <f t="shared" si="14"/>
        <v>111</v>
      </c>
      <c r="R41" s="1578" t="s">
        <v>8</v>
      </c>
      <c r="S41" s="1579">
        <f t="shared" si="10"/>
        <v>100</v>
      </c>
      <c r="T41" s="1578" t="s">
        <v>8</v>
      </c>
      <c r="U41" s="1579">
        <f t="shared" si="11"/>
        <v>100</v>
      </c>
      <c r="V41" s="1578" t="s">
        <v>8</v>
      </c>
      <c r="W41" s="1579">
        <f t="shared" si="12"/>
        <v>100</v>
      </c>
      <c r="X41" s="1572"/>
      <c r="Y41" s="335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51"/>
      <c r="Q42" s="1577">
        <f t="shared" si="14"/>
        <v>111</v>
      </c>
      <c r="R42" s="1582" t="s">
        <v>8</v>
      </c>
      <c r="S42" s="1583">
        <f t="shared" si="10"/>
        <v>100</v>
      </c>
      <c r="T42" s="1582" t="s">
        <v>8</v>
      </c>
      <c r="U42" s="1583">
        <f t="shared" si="11"/>
        <v>100</v>
      </c>
      <c r="V42" s="1582" t="s">
        <v>8</v>
      </c>
      <c r="W42" s="1583">
        <f t="shared" si="12"/>
        <v>100</v>
      </c>
      <c r="X42" s="1584"/>
      <c r="Y42" s="3351"/>
      <c r="Z42" s="1585">
        <f t="shared" si="13"/>
        <v>111</v>
      </c>
      <c r="AA42" s="1581">
        <f t="shared" si="3"/>
        <v>1</v>
      </c>
      <c r="AB42" s="1581">
        <f t="shared" si="4"/>
        <v>1</v>
      </c>
      <c r="AC42" s="1581">
        <f t="shared" si="5"/>
        <v>1</v>
      </c>
    </row>
    <row r="43" spans="1:29" ht="15">
      <c r="A43" s="610" t="s">
        <v>557</v>
      </c>
      <c r="B43" s="611" t="s">
        <v>2949</v>
      </c>
      <c r="C43" s="612" t="s">
        <v>1</v>
      </c>
      <c r="D43" s="613"/>
      <c r="E43" s="614"/>
      <c r="F43" s="615"/>
      <c r="G43" s="616"/>
      <c r="H43" s="617"/>
      <c r="I43" s="614"/>
      <c r="J43" s="617"/>
      <c r="K43" s="1343"/>
      <c r="L43" s="2154"/>
      <c r="M43" s="2144"/>
      <c r="N43" s="2144"/>
      <c r="O43" s="2155"/>
      <c r="P43" s="3346" t="str">
        <f>A43</f>
        <v>成交单价</v>
      </c>
      <c r="Q43" s="3346"/>
      <c r="R43" s="3360">
        <f>E43</f>
        <v>0</v>
      </c>
      <c r="S43" s="3360"/>
      <c r="T43" s="3360">
        <f>G43</f>
        <v>0</v>
      </c>
      <c r="U43" s="3360"/>
      <c r="V43" s="3360">
        <f>I43</f>
        <v>0</v>
      </c>
      <c r="W43" s="3360"/>
      <c r="X43" s="1564"/>
      <c r="Y43" s="1586"/>
      <c r="Z43" s="1564"/>
      <c r="AA43" s="1564"/>
      <c r="AB43" s="1564"/>
      <c r="AC43" s="1564"/>
    </row>
    <row r="44" spans="1:29" ht="15.75" thickBot="1">
      <c r="A44" s="618" t="s">
        <v>2706</v>
      </c>
      <c r="B44" s="619"/>
      <c r="C44" s="620" t="e">
        <f>R45</f>
        <v>#DIV/0!</v>
      </c>
      <c r="D44" s="621"/>
      <c r="E44" s="620" t="e">
        <f>R44</f>
        <v>#DIV/0!</v>
      </c>
      <c r="F44" s="622"/>
      <c r="G44" s="623" t="e">
        <f>T44</f>
        <v>#DIV/0!</v>
      </c>
      <c r="H44" s="621"/>
      <c r="I44" s="620" t="e">
        <f>V44</f>
        <v>#DIV/0!</v>
      </c>
      <c r="J44" s="621"/>
      <c r="K44" s="1344"/>
      <c r="L44" s="2154"/>
      <c r="M44" s="2144"/>
      <c r="N44" s="2144"/>
      <c r="O44" s="2155"/>
      <c r="P44" s="3346" t="str">
        <f>A44</f>
        <v>比较价格（元/平方米）</v>
      </c>
      <c r="Q44" s="3346"/>
      <c r="R44" s="3370" t="e">
        <f>ROUND(PRODUCT(R43,AA9:AA42),0)</f>
        <v>#DIV/0!</v>
      </c>
      <c r="S44" s="3370"/>
      <c r="T44" s="3370" t="e">
        <f>ROUND(PRODUCT(T43,AB9:AB42),0)</f>
        <v>#DIV/0!</v>
      </c>
      <c r="U44" s="3370"/>
      <c r="V44" s="3370" t="e">
        <f>ROUND(PRODUCT(V43,AC9:AC42),0)</f>
        <v>#DIV/0!</v>
      </c>
      <c r="W44" s="3370"/>
      <c r="X44" s="1564"/>
      <c r="Y44" s="1564"/>
      <c r="Z44" s="1564"/>
      <c r="AA44" s="1564"/>
      <c r="AB44" s="1564"/>
      <c r="AC44" s="1564"/>
    </row>
    <row r="45" spans="1:29" ht="15.75" thickBot="1">
      <c r="A45" s="624" t="s">
        <v>2950</v>
      </c>
      <c r="B45" s="625"/>
      <c r="C45" s="626" t="e">
        <f>R45</f>
        <v>#DIV/0!</v>
      </c>
      <c r="D45" s="626"/>
      <c r="E45" s="626"/>
      <c r="F45" s="626"/>
      <c r="G45" s="626"/>
      <c r="H45" s="626"/>
      <c r="I45" s="626"/>
      <c r="J45" s="626"/>
      <c r="K45" s="1345"/>
      <c r="L45" s="2154"/>
      <c r="M45" s="2144"/>
      <c r="N45" s="2144"/>
      <c r="O45" s="2155"/>
      <c r="P45" s="3367" t="str">
        <f>A45</f>
        <v>估价对象XX用房的比较价格（楼面单价，元/平方米）</v>
      </c>
      <c r="Q45" s="3368"/>
      <c r="R45" s="3369" t="e">
        <f>ROUND(AVERAGE(R44:V44),0)</f>
        <v>#DIV/0!</v>
      </c>
      <c r="S45" s="3369"/>
      <c r="T45" s="3369"/>
      <c r="U45" s="3369"/>
      <c r="V45" s="3369"/>
      <c r="W45" s="3369"/>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2300</v>
      </c>
      <c r="E52" s="634" t="s">
        <v>563</v>
      </c>
      <c r="F52" s="1957" t="s">
        <v>564</v>
      </c>
      <c r="G52" s="3371" t="s">
        <v>2291</v>
      </c>
      <c r="H52" s="3372"/>
      <c r="I52" s="1958" t="s">
        <v>1952</v>
      </c>
      <c r="J52" s="1560">
        <f>项目基本情况!F41</f>
        <v>0</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0</v>
      </c>
      <c r="F53" s="1956" t="e">
        <f t="shared" ref="F53:F62" si="15">ROUND(B53*E53/10000,0)</f>
        <v>#DIV/0!</v>
      </c>
      <c r="G53" s="3373"/>
      <c r="H53" s="3374"/>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75" t="s">
        <v>2292</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75"/>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75"/>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75"/>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2335</v>
      </c>
      <c r="B58" s="641" t="e">
        <f t="shared" si="17"/>
        <v>#DIV/0!</v>
      </c>
      <c r="C58" s="381">
        <f t="shared" si="16"/>
        <v>0</v>
      </c>
      <c r="D58" s="2239">
        <v>0.25</v>
      </c>
      <c r="E58" s="644">
        <f>'数据-汇总表'!E11</f>
        <v>0</v>
      </c>
      <c r="F58" s="1956" t="e">
        <f t="shared" si="15"/>
        <v>#DIV/0!</v>
      </c>
      <c r="G58" s="1962" t="s">
        <v>2293</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2292</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2293</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2301</v>
      </c>
      <c r="E63" s="646" t="e">
        <f>IF(B43="楼面地价",SUM(E53:E62),'数据-汇总表'!D3)</f>
        <v>#DIV/0!</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1900-1-1</v>
      </c>
      <c r="D65" s="2838" t="e">
        <f>EDATE(C65,-3)</f>
        <v>#NUM!</v>
      </c>
      <c r="E65" s="2838" t="e">
        <f t="shared" ref="E65:N65" si="18">EDATE(D65,-3)</f>
        <v>#NUM!</v>
      </c>
      <c r="F65" s="2838" t="e">
        <f t="shared" si="18"/>
        <v>#NUM!</v>
      </c>
      <c r="G65" s="2838" t="e">
        <f t="shared" si="18"/>
        <v>#NUM!</v>
      </c>
      <c r="H65" s="2838" t="e">
        <f t="shared" si="18"/>
        <v>#NUM!</v>
      </c>
      <c r="I65" s="2838" t="e">
        <f t="shared" si="18"/>
        <v>#NUM!</v>
      </c>
      <c r="J65" s="2838" t="e">
        <f t="shared" si="18"/>
        <v>#NUM!</v>
      </c>
      <c r="K65" s="2838" t="e">
        <f t="shared" si="18"/>
        <v>#NUM!</v>
      </c>
      <c r="L65" s="2838" t="e">
        <f t="shared" si="18"/>
        <v>#NUM!</v>
      </c>
      <c r="M65" s="2838" t="e">
        <f t="shared" si="18"/>
        <v>#NUM!</v>
      </c>
      <c r="N65" s="2838" t="e">
        <f t="shared" si="18"/>
        <v>#NUM!</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2543</v>
      </c>
      <c r="B67" s="649"/>
      <c r="C67" s="2833" t="str">
        <f>YEAR(C65)&amp;"-"&amp;ROUNDUP(MONTH(C65)/3,0)</f>
        <v>1900-1</v>
      </c>
      <c r="D67" s="2840" t="e">
        <f t="shared" ref="D67:N67" si="19">YEAR(D65)&amp;"-"&amp;ROUNDUP(MONTH(D65)/3,0)</f>
        <v>#NUM!</v>
      </c>
      <c r="E67" s="2840" t="e">
        <f t="shared" si="19"/>
        <v>#NUM!</v>
      </c>
      <c r="F67" s="2840" t="e">
        <f t="shared" si="19"/>
        <v>#NUM!</v>
      </c>
      <c r="G67" s="2840" t="e">
        <f t="shared" si="19"/>
        <v>#NUM!</v>
      </c>
      <c r="H67" s="2840" t="e">
        <f t="shared" si="19"/>
        <v>#NUM!</v>
      </c>
      <c r="I67" s="2840" t="e">
        <f t="shared" si="19"/>
        <v>#NUM!</v>
      </c>
      <c r="J67" s="2840" t="e">
        <f t="shared" si="19"/>
        <v>#NUM!</v>
      </c>
      <c r="K67" s="2840" t="e">
        <f t="shared" si="19"/>
        <v>#NUM!</v>
      </c>
      <c r="L67" s="2840" t="e">
        <f t="shared" si="19"/>
        <v>#NUM!</v>
      </c>
      <c r="M67" s="2840" t="e">
        <f t="shared" si="19"/>
        <v>#NUM!</v>
      </c>
      <c r="N67" s="2840" t="e">
        <f t="shared" si="19"/>
        <v>#NUM!</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2662</v>
      </c>
      <c r="B68" s="482" t="str">
        <f>"北京市平均增长率"&amp;TEXT(基准地价!P24,"0.00%")</f>
        <v>北京市平均增长率0.00%</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2558</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2560</v>
      </c>
      <c r="C95" s="2633" t="s">
        <v>2561</v>
      </c>
      <c r="D95" s="2633" t="s">
        <v>2562</v>
      </c>
      <c r="E95" s="2633" t="s">
        <v>2563</v>
      </c>
      <c r="F95" s="2633" t="s">
        <v>2564</v>
      </c>
      <c r="G95" s="2633" t="s">
        <v>2565</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2433</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2434</v>
      </c>
      <c r="D1" s="1526">
        <f>SUM(D29:D30,D33:D39)</f>
        <v>0</v>
      </c>
      <c r="E1" s="1411" t="s">
        <v>2435</v>
      </c>
      <c r="F1" s="2487"/>
      <c r="G1" s="1406"/>
      <c r="H1" s="1406"/>
      <c r="I1" s="1406"/>
      <c r="J1" s="1406"/>
      <c r="K1" s="1406"/>
      <c r="L1" s="1888" t="s">
        <v>2245</v>
      </c>
      <c r="M1" s="1889">
        <f>SUMPRODUCT((区片价!B5:B9=I2)*(区片价!C3:F3=E2)*(区片价!C5:F9))</f>
        <v>0</v>
      </c>
      <c r="N1" s="1890">
        <f>SUMPRODUCT((因素修正幅度!B5:B9=I2)*(因素修正幅度!C3:F3=E2)*(因素修正幅度!C5:F9))</f>
        <v>0</v>
      </c>
      <c r="O1" s="2199"/>
      <c r="P1" s="2199"/>
      <c r="Q1" s="2199"/>
      <c r="R1" s="2975" t="s">
        <v>2775</v>
      </c>
      <c r="S1" s="2975" t="s">
        <v>2776</v>
      </c>
      <c r="T1" s="2975" t="s">
        <v>2797</v>
      </c>
      <c r="U1" s="2975" t="s">
        <v>2798</v>
      </c>
      <c r="V1" s="2975" t="s">
        <v>2799</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2246</v>
      </c>
      <c r="M2" s="1892">
        <f>SUMPRODUCT((区片价!B10:B28=I2)*(区片价!C3:F3=E2)*(区片价!C10:F28))</f>
        <v>0</v>
      </c>
      <c r="N2" s="1893">
        <f>SUMPRODUCT((因素修正幅度!B10:B28=I2)*(因素修正幅度!C3:F3=E2)*(因素修正幅度!C10:F28))</f>
        <v>0</v>
      </c>
      <c r="O2" s="2199"/>
      <c r="P2" s="2199"/>
      <c r="Q2" s="2199"/>
      <c r="R2" s="2976">
        <v>1</v>
      </c>
      <c r="S2" s="2976" t="e">
        <f>ROUND(IF(G3&gt;1,IF(R2&lt;7,SUMPRODUCT((B93:B98=R2)*(C92:N92=G2)*(C93:N98)),SUMIF(C92:N92,G2,C100:N100)),IF(R2&lt;7,SUMPRODUCT((B102:B107=R2)*(C92:N92=G2)*(C102:N107)),SUMIF(C92:N92,G2,C109:N109))),4)</f>
        <v>#DIV/0!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2951</v>
      </c>
      <c r="G3" s="1042" t="e">
        <f>IF(F3="宗地容积率",'数据-汇总表'!I4,IF(F3="估价对象容积率",'数据-汇总表'!I6,'数据-汇总表'!I7))</f>
        <v>#DIV/0!</v>
      </c>
      <c r="H3" s="1419" t="s">
        <v>932</v>
      </c>
      <c r="I3" s="1043">
        <v>8</v>
      </c>
      <c r="J3" s="1415" t="s">
        <v>933</v>
      </c>
      <c r="K3" s="1406"/>
      <c r="L3" s="1891" t="s">
        <v>2247</v>
      </c>
      <c r="M3" s="1892">
        <f>SUMPRODUCT((区片价!B29:B48=I2)*(区片价!C3:F3=E2)*(区片价!C29:F48))</f>
        <v>0</v>
      </c>
      <c r="N3" s="1893">
        <f>SUMPRODUCT((因素修正幅度!B29:B48=I2)*(因素修正幅度!C3:F3=E2)*(因素修正幅度!C29:F48))</f>
        <v>0</v>
      </c>
      <c r="O3" s="2199"/>
      <c r="P3" s="2199"/>
      <c r="Q3" s="2199"/>
      <c r="R3" s="2976">
        <v>2</v>
      </c>
      <c r="S3" s="2976" t="e">
        <f>ROUND(IF(G3&gt;1,IF(R3&lt;7,SUMPRODUCT((B93:B98=R3)*(C92:N92=G2)*(C93:N98)),SUMIF(C92:N92,G2,C100:N100)),IF(R3&lt;7,SUMPRODUCT((B102:B107=R3)*(C92:N92=G2)*(C102:N107)),SUMIF(C92:N92,G2,C109:N109))),4)</f>
        <v>#DIV/0!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2287</v>
      </c>
      <c r="B4" s="2488" t="e">
        <f>ROUND(B2*10000/F1,0)</f>
        <v>#DIV/0!</v>
      </c>
      <c r="C4" s="1900" t="s">
        <v>2261</v>
      </c>
      <c r="D4" s="1900" t="e">
        <f>ROUND(B2/(F1/666.67),0)</f>
        <v>#DIV/0!</v>
      </c>
      <c r="E4" s="1900" t="s">
        <v>2262</v>
      </c>
      <c r="F4" s="1898"/>
      <c r="G4" s="1898"/>
      <c r="H4" s="1898"/>
      <c r="I4" s="1898"/>
      <c r="J4" s="1899"/>
      <c r="K4" s="1406"/>
      <c r="L4" s="1891" t="s">
        <v>2248</v>
      </c>
      <c r="M4" s="1892">
        <f>SUMPRODUCT((区片价!B49:B75=I2)*(区片价!C3:F3=E2)*(区片价!C49:F75))</f>
        <v>0</v>
      </c>
      <c r="N4" s="1893">
        <f>SUMPRODUCT((因素修正幅度!B49:B75=I2)*(因素修正幅度!C3:F3=E2)*(因素修正幅度!C49:F75))</f>
        <v>0</v>
      </c>
      <c r="O4" s="2199"/>
      <c r="P4" s="2199"/>
      <c r="Q4" s="2199"/>
      <c r="R4" s="2976">
        <v>3</v>
      </c>
      <c r="S4" s="2976" t="e">
        <f>ROUND(IF(G3&gt;1,IF(R4&lt;7,SUMPRODUCT((B93:B98=R4)*(C92:N92=G2)*(C93:N98)),SUMIF(C92:N92,G2,C100:N100)),IF(R4&lt;7,SUMPRODUCT((B102:B107=R4)*(C92:N92=G2)*(C102:N107)),SUMIF(C92:N92,G2,C109:N109))),4)</f>
        <v>#DIV/0!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4">
        <f>ROUND(IF(E2="商业",IF(F16="增加",C6+C16,C6-C16)),0)</f>
        <v>0</v>
      </c>
      <c r="E5" s="1421"/>
      <c r="F5" s="1421"/>
      <c r="G5" s="1422"/>
      <c r="H5" s="1422"/>
      <c r="I5" s="1422"/>
      <c r="J5" s="1423"/>
      <c r="K5" s="1599"/>
      <c r="L5" s="1891" t="s">
        <v>2249</v>
      </c>
      <c r="M5" s="1892">
        <f>SUMPRODUCT((区片价!B76:B109=I2)*(区片价!C3:F3=E2)*(区片价!C76:F109))</f>
        <v>0</v>
      </c>
      <c r="N5" s="1893">
        <f>SUMPRODUCT((因素修正幅度!B76:B109=I2)*(因素修正幅度!C3:F3=E2)*(因素修正幅度!C76:F109))</f>
        <v>0</v>
      </c>
      <c r="O5" s="2199"/>
      <c r="P5" s="2199"/>
      <c r="Q5" s="2199"/>
      <c r="R5" s="2976">
        <v>4</v>
      </c>
      <c r="S5" s="2976" t="e">
        <f>ROUND(IF(G3&gt;1,IF(R5&lt;7,SUMPRODUCT((B93:B98=R5)*(C92:N92=G2)*(C93:N98)),SUMIF(C92:N92,G2,C100:N100)),IF(R5&lt;7,SUMPRODUCT((B102:B107=R5)*(C92:N92=G2)*(C102:N107)),SUMIF(C92:N92,G2,C109:N109))),4)</f>
        <v>#DIV/0!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2250</v>
      </c>
      <c r="M6" s="1892">
        <f>SUMPRODUCT((区片价!B110:B157=I2)*(区片价!C3:F3=E2)*(区片价!C110:F157))</f>
        <v>0</v>
      </c>
      <c r="N6" s="1893">
        <f>SUMPRODUCT((因素修正幅度!B110:B157=I2)*(因素修正幅度!C3:F3=E2)*(因素修正幅度!C110:F157))</f>
        <v>0</v>
      </c>
      <c r="O6" s="2199"/>
      <c r="P6" s="2199"/>
      <c r="Q6" s="2199"/>
      <c r="R6" s="2976">
        <v>5</v>
      </c>
      <c r="S6" s="2976" t="e">
        <f>ROUND(IF(G3&gt;1,IF(R6&lt;7,SUMPRODUCT((B93:B98=R6)*(C92:N92=G2)*(C93:N98)),SUMIF(C92:N92,G2,C100:N100)),IF(R6&lt;7,SUMPRODUCT((B102:B107=R6)*(C92:N92=G2)*(C102:N107)),SUMIF(C92:N92,G2,C109:N109))),4)</f>
        <v>#DIV/0!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83" t="str">
        <f>IF(E2="商业",IF(C8="不临58条商业街","",2),"")</f>
        <v/>
      </c>
      <c r="B7" s="1432" t="s">
        <v>935</v>
      </c>
      <c r="C7" s="1046" t="e">
        <f>IF(C8="不临58条商业街",1,ROUND(1+(1.6*E8+1.2*E9+0.8*E10+0.4*E11)*C9,4))</f>
        <v>#DIV/0!</v>
      </c>
      <c r="D7" s="1433" t="s">
        <v>936</v>
      </c>
      <c r="E7" s="1047"/>
      <c r="F7" s="1434"/>
      <c r="G7" s="1435"/>
      <c r="H7" s="1435"/>
      <c r="I7" s="1435"/>
      <c r="J7" s="1436"/>
      <c r="K7" s="1600"/>
      <c r="L7" s="1891" t="s">
        <v>2251</v>
      </c>
      <c r="M7" s="1892">
        <f>SUMPRODUCT((区片价!B158:B205=I2)*(区片价!C3:F3=E2)*(区片价!C158:F205))</f>
        <v>0</v>
      </c>
      <c r="N7" s="1893">
        <f>SUMPRODUCT((因素修正幅度!B158:B205=I2)*(因素修正幅度!C3:F3=E2)*(因素修正幅度!C158:F205))</f>
        <v>0</v>
      </c>
      <c r="O7" s="2199"/>
      <c r="P7" s="2199"/>
      <c r="Q7" s="2199"/>
      <c r="R7" s="2976">
        <v>6</v>
      </c>
      <c r="S7" s="2976" t="e">
        <f>ROUND(IF(G3&gt;1,IF(R7&lt;7,SUMPRODUCT((B93:B98=R7)*(C92:N92=G2)*(C93:N98)),SUMIF(C92:N92,G2,C100:N100)),IF(R7&lt;7,SUMPRODUCT((B102:B107=R7)*(C92:N92=G2)*(C102:N107)),SUMIF(C92:N92,G2,C109:N109))),4)</f>
        <v>#DIV/0!</v>
      </c>
      <c r="T7" s="2976" t="e">
        <f t="shared" si="0"/>
        <v>#DIV/0!</v>
      </c>
      <c r="U7" s="2965"/>
      <c r="V7" s="2976" t="e">
        <f t="shared" si="1"/>
        <v>#DIV/0!</v>
      </c>
      <c r="W7" s="2974" t="s">
        <v>2778</v>
      </c>
      <c r="X7" s="2966">
        <f>G2</f>
        <v>0</v>
      </c>
      <c r="Y7" s="2966" t="s">
        <v>2779</v>
      </c>
      <c r="Z7" s="2967" t="e">
        <f>G3</f>
        <v>#DIV/0!</v>
      </c>
      <c r="AA7" s="2202"/>
      <c r="AB7" s="2202"/>
      <c r="AC7" s="2203"/>
      <c r="AD7" s="2968"/>
      <c r="AE7" s="2968"/>
      <c r="AF7" s="2968"/>
      <c r="AG7" s="2968"/>
      <c r="AH7" s="2968"/>
      <c r="AI7" s="2968"/>
      <c r="AJ7" s="2969"/>
    </row>
    <row r="8" spans="1:39" ht="15">
      <c r="A8" s="3384"/>
      <c r="B8" s="1419" t="s">
        <v>937</v>
      </c>
      <c r="C8" s="1534"/>
      <c r="D8" s="1048" t="s">
        <v>938</v>
      </c>
      <c r="E8" s="1049" t="e">
        <f>ROUND(C11/E7,4)</f>
        <v>#DIV/0!</v>
      </c>
      <c r="F8" s="1437" t="s">
        <v>939</v>
      </c>
      <c r="G8" s="1438"/>
      <c r="H8" s="1438"/>
      <c r="I8" s="1438"/>
      <c r="J8" s="1439"/>
      <c r="K8" s="1406"/>
      <c r="L8" s="1891" t="s">
        <v>2252</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93" t="s">
        <v>2796</v>
      </c>
      <c r="X8" s="3394"/>
      <c r="Y8" s="1855" t="s">
        <v>2780</v>
      </c>
      <c r="Z8" s="1855" t="s">
        <v>2781</v>
      </c>
      <c r="AA8" s="1855" t="s">
        <v>2782</v>
      </c>
      <c r="AB8" s="1855" t="s">
        <v>2783</v>
      </c>
      <c r="AC8" s="1855" t="s">
        <v>2784</v>
      </c>
      <c r="AD8" s="1855" t="s">
        <v>2785</v>
      </c>
      <c r="AE8" s="1855" t="s">
        <v>2786</v>
      </c>
      <c r="AF8" s="1855" t="s">
        <v>2787</v>
      </c>
      <c r="AG8" s="1855" t="s">
        <v>2788</v>
      </c>
      <c r="AH8" s="1855" t="s">
        <v>2789</v>
      </c>
      <c r="AI8" s="1855" t="s">
        <v>2790</v>
      </c>
      <c r="AJ8" s="1855" t="s">
        <v>2791</v>
      </c>
    </row>
    <row r="9" spans="1:39" ht="15">
      <c r="A9" s="3384"/>
      <c r="B9" s="1419" t="s">
        <v>940</v>
      </c>
      <c r="C9" s="1050">
        <f>SUMIF(修正!C59:C119,C8,修正!E59:E119)</f>
        <v>0</v>
      </c>
      <c r="D9" s="1051" t="s">
        <v>941</v>
      </c>
      <c r="E9" s="1051" t="e">
        <f>ROUND(C11/E7,4)</f>
        <v>#DIV/0!</v>
      </c>
      <c r="F9" s="1437" t="s">
        <v>942</v>
      </c>
      <c r="G9" s="1438"/>
      <c r="H9" s="1438"/>
      <c r="I9" s="1438"/>
      <c r="J9" s="1439"/>
      <c r="K9" s="1406"/>
      <c r="L9" s="1891" t="s">
        <v>2253</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92" t="s">
        <v>2792</v>
      </c>
      <c r="X9" s="2970" t="s">
        <v>2793</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84"/>
      <c r="B10" s="1419" t="s">
        <v>943</v>
      </c>
      <c r="C10" s="1051">
        <f>SUMIF(修正!C59:C119,C8,修正!F59:F119)</f>
        <v>0</v>
      </c>
      <c r="D10" s="1051" t="s">
        <v>944</v>
      </c>
      <c r="E10" s="1051" t="e">
        <f>ROUND(C11/E7,4)</f>
        <v>#DIV/0!</v>
      </c>
      <c r="F10" s="1437" t="s">
        <v>945</v>
      </c>
      <c r="G10" s="1438"/>
      <c r="H10" s="1438"/>
      <c r="I10" s="1438"/>
      <c r="J10" s="1439"/>
      <c r="K10" s="1406"/>
      <c r="L10" s="1891" t="s">
        <v>2254</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92"/>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84"/>
      <c r="B11" s="1440" t="s">
        <v>946</v>
      </c>
      <c r="C11" s="1052">
        <f>C10/4</f>
        <v>0</v>
      </c>
      <c r="D11" s="1052" t="s">
        <v>947</v>
      </c>
      <c r="E11" s="1052" t="e">
        <f>ROUND(C11/E7,4)</f>
        <v>#DIV/0!</v>
      </c>
      <c r="F11" s="1441" t="s">
        <v>948</v>
      </c>
      <c r="G11" s="1442"/>
      <c r="H11" s="1442"/>
      <c r="I11" s="1442"/>
      <c r="J11" s="1443"/>
      <c r="K11" s="1406"/>
      <c r="L11" s="1891" t="s">
        <v>2255</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92" t="s">
        <v>2794</v>
      </c>
      <c r="X11" s="1051" t="s">
        <v>2779</v>
      </c>
      <c r="Y11" s="1658" t="e">
        <f>$G$3</f>
        <v>#DIV/0!</v>
      </c>
      <c r="Z11" s="1658" t="e">
        <f t="shared" ref="Z11:AJ11" si="3">$G$3</f>
        <v>#DIV/0!</v>
      </c>
      <c r="AA11" s="1658" t="e">
        <f t="shared" si="3"/>
        <v>#DIV/0!</v>
      </c>
      <c r="AB11" s="1658" t="e">
        <f t="shared" si="3"/>
        <v>#DIV/0!</v>
      </c>
      <c r="AC11" s="1658" t="e">
        <f t="shared" si="3"/>
        <v>#DIV/0!</v>
      </c>
      <c r="AD11" s="1658" t="e">
        <f t="shared" si="3"/>
        <v>#DIV/0!</v>
      </c>
      <c r="AE11" s="1658" t="e">
        <f t="shared" si="3"/>
        <v>#DIV/0!</v>
      </c>
      <c r="AF11" s="1658" t="e">
        <f t="shared" si="3"/>
        <v>#DIV/0!</v>
      </c>
      <c r="AG11" s="1658" t="e">
        <f t="shared" si="3"/>
        <v>#DIV/0!</v>
      </c>
      <c r="AH11" s="1658" t="e">
        <f t="shared" si="3"/>
        <v>#DIV/0!</v>
      </c>
      <c r="AI11" s="1658" t="e">
        <f t="shared" si="3"/>
        <v>#DIV/0!</v>
      </c>
      <c r="AJ11" s="1658" t="e">
        <f t="shared" si="3"/>
        <v>#DIV/0!</v>
      </c>
    </row>
    <row r="12" spans="1:39" ht="25.5" thickBot="1">
      <c r="A12" s="3383" t="s">
        <v>1876</v>
      </c>
      <c r="B12" s="1444" t="s">
        <v>949</v>
      </c>
      <c r="C12" s="1046">
        <f>ROUND(C15*D15*E15*F15*G15*H15*I15*J15,4)</f>
        <v>1</v>
      </c>
      <c r="D12" s="1445" t="s">
        <v>950</v>
      </c>
      <c r="E12" s="1446"/>
      <c r="F12" s="1446"/>
      <c r="G12" s="1447"/>
      <c r="H12" s="1447"/>
      <c r="I12" s="1447"/>
      <c r="J12" s="1448"/>
      <c r="K12" s="1406"/>
      <c r="L12" s="1894" t="s">
        <v>2256</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92"/>
      <c r="X12" s="2973" t="s">
        <v>2795</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85"/>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392"/>
      <c r="X13" s="2973"/>
      <c r="Y13" s="2972" t="e">
        <f>(-0.163*(Y12^2)-0.59*Y12+7617)*(10^(-4))/Y11</f>
        <v>#DIV/0!</v>
      </c>
      <c r="Z13" s="2972" t="e">
        <f t="shared" ref="Z13:AJ13" si="5">(-0.163*(Z12^2)-0.59*Z12+7617)*(10^(-4))/Z11</f>
        <v>#DIV/0!</v>
      </c>
      <c r="AA13" s="2972" t="e">
        <f t="shared" si="5"/>
        <v>#DIV/0!</v>
      </c>
      <c r="AB13" s="2972" t="e">
        <f t="shared" si="5"/>
        <v>#DIV/0!</v>
      </c>
      <c r="AC13" s="2972" t="e">
        <f t="shared" si="5"/>
        <v>#DIV/0!</v>
      </c>
      <c r="AD13" s="2972" t="e">
        <f t="shared" si="5"/>
        <v>#DIV/0!</v>
      </c>
      <c r="AE13" s="2972" t="e">
        <f t="shared" si="5"/>
        <v>#DIV/0!</v>
      </c>
      <c r="AF13" s="2972" t="e">
        <f t="shared" si="5"/>
        <v>#DIV/0!</v>
      </c>
      <c r="AG13" s="2972" t="e">
        <f t="shared" si="5"/>
        <v>#DIV/0!</v>
      </c>
      <c r="AH13" s="2972" t="e">
        <f t="shared" si="5"/>
        <v>#DIV/0!</v>
      </c>
      <c r="AI13" s="2972" t="e">
        <f t="shared" si="5"/>
        <v>#DIV/0!</v>
      </c>
      <c r="AJ13" s="2972" t="e">
        <f t="shared" si="5"/>
        <v>#DIV/0!</v>
      </c>
    </row>
    <row r="14" spans="1:39" ht="12.75" customHeight="1" thickBot="1">
      <c r="A14" s="3385"/>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86"/>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83"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84"/>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0</v>
      </c>
      <c r="N17" s="1545">
        <f ca="1">ROUND($E$20*(1+N16),3)</f>
        <v>0</v>
      </c>
      <c r="O17" s="1545">
        <f ca="1">ROUND($E$20*(1+O16),3)</f>
        <v>0</v>
      </c>
      <c r="P17" s="1546">
        <f ca="1">ROUND($E$20*(1+P16),3)</f>
        <v>0</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0</v>
      </c>
      <c r="H19" s="1480" t="s">
        <v>2952</v>
      </c>
      <c r="I19" s="2823" t="str">
        <f>IF(H19="季度增幅（自定义）",SUMIF(N21:N24,E2,O21:O24),"")</f>
        <v/>
      </c>
      <c r="J19" s="1476"/>
      <c r="K19" s="1486"/>
      <c r="L19" s="3079" t="s">
        <v>2854</v>
      </c>
      <c r="M19" s="3080">
        <f>ROUND(SUMIF(地价!B2:F2,E2,地价!B19:F19),0)</f>
        <v>0</v>
      </c>
      <c r="N19" s="2825" t="s">
        <v>1680</v>
      </c>
      <c r="O19" s="2824" t="e">
        <f>ROUNDDOWN(DATEDIF(E19,G19,"M")/3,0)</f>
        <v>#NUM!</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0</v>
      </c>
      <c r="F20" s="2820" t="s">
        <v>977</v>
      </c>
      <c r="G20" s="2821">
        <f>SUMIF(M15:P15,E2,M17:P17)</f>
        <v>0</v>
      </c>
      <c r="H20" s="2820" t="s">
        <v>978</v>
      </c>
      <c r="I20" s="2810" t="e">
        <f>SUMIF('数据-取费表'!C6:C15,E2,'数据-取费表'!F6:F15)/COUNTIF('数据-取费表'!C6:C15,E2)</f>
        <v>#DIV/0!</v>
      </c>
      <c r="J20" s="2822">
        <f>IF(E2="住宅",70,IF(E2="商业",40,50))</f>
        <v>50</v>
      </c>
      <c r="K20" s="1486"/>
      <c r="L20" s="3081" t="s">
        <v>2855</v>
      </c>
      <c r="M20" s="3082">
        <f>ROUND(SUMPRODUCT((地价!A4:A19=YEAR(G19)&amp;"-"&amp;ROUNDUP(MONTH(G19)/3,0))*(地价!B2:F2=E2)*(地价!B4:F19)),0)</f>
        <v>0</v>
      </c>
      <c r="N20" s="2828" t="s">
        <v>2658</v>
      </c>
      <c r="O20" s="2826" t="s">
        <v>2657</v>
      </c>
      <c r="P20" s="2827" t="s">
        <v>2663</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2774</v>
      </c>
      <c r="C21" s="1161" t="e">
        <f>IF(B21="容积率修正",IF(G3&lt;=10,D22,J22),C23)</f>
        <v>#DIV/0!</v>
      </c>
      <c r="D21" s="1486"/>
      <c r="E21" s="1486"/>
      <c r="F21" s="1486"/>
      <c r="G21" s="1486"/>
      <c r="H21" s="1486"/>
      <c r="I21" s="1486"/>
      <c r="J21" s="1487"/>
      <c r="K21" s="1486"/>
      <c r="L21" s="1486"/>
      <c r="M21" s="1486"/>
      <c r="N21" s="1483" t="s">
        <v>979</v>
      </c>
      <c r="O21" s="1547"/>
      <c r="P21" s="2808">
        <f>SUMPRODUCT((地价!A3:A19=YEAR(G19)&amp;"-"&amp;ROUNDUP(MONTH(G19)/3,0))*(地价!AD2:AH2=N21)*(地价!AD3:AH19))</f>
        <v>0</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e">
        <f>IF(E22=G22,F22,IF(G3&lt;=10,ROUND(F22+(H22-F22)*(G3-E22)/(G22-E22),4),"——"))</f>
        <v>#DIV/0!</v>
      </c>
      <c r="E22" s="1042" t="e">
        <f>ROUNDDOWN(G3,1)</f>
        <v>#DIV/0!</v>
      </c>
      <c r="F22" s="106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42" t="e">
        <f>ROUNDUP(G3,1)</f>
        <v>#DIV/0!</v>
      </c>
      <c r="H22" s="106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063" t="s">
        <v>981</v>
      </c>
      <c r="J22" s="1063" t="e">
        <f>IF(G3&gt;10,D113,"——")</f>
        <v>#DIV/0!</v>
      </c>
      <c r="K22" s="1486"/>
      <c r="L22" s="1486"/>
      <c r="M22" s="1486"/>
      <c r="N22" s="1483" t="s">
        <v>982</v>
      </c>
      <c r="O22" s="1547"/>
      <c r="P22" s="2808">
        <f>SUMPRODUCT((地价!A3:A19=YEAR(G19)&amp;"-"&amp;ROUNDUP(MONTH(G19)/3,0))*(地价!AD2:AH2=N22)*(地价!AD3:AH19))</f>
        <v>0</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t="e">
        <f>ROUND(IF(G3&gt;1,IF(I3&lt;7,SUMPRODUCT((B93:B98=I3)*(C92:N92=G2)*(C93:N98)),SUMIF(C92:N92,G2,C100:N100)),IF(I3&lt;7,SUMPRODUCT((B102:B107=I3)*(C92:N92=G2)*(C102:N107)),SUMIF(C92:N92,G2,C109:N109))),4)</f>
        <v>#DIV/0!</v>
      </c>
      <c r="D23" s="1535"/>
      <c r="E23" s="1535"/>
      <c r="F23" s="1536"/>
      <c r="G23" s="1537"/>
      <c r="H23" s="1538"/>
      <c r="I23" s="1539"/>
      <c r="J23" s="1539"/>
      <c r="K23" s="1406"/>
      <c r="L23" s="1406"/>
      <c r="M23" s="1406"/>
      <c r="N23" s="1483" t="s">
        <v>926</v>
      </c>
      <c r="O23" s="1547"/>
      <c r="P23" s="2808">
        <f>SUMPRODUCT((地价!A3:A19=YEAR(G19)&amp;"-"&amp;ROUNDUP(MONTH(G19)/3,0))*(地价!AD2:AH2=N23)*(地价!AD3:AH19))</f>
        <v>0</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0</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2661</v>
      </c>
      <c r="O25" s="2205"/>
      <c r="P25" s="1546">
        <f>SUMPRODUCT((地价!A3:A19=YEAR(G19)&amp;"-"&amp;ROUNDUP(MONTH(G19)/3,0))*(地价!AD2:AH2=N25)*(地价!AD3:AH19))</f>
        <v>0</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389" t="s">
        <v>2979</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390"/>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390"/>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391"/>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2257</v>
      </c>
      <c r="G46" s="2466" t="s">
        <v>1018</v>
      </c>
      <c r="H46" s="2449" t="s">
        <v>2426</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7" t="s">
        <v>2954</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6" t="s">
        <v>2953</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2258</v>
      </c>
      <c r="G57" s="2466" t="s">
        <v>1018</v>
      </c>
      <c r="H57" s="2449" t="s">
        <v>2426</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7" t="s">
        <v>2955</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6" t="s">
        <v>2953</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2259</v>
      </c>
      <c r="G68" s="2466" t="s">
        <v>1018</v>
      </c>
      <c r="H68" s="2449" t="s">
        <v>2426</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6" t="s">
        <v>2953</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2260</v>
      </c>
      <c r="G79" s="2466" t="s">
        <v>1018</v>
      </c>
      <c r="H79" s="2449" t="s">
        <v>2426</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6" t="s">
        <v>2953</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387" t="s">
        <v>1637</v>
      </c>
      <c r="B90" s="3387"/>
      <c r="C90" s="3387"/>
      <c r="D90" s="3387"/>
      <c r="E90" s="3387"/>
      <c r="F90" s="3387"/>
      <c r="G90" s="3387"/>
      <c r="H90" s="3387"/>
      <c r="I90" s="3387"/>
      <c r="J90" s="3387"/>
      <c r="K90" s="2485"/>
      <c r="L90" s="2485"/>
      <c r="M90" s="2485"/>
      <c r="N90" s="2485"/>
    </row>
    <row r="91" spans="1:40">
      <c r="A91" s="3388" t="s">
        <v>1447</v>
      </c>
      <c r="B91" s="3388" t="s">
        <v>1638</v>
      </c>
      <c r="C91" s="1143" t="s">
        <v>1639</v>
      </c>
      <c r="D91" s="1144"/>
      <c r="E91" s="1144"/>
      <c r="F91" s="1144"/>
      <c r="G91" s="1144"/>
      <c r="H91" s="1144"/>
      <c r="I91" s="1144"/>
      <c r="J91" s="1145"/>
      <c r="K91" s="1137"/>
      <c r="L91" s="1137"/>
      <c r="M91" s="1137"/>
      <c r="N91" s="1137"/>
    </row>
    <row r="92" spans="1:40">
      <c r="A92" s="3388"/>
      <c r="B92" s="3388"/>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95" t="s">
        <v>2777</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6"/>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5" t="s">
        <v>1641</v>
      </c>
      <c r="B101" s="1150" t="s">
        <v>909</v>
      </c>
      <c r="C101" s="1151" t="e">
        <f>$G$3</f>
        <v>#DIV/0!</v>
      </c>
      <c r="D101" s="1151" t="e">
        <f t="shared" ref="D101:N101" si="31">$G$3</f>
        <v>#DIV/0!</v>
      </c>
      <c r="E101" s="1151" t="e">
        <f t="shared" si="31"/>
        <v>#DIV/0!</v>
      </c>
      <c r="F101" s="1151" t="e">
        <f t="shared" si="31"/>
        <v>#DIV/0!</v>
      </c>
      <c r="G101" s="1151" t="e">
        <f t="shared" si="31"/>
        <v>#DIV/0!</v>
      </c>
      <c r="H101" s="1151" t="e">
        <f t="shared" si="31"/>
        <v>#DIV/0!</v>
      </c>
      <c r="I101" s="1151" t="e">
        <f t="shared" si="31"/>
        <v>#DIV/0!</v>
      </c>
      <c r="J101" s="1151" t="e">
        <f t="shared" si="31"/>
        <v>#DIV/0!</v>
      </c>
      <c r="K101" s="1151" t="e">
        <f t="shared" si="31"/>
        <v>#DIV/0!</v>
      </c>
      <c r="L101" s="1151" t="e">
        <f t="shared" si="31"/>
        <v>#DIV/0!</v>
      </c>
      <c r="M101" s="1151" t="e">
        <f t="shared" si="31"/>
        <v>#DIV/0!</v>
      </c>
      <c r="N101" s="1151" t="e">
        <f t="shared" si="31"/>
        <v>#DIV/0!</v>
      </c>
    </row>
    <row r="102" spans="1:14">
      <c r="A102" s="3396"/>
      <c r="B102" s="1146">
        <v>1</v>
      </c>
      <c r="C102" s="1147" t="e">
        <f>1.9362/C101</f>
        <v>#DIV/0!</v>
      </c>
      <c r="D102" s="1147" t="e">
        <f>1.9362/D101</f>
        <v>#DIV/0!</v>
      </c>
      <c r="E102" s="1147" t="e">
        <f>1.8629/E101</f>
        <v>#DIV/0!</v>
      </c>
      <c r="F102" s="1147" t="e">
        <f>1.8629/F101</f>
        <v>#DIV/0!</v>
      </c>
      <c r="G102" s="1147" t="e">
        <f>1.8629/G101</f>
        <v>#DIV/0!</v>
      </c>
      <c r="H102" s="1147" t="e">
        <f>1.8629/H101</f>
        <v>#DIV/0!</v>
      </c>
      <c r="I102" s="1147" t="e">
        <f>1.8629/I101</f>
        <v>#DIV/0!</v>
      </c>
      <c r="J102" s="1147" t="e">
        <f>1.942/J101</f>
        <v>#DIV/0!</v>
      </c>
      <c r="K102" s="1147" t="e">
        <f>1.942/K101</f>
        <v>#DIV/0!</v>
      </c>
      <c r="L102" s="1147" t="e">
        <f>1.942/L101</f>
        <v>#DIV/0!</v>
      </c>
      <c r="M102" s="1147" t="e">
        <f>1.942/M101</f>
        <v>#DIV/0!</v>
      </c>
      <c r="N102" s="1147" t="e">
        <f>1.942/N101</f>
        <v>#DIV/0!</v>
      </c>
    </row>
    <row r="103" spans="1:14">
      <c r="A103" s="3396"/>
      <c r="B103" s="1146">
        <v>2</v>
      </c>
      <c r="C103" s="1147" t="e">
        <f>1.4198/C101</f>
        <v>#DIV/0!</v>
      </c>
      <c r="D103" s="1147" t="e">
        <f>1.4198/D101</f>
        <v>#DIV/0!</v>
      </c>
      <c r="E103" s="1147" t="e">
        <f>1.3372/E101</f>
        <v>#DIV/0!</v>
      </c>
      <c r="F103" s="1147" t="e">
        <f>1.3372/F101</f>
        <v>#DIV/0!</v>
      </c>
      <c r="G103" s="1147" t="e">
        <f>1.3372/G101</f>
        <v>#DIV/0!</v>
      </c>
      <c r="H103" s="1147" t="e">
        <f>1.3372/H101</f>
        <v>#DIV/0!</v>
      </c>
      <c r="I103" s="1147" t="e">
        <f>1.3372/I101</f>
        <v>#DIV/0!</v>
      </c>
      <c r="J103" s="1147" t="e">
        <f>1.2799/J101</f>
        <v>#DIV/0!</v>
      </c>
      <c r="K103" s="1147" t="e">
        <f>1.2799/K101</f>
        <v>#DIV/0!</v>
      </c>
      <c r="L103" s="1147" t="e">
        <f>1.2799/L101</f>
        <v>#DIV/0!</v>
      </c>
      <c r="M103" s="1147" t="e">
        <f>1.2799/M101</f>
        <v>#DIV/0!</v>
      </c>
      <c r="N103" s="1147" t="e">
        <f>1.2799/N101</f>
        <v>#DIV/0!</v>
      </c>
    </row>
    <row r="104" spans="1:14">
      <c r="A104" s="3396"/>
      <c r="B104" s="1146">
        <v>3</v>
      </c>
      <c r="C104" s="1147" t="e">
        <f>1.1594/C101</f>
        <v>#DIV/0!</v>
      </c>
      <c r="D104" s="1147" t="e">
        <f>1.1594/D101</f>
        <v>#DIV/0!</v>
      </c>
      <c r="E104" s="1147" t="e">
        <f>1.0788/E101</f>
        <v>#DIV/0!</v>
      </c>
      <c r="F104" s="1147" t="e">
        <f>1.0788/F101</f>
        <v>#DIV/0!</v>
      </c>
      <c r="G104" s="1147" t="e">
        <f>1.0788/G101</f>
        <v>#DIV/0!</v>
      </c>
      <c r="H104" s="1147" t="e">
        <f>1.0788/H101</f>
        <v>#DIV/0!</v>
      </c>
      <c r="I104" s="1147" t="e">
        <f>1.0788/I101</f>
        <v>#DIV/0!</v>
      </c>
      <c r="J104" s="1147" t="e">
        <f>1.0072/J101</f>
        <v>#DIV/0!</v>
      </c>
      <c r="K104" s="1147" t="e">
        <f>1.0072/K101</f>
        <v>#DIV/0!</v>
      </c>
      <c r="L104" s="1147" t="e">
        <f>1.0072/L101</f>
        <v>#DIV/0!</v>
      </c>
      <c r="M104" s="1147" t="e">
        <f>1.0072/M101</f>
        <v>#DIV/0!</v>
      </c>
      <c r="N104" s="1147" t="e">
        <f>1.0072/N101</f>
        <v>#DIV/0!</v>
      </c>
    </row>
    <row r="105" spans="1:14">
      <c r="A105" s="3396"/>
      <c r="B105" s="1146">
        <v>4</v>
      </c>
      <c r="C105" s="1147" t="e">
        <f>0.9622/C101</f>
        <v>#DIV/0!</v>
      </c>
      <c r="D105" s="1147" t="e">
        <f>0.9622/D101</f>
        <v>#DIV/0!</v>
      </c>
      <c r="E105" s="1147" t="e">
        <f>0.8656/E101</f>
        <v>#DIV/0!</v>
      </c>
      <c r="F105" s="1147" t="e">
        <f>0.8656/F101</f>
        <v>#DIV/0!</v>
      </c>
      <c r="G105" s="1147" t="e">
        <f>0.8656/G101</f>
        <v>#DIV/0!</v>
      </c>
      <c r="H105" s="1147" t="e">
        <f>0.8656/H101</f>
        <v>#DIV/0!</v>
      </c>
      <c r="I105" s="1147" t="e">
        <f>0.8656/I101</f>
        <v>#DIV/0!</v>
      </c>
      <c r="J105" s="1147" t="e">
        <f>0.7525/J101</f>
        <v>#DIV/0!</v>
      </c>
      <c r="K105" s="1147" t="e">
        <f>0.7525/K101</f>
        <v>#DIV/0!</v>
      </c>
      <c r="L105" s="1147" t="e">
        <f>0.7525/L101</f>
        <v>#DIV/0!</v>
      </c>
      <c r="M105" s="1147" t="e">
        <f>0.7525/M101</f>
        <v>#DIV/0!</v>
      </c>
      <c r="N105" s="1147" t="e">
        <f>0.7525/N101</f>
        <v>#DIV/0!</v>
      </c>
    </row>
    <row r="106" spans="1:14">
      <c r="A106" s="3396"/>
      <c r="B106" s="1146">
        <v>5</v>
      </c>
      <c r="C106" s="1147" t="e">
        <f>0.8417/C101</f>
        <v>#DIV/0!</v>
      </c>
      <c r="D106" s="1147" t="e">
        <f>0.8417/D101</f>
        <v>#DIV/0!</v>
      </c>
      <c r="E106" s="1147" t="e">
        <f>0.7371/E101</f>
        <v>#DIV/0!</v>
      </c>
      <c r="F106" s="1147" t="e">
        <f>0.7371/F101</f>
        <v>#DIV/0!</v>
      </c>
      <c r="G106" s="1147" t="e">
        <f>0.7371/G101</f>
        <v>#DIV/0!</v>
      </c>
      <c r="H106" s="1147" t="e">
        <f>0.7371/H101</f>
        <v>#DIV/0!</v>
      </c>
      <c r="I106" s="1147" t="e">
        <f>0.7371/I101</f>
        <v>#DIV/0!</v>
      </c>
      <c r="J106" s="1147" t="e">
        <f>0.5659/J101</f>
        <v>#DIV/0!</v>
      </c>
      <c r="K106" s="1147" t="e">
        <f>0.5659/K101</f>
        <v>#DIV/0!</v>
      </c>
      <c r="L106" s="1147" t="e">
        <f>0.5659/L101</f>
        <v>#DIV/0!</v>
      </c>
      <c r="M106" s="1147" t="e">
        <f>0.5659/M101</f>
        <v>#DIV/0!</v>
      </c>
      <c r="N106" s="1147" t="e">
        <f>0.5659/N101</f>
        <v>#DIV/0!</v>
      </c>
    </row>
    <row r="107" spans="1:14">
      <c r="A107" s="3396"/>
      <c r="B107" s="1146">
        <v>6</v>
      </c>
      <c r="C107" s="1147" t="e">
        <f>0.7608/C101</f>
        <v>#DIV/0!</v>
      </c>
      <c r="D107" s="1147" t="e">
        <f>0.7608/D101</f>
        <v>#DIV/0!</v>
      </c>
      <c r="E107" s="1147" t="e">
        <f>0.6482/E101</f>
        <v>#DIV/0!</v>
      </c>
      <c r="F107" s="1147" t="e">
        <f>0.6482/F101</f>
        <v>#DIV/0!</v>
      </c>
      <c r="G107" s="1147" t="e">
        <f>0.6482/G101</f>
        <v>#DIV/0!</v>
      </c>
      <c r="H107" s="1147" t="e">
        <f>0.6482/H101</f>
        <v>#DIV/0!</v>
      </c>
      <c r="I107" s="1147" t="e">
        <f>0.6482/I101</f>
        <v>#DIV/0!</v>
      </c>
      <c r="J107" s="1147" t="e">
        <f>0.4525/J101</f>
        <v>#DIV/0!</v>
      </c>
      <c r="K107" s="1147" t="e">
        <f>0.4525/K101</f>
        <v>#DIV/0!</v>
      </c>
      <c r="L107" s="1147" t="e">
        <f>0.4525/L101</f>
        <v>#DIV/0!</v>
      </c>
      <c r="M107" s="1147" t="e">
        <f>0.4525/M101</f>
        <v>#DIV/0!</v>
      </c>
      <c r="N107" s="1147" t="e">
        <f>0.4525/N101</f>
        <v>#DIV/0!</v>
      </c>
    </row>
    <row r="108" spans="1:14">
      <c r="A108" s="3396"/>
      <c r="B108" s="3398"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7"/>
      <c r="B109" s="3399"/>
      <c r="C109" s="1149" t="e">
        <f>(-0.163*(C108^2)-0.59*C108+7617)*(10^(-4))/C101</f>
        <v>#DIV/0!</v>
      </c>
      <c r="D109" s="1149" t="e">
        <f>(-0.163*(D108^2)-0.59*D108+7617)*(10^(-4))/D101</f>
        <v>#DIV/0!</v>
      </c>
      <c r="E109" s="1149" t="e">
        <f>(-0.161*(E108^2)-7.509*E108+6533)*(10^(-4))/E101</f>
        <v>#DIV/0!</v>
      </c>
      <c r="F109" s="1149" t="e">
        <f>(-0.161*(F108^2)-7.509*F108+6533)*(10^(-4))/F101</f>
        <v>#DIV/0!</v>
      </c>
      <c r="G109" s="1149" t="e">
        <f>(-0.161*(G108^2)-7.509*G108+6533)*(10^(-4))/G101</f>
        <v>#DIV/0!</v>
      </c>
      <c r="H109" s="1149" t="e">
        <f>(-0.161*(H108^2)-7.509*H108+6533)*(10^(-4))/H101</f>
        <v>#DIV/0!</v>
      </c>
      <c r="I109" s="1149" t="e">
        <f>(-0.161*(I108^2)-7.509*I108+6533)*(10^(-4))/I101</f>
        <v>#DIV/0!</v>
      </c>
      <c r="J109" s="1149" t="e">
        <f>(-0.214*(J108^2)-21.991*J108+4665)*(10^(-4))/J101</f>
        <v>#DIV/0!</v>
      </c>
      <c r="K109" s="1149" t="e">
        <f>(-0.214*(K108^2)-21.991*K108+4665)*(10^(-4))/K101</f>
        <v>#DIV/0!</v>
      </c>
      <c r="L109" s="1149" t="e">
        <f>(-0.214*(L108^2)-21.991*L108+4665)*(10^(-4))/L101</f>
        <v>#DIV/0!</v>
      </c>
      <c r="M109" s="1149" t="e">
        <f>(-0.214*(M108^2)-21.991*M108+4665)*(10^(-4))/M101</f>
        <v>#DIV/0!</v>
      </c>
      <c r="N109" s="1149" t="e">
        <f>(-0.214*(N108^2)-21.991*N108+4665)*(10^(-4))/N101</f>
        <v>#DIV/0!</v>
      </c>
    </row>
    <row r="110" spans="1:14">
      <c r="A110" s="3382" t="s">
        <v>1643</v>
      </c>
      <c r="B110" s="3382"/>
      <c r="C110" s="3382"/>
      <c r="D110" s="3382"/>
      <c r="E110" s="3382"/>
      <c r="F110" s="3382"/>
      <c r="G110" s="3382"/>
      <c r="H110" s="3382"/>
      <c r="I110" s="3382"/>
      <c r="J110" s="3382"/>
      <c r="K110" s="2483"/>
      <c r="L110" s="2483"/>
      <c r="M110" s="2483"/>
      <c r="N110" s="2483"/>
    </row>
    <row r="112" spans="1:14" ht="12.75" thickBot="1"/>
    <row r="113" spans="1:13" ht="25.5" thickBot="1">
      <c r="A113" s="1019" t="s">
        <v>899</v>
      </c>
      <c r="B113" s="2486" t="e">
        <f>G3</f>
        <v>#DIV/0!</v>
      </c>
      <c r="C113" s="1020" t="s">
        <v>900</v>
      </c>
      <c r="D113" s="1021" t="e">
        <f>SUMPRODUCT((A115:A118=F113)*(B114:M114=H113)*B115:M118)</f>
        <v>#DIV/0!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t="e">
        <f>ROUND(0.9335-0.0094*B113,4)</f>
        <v>#DIV/0!</v>
      </c>
      <c r="C115" s="1033" t="e">
        <f>B115</f>
        <v>#DIV/0!</v>
      </c>
      <c r="D115" s="1033" t="e">
        <f>ROUND(0.8331-0.0109*B113,4)</f>
        <v>#DIV/0!</v>
      </c>
      <c r="E115" s="1033" t="e">
        <f>D115</f>
        <v>#DIV/0!</v>
      </c>
      <c r="F115" s="1033" t="e">
        <f>E115</f>
        <v>#DIV/0!</v>
      </c>
      <c r="G115" s="1033" t="e">
        <f>F115</f>
        <v>#DIV/0!</v>
      </c>
      <c r="H115" s="1033" t="e">
        <f>G115</f>
        <v>#DIV/0!</v>
      </c>
      <c r="I115" s="1033" t="e">
        <f>ROUND(0.689-0.0155*B113,4)</f>
        <v>#DIV/0!</v>
      </c>
      <c r="J115" s="1033" t="e">
        <f t="shared" ref="J115:M118" si="33">I115</f>
        <v>#DIV/0!</v>
      </c>
      <c r="K115" s="1033" t="e">
        <f t="shared" si="33"/>
        <v>#DIV/0!</v>
      </c>
      <c r="L115" s="1033" t="e">
        <f t="shared" si="33"/>
        <v>#DIV/0!</v>
      </c>
      <c r="M115" s="1034" t="e">
        <f t="shared" si="33"/>
        <v>#DIV/0!</v>
      </c>
    </row>
    <row r="116" spans="1:13" ht="12.75">
      <c r="A116" s="1032" t="s">
        <v>904</v>
      </c>
      <c r="B116" s="1033" t="e">
        <f>ROUND(0.949-0.012*B113,4)</f>
        <v>#DIV/0!</v>
      </c>
      <c r="C116" s="1033" t="e">
        <f>B116</f>
        <v>#DIV/0!</v>
      </c>
      <c r="D116" s="1033" t="e">
        <f>ROUND(0.8567-0.013*B113,4)</f>
        <v>#DIV/0!</v>
      </c>
      <c r="E116" s="1033" t="e">
        <f t="shared" ref="E116:H117" si="34">D116</f>
        <v>#DIV/0!</v>
      </c>
      <c r="F116" s="1033" t="e">
        <f t="shared" si="34"/>
        <v>#DIV/0!</v>
      </c>
      <c r="G116" s="1033" t="e">
        <f t="shared" si="34"/>
        <v>#DIV/0!</v>
      </c>
      <c r="H116" s="1033" t="e">
        <f t="shared" si="34"/>
        <v>#DIV/0!</v>
      </c>
      <c r="I116" s="1033" t="e">
        <f>ROUND(0.7694-0.014*B113,4)</f>
        <v>#DIV/0!</v>
      </c>
      <c r="J116" s="1033" t="e">
        <f t="shared" si="33"/>
        <v>#DIV/0!</v>
      </c>
      <c r="K116" s="1033" t="e">
        <f t="shared" si="33"/>
        <v>#DIV/0!</v>
      </c>
      <c r="L116" s="1033" t="e">
        <f t="shared" si="33"/>
        <v>#DIV/0!</v>
      </c>
      <c r="M116" s="1034" t="e">
        <f t="shared" si="33"/>
        <v>#DIV/0!</v>
      </c>
    </row>
    <row r="117" spans="1:13" ht="12.75">
      <c r="A117" s="1035" t="s">
        <v>905</v>
      </c>
      <c r="B117" s="1033" t="e">
        <f>ROUND(0.8808-0.006*B113,4)</f>
        <v>#DIV/0!</v>
      </c>
      <c r="C117" s="1033" t="e">
        <f>B117</f>
        <v>#DIV/0!</v>
      </c>
      <c r="D117" s="1033" t="e">
        <f>ROUND(0.8748-0.008*B113,4)</f>
        <v>#DIV/0!</v>
      </c>
      <c r="E117" s="1033" t="e">
        <f t="shared" si="34"/>
        <v>#DIV/0!</v>
      </c>
      <c r="F117" s="1033" t="e">
        <f t="shared" si="34"/>
        <v>#DIV/0!</v>
      </c>
      <c r="G117" s="1033" t="e">
        <f t="shared" si="34"/>
        <v>#DIV/0!</v>
      </c>
      <c r="H117" s="1033" t="e">
        <f t="shared" si="34"/>
        <v>#DIV/0!</v>
      </c>
      <c r="I117" s="1033" t="e">
        <f>ROUND(0.7412-0.0095*B113,4)</f>
        <v>#DIV/0!</v>
      </c>
      <c r="J117" s="1033" t="e">
        <f t="shared" si="33"/>
        <v>#DIV/0!</v>
      </c>
      <c r="K117" s="1033" t="e">
        <f t="shared" si="33"/>
        <v>#DIV/0!</v>
      </c>
      <c r="L117" s="1033" t="e">
        <f t="shared" si="33"/>
        <v>#DIV/0!</v>
      </c>
      <c r="M117" s="1034" t="e">
        <f t="shared" si="33"/>
        <v>#DIV/0!</v>
      </c>
    </row>
    <row r="118" spans="1:13" ht="13.5" thickBot="1">
      <c r="A118" s="1036" t="s">
        <v>906</v>
      </c>
      <c r="B118" s="1037" t="e">
        <f>ROUND(0.7275-0.01*B113,4)</f>
        <v>#DIV/0!</v>
      </c>
      <c r="C118" s="1037" t="e">
        <f>B118</f>
        <v>#DIV/0!</v>
      </c>
      <c r="D118" s="1037" t="e">
        <f>ROUND(0.7043-0.012*B113,4)</f>
        <v>#DIV/0!</v>
      </c>
      <c r="E118" s="1037" t="e">
        <f>D118</f>
        <v>#DIV/0!</v>
      </c>
      <c r="F118" s="1037" t="e">
        <f>E118</f>
        <v>#DIV/0!</v>
      </c>
      <c r="G118" s="1037" t="e">
        <f>ROUND(0.6299-0.0122*B113,4)</f>
        <v>#DIV/0!</v>
      </c>
      <c r="H118" s="1037" t="e">
        <f>G118</f>
        <v>#DIV/0!</v>
      </c>
      <c r="I118" s="1037" t="e">
        <f>ROUND(0.5667-0.0136*B113,4)</f>
        <v>#DIV/0!</v>
      </c>
      <c r="J118" s="1037" t="e">
        <f t="shared" si="33"/>
        <v>#DIV/0!</v>
      </c>
      <c r="K118" s="1037" t="e">
        <f t="shared" si="33"/>
        <v>#DIV/0!</v>
      </c>
      <c r="L118" s="1037" t="e">
        <f t="shared" si="33"/>
        <v>#DIV/0!</v>
      </c>
      <c r="M118" s="1038" t="e">
        <f t="shared" si="33"/>
        <v>#DIV/0!</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88" t="s">
        <v>1011</v>
      </c>
      <c r="B18" s="1157" t="s">
        <v>1450</v>
      </c>
      <c r="C18" s="1134" t="s">
        <v>1451</v>
      </c>
      <c r="D18" s="1135"/>
      <c r="E18" s="1157">
        <v>1</v>
      </c>
      <c r="F18" s="1136" t="s">
        <v>1452</v>
      </c>
      <c r="G18" s="1137"/>
      <c r="H18" s="1108"/>
      <c r="I18" s="1108"/>
    </row>
    <row r="19" spans="1:9" s="1604" customFormat="1" ht="19.5" customHeight="1">
      <c r="A19" s="3388"/>
      <c r="B19" s="3388" t="s">
        <v>1453</v>
      </c>
      <c r="C19" s="1134" t="s">
        <v>1454</v>
      </c>
      <c r="D19" s="1135"/>
      <c r="E19" s="1157">
        <v>0.9</v>
      </c>
      <c r="F19" s="1136" t="s">
        <v>1455</v>
      </c>
      <c r="G19" s="1137"/>
      <c r="H19" s="1108"/>
      <c r="I19" s="1108"/>
    </row>
    <row r="20" spans="1:9" s="1604" customFormat="1" ht="19.5" customHeight="1">
      <c r="A20" s="3388"/>
      <c r="B20" s="3388"/>
      <c r="C20" s="1134" t="s">
        <v>1456</v>
      </c>
      <c r="D20" s="1135"/>
      <c r="E20" s="1157">
        <v>1.1000000000000001</v>
      </c>
      <c r="F20" s="1136" t="s">
        <v>1457</v>
      </c>
      <c r="G20" s="1137"/>
      <c r="H20" s="1108"/>
      <c r="I20" s="1108"/>
    </row>
    <row r="21" spans="1:9" s="1604" customFormat="1" ht="19.5" customHeight="1">
      <c r="A21" s="3388"/>
      <c r="B21" s="3388"/>
      <c r="C21" s="1134" t="s">
        <v>1458</v>
      </c>
      <c r="D21" s="1135"/>
      <c r="E21" s="1157">
        <v>0.8</v>
      </c>
      <c r="F21" s="1136" t="s">
        <v>1459</v>
      </c>
      <c r="G21" s="1137"/>
      <c r="H21" s="1108"/>
      <c r="I21" s="1108"/>
    </row>
    <row r="22" spans="1:9" s="1604" customFormat="1" ht="19.5" customHeight="1">
      <c r="A22" s="3388"/>
      <c r="B22" s="3388"/>
      <c r="C22" s="1134" t="s">
        <v>1460</v>
      </c>
      <c r="D22" s="1135"/>
      <c r="E22" s="1157">
        <v>0.5</v>
      </c>
      <c r="F22" s="1136"/>
      <c r="G22" s="1137"/>
      <c r="H22" s="1108"/>
      <c r="I22" s="1108"/>
    </row>
    <row r="23" spans="1:9" s="1604" customFormat="1" ht="19.5" customHeight="1">
      <c r="A23" s="3388" t="s">
        <v>1033</v>
      </c>
      <c r="B23" s="1157" t="s">
        <v>1450</v>
      </c>
      <c r="C23" s="1134" t="s">
        <v>1461</v>
      </c>
      <c r="D23" s="1135"/>
      <c r="E23" s="1157">
        <v>1</v>
      </c>
      <c r="F23" s="1136" t="s">
        <v>1462</v>
      </c>
      <c r="G23" s="1137"/>
      <c r="H23" s="1108"/>
      <c r="I23" s="1108"/>
    </row>
    <row r="24" spans="1:9" s="1604" customFormat="1" ht="19.5" customHeight="1">
      <c r="A24" s="3388"/>
      <c r="B24" s="3388" t="s">
        <v>1453</v>
      </c>
      <c r="C24" s="1134" t="s">
        <v>1463</v>
      </c>
      <c r="D24" s="1135"/>
      <c r="E24" s="1157">
        <v>0.5</v>
      </c>
      <c r="F24" s="1136"/>
      <c r="G24" s="1137"/>
      <c r="H24" s="1108"/>
      <c r="I24" s="1108"/>
    </row>
    <row r="25" spans="1:9" s="1604" customFormat="1" ht="19.5" customHeight="1">
      <c r="A25" s="3388"/>
      <c r="B25" s="3388"/>
      <c r="C25" s="1134" t="s">
        <v>1464</v>
      </c>
      <c r="D25" s="1135"/>
      <c r="E25" s="1157">
        <v>1.1000000000000001</v>
      </c>
      <c r="F25" s="1136"/>
      <c r="G25" s="1137"/>
      <c r="H25" s="1108"/>
      <c r="I25" s="1108"/>
    </row>
    <row r="26" spans="1:9" s="1604" customFormat="1" ht="19.5" customHeight="1">
      <c r="A26" s="3388"/>
      <c r="B26" s="3388"/>
      <c r="C26" s="1134" t="s">
        <v>1465</v>
      </c>
      <c r="D26" s="1135"/>
      <c r="E26" s="1157">
        <v>1.1000000000000001</v>
      </c>
      <c r="F26" s="1136"/>
      <c r="G26" s="1137"/>
      <c r="H26" s="1108"/>
      <c r="I26" s="1108"/>
    </row>
    <row r="27" spans="1:9" s="1604" customFormat="1" ht="19.5" customHeight="1">
      <c r="A27" s="3388"/>
      <c r="B27" s="3388"/>
      <c r="C27" s="1134" t="s">
        <v>1466</v>
      </c>
      <c r="D27" s="1135"/>
      <c r="E27" s="1157">
        <v>0.9</v>
      </c>
      <c r="F27" s="1136" t="s">
        <v>1467</v>
      </c>
      <c r="G27" s="1137"/>
      <c r="H27" s="1108"/>
      <c r="I27" s="1108"/>
    </row>
    <row r="28" spans="1:9" s="1604" customFormat="1" ht="19.5" customHeight="1">
      <c r="A28" s="3388"/>
      <c r="B28" s="3388"/>
      <c r="C28" s="1134" t="s">
        <v>1468</v>
      </c>
      <c r="D28" s="1135"/>
      <c r="E28" s="1157">
        <v>0.9</v>
      </c>
      <c r="F28" s="1136" t="s">
        <v>1469</v>
      </c>
      <c r="G28" s="1137"/>
      <c r="H28" s="1108"/>
      <c r="I28" s="1108"/>
    </row>
    <row r="29" spans="1:9" s="1604" customFormat="1" ht="19.5" customHeight="1">
      <c r="A29" s="3388"/>
      <c r="B29" s="3388"/>
      <c r="C29" s="1134" t="s">
        <v>1470</v>
      </c>
      <c r="D29" s="1135"/>
      <c r="E29" s="1157">
        <v>0.9</v>
      </c>
      <c r="F29" s="1136" t="s">
        <v>1471</v>
      </c>
      <c r="G29" s="1137"/>
      <c r="H29" s="1108"/>
      <c r="I29" s="1108"/>
    </row>
    <row r="30" spans="1:9" s="1604" customFormat="1" ht="19.5" customHeight="1">
      <c r="A30" s="3388"/>
      <c r="B30" s="3388"/>
      <c r="C30" s="1134" t="s">
        <v>1472</v>
      </c>
      <c r="D30" s="1135"/>
      <c r="E30" s="1157">
        <v>0.9</v>
      </c>
      <c r="F30" s="1136" t="s">
        <v>1473</v>
      </c>
      <c r="G30" s="1137"/>
      <c r="H30" s="1108"/>
      <c r="I30" s="1108"/>
    </row>
    <row r="31" spans="1:9" s="1604" customFormat="1" ht="19.5" customHeight="1">
      <c r="A31" s="3388"/>
      <c r="B31" s="3388"/>
      <c r="C31" s="1134" t="s">
        <v>1474</v>
      </c>
      <c r="D31" s="1135"/>
      <c r="E31" s="1157">
        <v>0.8</v>
      </c>
      <c r="F31" s="1136" t="s">
        <v>1475</v>
      </c>
      <c r="G31" s="1137"/>
      <c r="H31" s="1108"/>
      <c r="I31" s="1108"/>
    </row>
    <row r="32" spans="1:9" s="1604" customFormat="1" ht="19.5" customHeight="1">
      <c r="A32" s="3388"/>
      <c r="B32" s="3388"/>
      <c r="C32" s="1134" t="s">
        <v>1476</v>
      </c>
      <c r="D32" s="1135"/>
      <c r="E32" s="1157">
        <v>0.8</v>
      </c>
      <c r="F32" s="1136" t="s">
        <v>1477</v>
      </c>
      <c r="G32" s="1137"/>
      <c r="H32" s="1108"/>
      <c r="I32" s="1108"/>
    </row>
    <row r="33" spans="1:9" s="1604" customFormat="1" ht="19.5" customHeight="1">
      <c r="A33" s="3388" t="s">
        <v>1478</v>
      </c>
      <c r="B33" s="1157" t="s">
        <v>1450</v>
      </c>
      <c r="C33" s="1134" t="s">
        <v>1479</v>
      </c>
      <c r="D33" s="1135"/>
      <c r="E33" s="1157">
        <v>1</v>
      </c>
      <c r="F33" s="1136" t="s">
        <v>1480</v>
      </c>
      <c r="G33" s="1137"/>
      <c r="H33" s="1108"/>
      <c r="I33" s="1108"/>
    </row>
    <row r="34" spans="1:9" s="1604" customFormat="1" ht="19.5" customHeight="1">
      <c r="A34" s="3388"/>
      <c r="B34" s="1157" t="s">
        <v>1453</v>
      </c>
      <c r="C34" s="1134" t="s">
        <v>1481</v>
      </c>
      <c r="D34" s="1135"/>
      <c r="E34" s="1157">
        <v>1.5</v>
      </c>
      <c r="F34" s="1136" t="s">
        <v>1482</v>
      </c>
      <c r="G34" s="1137"/>
      <c r="H34" s="1108"/>
      <c r="I34" s="1108"/>
    </row>
    <row r="35" spans="1:9" s="1604" customFormat="1" ht="19.5" customHeight="1">
      <c r="A35" s="3388" t="s">
        <v>1436</v>
      </c>
      <c r="B35" s="1157" t="s">
        <v>1450</v>
      </c>
      <c r="C35" s="1134" t="s">
        <v>1483</v>
      </c>
      <c r="D35" s="1135"/>
      <c r="E35" s="1157">
        <v>1</v>
      </c>
      <c r="F35" s="1136" t="s">
        <v>1484</v>
      </c>
      <c r="G35" s="1137"/>
      <c r="H35" s="1108"/>
      <c r="I35" s="1108"/>
    </row>
    <row r="36" spans="1:9" s="1604" customFormat="1" ht="19.5" customHeight="1">
      <c r="A36" s="3388"/>
      <c r="B36" s="3388" t="s">
        <v>1453</v>
      </c>
      <c r="C36" s="1134" t="s">
        <v>1485</v>
      </c>
      <c r="D36" s="1135"/>
      <c r="E36" s="1157">
        <v>1</v>
      </c>
      <c r="F36" s="1136" t="s">
        <v>1486</v>
      </c>
      <c r="G36" s="1137"/>
      <c r="H36" s="1108"/>
      <c r="I36" s="1108"/>
    </row>
    <row r="37" spans="1:9" s="1604" customFormat="1" ht="19.5" customHeight="1">
      <c r="A37" s="3388"/>
      <c r="B37" s="3388"/>
      <c r="C37" s="1134" t="s">
        <v>1487</v>
      </c>
      <c r="D37" s="1135"/>
      <c r="E37" s="1157">
        <v>1.5</v>
      </c>
      <c r="F37" s="1136" t="s">
        <v>1488</v>
      </c>
      <c r="G37" s="1137"/>
      <c r="H37" s="1108"/>
      <c r="I37" s="1108"/>
    </row>
    <row r="38" spans="1:9" s="1604" customFormat="1" ht="19.5" customHeight="1">
      <c r="A38" s="3388"/>
      <c r="B38" s="3388"/>
      <c r="C38" s="1134" t="s">
        <v>1489</v>
      </c>
      <c r="D38" s="1135"/>
      <c r="E38" s="1157">
        <v>1</v>
      </c>
      <c r="F38" s="1136" t="s">
        <v>1490</v>
      </c>
      <c r="G38" s="1137"/>
      <c r="H38" s="1108"/>
      <c r="I38" s="1108"/>
    </row>
    <row r="39" spans="1:9" s="1604" customFormat="1" ht="19.5" customHeight="1">
      <c r="A39" s="3388"/>
      <c r="B39" s="3388"/>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8" t="s">
        <v>1505</v>
      </c>
      <c r="C61" s="1071" t="s">
        <v>1506</v>
      </c>
      <c r="D61" s="1071" t="s">
        <v>1507</v>
      </c>
      <c r="E61" s="1142">
        <v>0.5</v>
      </c>
      <c r="F61" s="1157">
        <v>80</v>
      </c>
      <c r="H61" s="1108">
        <f>SUMIF(C59:C119,基准地价!C8,E59:E119)</f>
        <v>0</v>
      </c>
    </row>
    <row r="62" spans="1:8" s="1108" customFormat="1" ht="24">
      <c r="A62" s="1157">
        <v>2</v>
      </c>
      <c r="B62" s="3388"/>
      <c r="C62" s="1071" t="s">
        <v>1508</v>
      </c>
      <c r="D62" s="1071" t="s">
        <v>1509</v>
      </c>
      <c r="E62" s="1142">
        <v>0.5</v>
      </c>
      <c r="F62" s="1157">
        <v>80</v>
      </c>
    </row>
    <row r="63" spans="1:8" s="1108" customFormat="1" ht="36">
      <c r="A63" s="1157">
        <v>3</v>
      </c>
      <c r="B63" s="3388"/>
      <c r="C63" s="1071" t="s">
        <v>1510</v>
      </c>
      <c r="D63" s="1071" t="s">
        <v>1511</v>
      </c>
      <c r="E63" s="1142">
        <v>0.5</v>
      </c>
      <c r="F63" s="1157">
        <v>80</v>
      </c>
    </row>
    <row r="64" spans="1:8" s="1108" customFormat="1" ht="36">
      <c r="A64" s="1157">
        <v>4</v>
      </c>
      <c r="B64" s="3388"/>
      <c r="C64" s="1071" t="s">
        <v>1512</v>
      </c>
      <c r="D64" s="1071" t="s">
        <v>1513</v>
      </c>
      <c r="E64" s="1142">
        <v>0.4</v>
      </c>
      <c r="F64" s="1157">
        <v>60</v>
      </c>
    </row>
    <row r="65" spans="1:6" s="1108" customFormat="1" ht="36">
      <c r="A65" s="1157">
        <v>5</v>
      </c>
      <c r="B65" s="3388"/>
      <c r="C65" s="1071" t="s">
        <v>1514</v>
      </c>
      <c r="D65" s="1071" t="s">
        <v>1515</v>
      </c>
      <c r="E65" s="1142">
        <v>0.2</v>
      </c>
      <c r="F65" s="1157">
        <v>30</v>
      </c>
    </row>
    <row r="66" spans="1:6" s="1108" customFormat="1" ht="36">
      <c r="A66" s="1157">
        <v>6</v>
      </c>
      <c r="B66" s="3388"/>
      <c r="C66" s="1071" t="s">
        <v>1516</v>
      </c>
      <c r="D66" s="1071" t="s">
        <v>1517</v>
      </c>
      <c r="E66" s="1142">
        <v>0.3</v>
      </c>
      <c r="F66" s="1157">
        <v>50</v>
      </c>
    </row>
    <row r="67" spans="1:6" s="1108" customFormat="1" ht="36">
      <c r="A67" s="1157">
        <v>7</v>
      </c>
      <c r="B67" s="3388"/>
      <c r="C67" s="1071" t="s">
        <v>1518</v>
      </c>
      <c r="D67" s="1071" t="s">
        <v>1519</v>
      </c>
      <c r="E67" s="1142">
        <v>0.2</v>
      </c>
      <c r="F67" s="1157">
        <v>30</v>
      </c>
    </row>
    <row r="68" spans="1:6" s="1108" customFormat="1" ht="36">
      <c r="A68" s="1157">
        <v>8</v>
      </c>
      <c r="B68" s="3388"/>
      <c r="C68" s="1071" t="s">
        <v>1520</v>
      </c>
      <c r="D68" s="1071" t="s">
        <v>1521</v>
      </c>
      <c r="E68" s="1142">
        <v>0.2</v>
      </c>
      <c r="F68" s="1157">
        <v>30</v>
      </c>
    </row>
    <row r="69" spans="1:6" s="1108" customFormat="1" ht="36">
      <c r="A69" s="1157">
        <v>9</v>
      </c>
      <c r="B69" s="3388"/>
      <c r="C69" s="1071" t="s">
        <v>1522</v>
      </c>
      <c r="D69" s="1071" t="s">
        <v>1523</v>
      </c>
      <c r="E69" s="1142">
        <v>0.2</v>
      </c>
      <c r="F69" s="1157">
        <v>30</v>
      </c>
    </row>
    <row r="70" spans="1:6" s="1108" customFormat="1" ht="48">
      <c r="A70" s="1157">
        <v>10</v>
      </c>
      <c r="B70" s="3388"/>
      <c r="C70" s="1071" t="s">
        <v>1524</v>
      </c>
      <c r="D70" s="1071" t="s">
        <v>1525</v>
      </c>
      <c r="E70" s="1142">
        <v>0.2</v>
      </c>
      <c r="F70" s="1157">
        <v>30</v>
      </c>
    </row>
    <row r="71" spans="1:6" s="1108" customFormat="1" ht="48">
      <c r="A71" s="1157">
        <v>11</v>
      </c>
      <c r="B71" s="3388"/>
      <c r="C71" s="1071" t="s">
        <v>1526</v>
      </c>
      <c r="D71" s="1071" t="s">
        <v>1527</v>
      </c>
      <c r="E71" s="1142">
        <v>0.2</v>
      </c>
      <c r="F71" s="1157">
        <v>30</v>
      </c>
    </row>
    <row r="72" spans="1:6" s="1108" customFormat="1" ht="36">
      <c r="A72" s="1157">
        <v>12</v>
      </c>
      <c r="B72" s="3388"/>
      <c r="C72" s="1071" t="s">
        <v>1528</v>
      </c>
      <c r="D72" s="1071" t="s">
        <v>1529</v>
      </c>
      <c r="E72" s="1142">
        <v>0.5</v>
      </c>
      <c r="F72" s="1157">
        <v>80</v>
      </c>
    </row>
    <row r="73" spans="1:6" s="1108" customFormat="1" ht="24">
      <c r="A73" s="1157">
        <v>13</v>
      </c>
      <c r="B73" s="3388"/>
      <c r="C73" s="1071" t="s">
        <v>1530</v>
      </c>
      <c r="D73" s="1071" t="s">
        <v>1531</v>
      </c>
      <c r="E73" s="1142">
        <v>0.4</v>
      </c>
      <c r="F73" s="1157">
        <v>60</v>
      </c>
    </row>
    <row r="74" spans="1:6" s="1108" customFormat="1" ht="24">
      <c r="A74" s="1157">
        <v>14</v>
      </c>
      <c r="B74" s="3388"/>
      <c r="C74" s="1071" t="s">
        <v>1532</v>
      </c>
      <c r="D74" s="1071" t="s">
        <v>1533</v>
      </c>
      <c r="E74" s="1142">
        <v>0.2</v>
      </c>
      <c r="F74" s="1157">
        <v>30</v>
      </c>
    </row>
    <row r="75" spans="1:6" s="1108" customFormat="1" ht="24">
      <c r="A75" s="1157">
        <v>15</v>
      </c>
      <c r="B75" s="3388"/>
      <c r="C75" s="1071" t="s">
        <v>1534</v>
      </c>
      <c r="D75" s="1071" t="s">
        <v>1535</v>
      </c>
      <c r="E75" s="1142">
        <v>0.2</v>
      </c>
      <c r="F75" s="1157">
        <v>30</v>
      </c>
    </row>
    <row r="76" spans="1:6" s="1108" customFormat="1" ht="24">
      <c r="A76" s="1157">
        <v>16</v>
      </c>
      <c r="B76" s="3388" t="s">
        <v>1536</v>
      </c>
      <c r="C76" s="1071" t="s">
        <v>1537</v>
      </c>
      <c r="D76" s="1071" t="s">
        <v>1538</v>
      </c>
      <c r="E76" s="1142">
        <v>0.5</v>
      </c>
      <c r="F76" s="1157">
        <v>80</v>
      </c>
    </row>
    <row r="77" spans="1:6" s="1108" customFormat="1" ht="24">
      <c r="A77" s="1157">
        <v>17</v>
      </c>
      <c r="B77" s="3388"/>
      <c r="C77" s="1071" t="s">
        <v>1539</v>
      </c>
      <c r="D77" s="1071" t="s">
        <v>1540</v>
      </c>
      <c r="E77" s="1142">
        <v>0.5</v>
      </c>
      <c r="F77" s="1157">
        <v>80</v>
      </c>
    </row>
    <row r="78" spans="1:6" s="1108" customFormat="1" ht="24">
      <c r="A78" s="1157">
        <v>18</v>
      </c>
      <c r="B78" s="3388"/>
      <c r="C78" s="1071" t="s">
        <v>1541</v>
      </c>
      <c r="D78" s="1071" t="s">
        <v>1542</v>
      </c>
      <c r="E78" s="1142">
        <v>0.2</v>
      </c>
      <c r="F78" s="1157">
        <v>30</v>
      </c>
    </row>
    <row r="79" spans="1:6" s="1108" customFormat="1" ht="24">
      <c r="A79" s="1157">
        <v>19</v>
      </c>
      <c r="B79" s="3388"/>
      <c r="C79" s="1071" t="s">
        <v>1543</v>
      </c>
      <c r="D79" s="1071" t="s">
        <v>1544</v>
      </c>
      <c r="E79" s="1142">
        <v>0.5</v>
      </c>
      <c r="F79" s="1157">
        <v>80</v>
      </c>
    </row>
    <row r="80" spans="1:6" s="1108" customFormat="1" ht="36">
      <c r="A80" s="1157">
        <v>20</v>
      </c>
      <c r="B80" s="3388"/>
      <c r="C80" s="1071" t="s">
        <v>1545</v>
      </c>
      <c r="D80" s="1071" t="s">
        <v>1546</v>
      </c>
      <c r="E80" s="1142">
        <v>0.2</v>
      </c>
      <c r="F80" s="1157">
        <v>30</v>
      </c>
    </row>
    <row r="81" spans="1:6" s="1108" customFormat="1" ht="36">
      <c r="A81" s="1157">
        <v>21</v>
      </c>
      <c r="B81" s="3388"/>
      <c r="C81" s="1071" t="s">
        <v>1547</v>
      </c>
      <c r="D81" s="1071" t="s">
        <v>1548</v>
      </c>
      <c r="E81" s="1142">
        <v>0.2</v>
      </c>
      <c r="F81" s="1157">
        <v>30</v>
      </c>
    </row>
    <row r="82" spans="1:6" s="1108" customFormat="1" ht="48">
      <c r="A82" s="1157">
        <v>22</v>
      </c>
      <c r="B82" s="3388"/>
      <c r="C82" s="1071" t="s">
        <v>1549</v>
      </c>
      <c r="D82" s="1071" t="s">
        <v>1550</v>
      </c>
      <c r="E82" s="1142">
        <v>0.2</v>
      </c>
      <c r="F82" s="1157">
        <v>30</v>
      </c>
    </row>
    <row r="83" spans="1:6" s="1108" customFormat="1" ht="48">
      <c r="A83" s="1157">
        <v>23</v>
      </c>
      <c r="B83" s="3388"/>
      <c r="C83" s="1071" t="s">
        <v>1551</v>
      </c>
      <c r="D83" s="1071" t="s">
        <v>1552</v>
      </c>
      <c r="E83" s="1142">
        <v>0.2</v>
      </c>
      <c r="F83" s="1157">
        <v>30</v>
      </c>
    </row>
    <row r="84" spans="1:6" s="1108" customFormat="1" ht="36">
      <c r="A84" s="1157">
        <v>24</v>
      </c>
      <c r="B84" s="3388"/>
      <c r="C84" s="1071" t="s">
        <v>1553</v>
      </c>
      <c r="D84" s="1071" t="s">
        <v>1554</v>
      </c>
      <c r="E84" s="1142">
        <v>0.2</v>
      </c>
      <c r="F84" s="1157">
        <v>30</v>
      </c>
    </row>
    <row r="85" spans="1:6" s="1108" customFormat="1" ht="36">
      <c r="A85" s="1157">
        <v>25</v>
      </c>
      <c r="B85" s="3388"/>
      <c r="C85" s="1071" t="s">
        <v>1555</v>
      </c>
      <c r="D85" s="1071" t="s">
        <v>1556</v>
      </c>
      <c r="E85" s="1142">
        <v>0.5</v>
      </c>
      <c r="F85" s="1157">
        <v>80</v>
      </c>
    </row>
    <row r="86" spans="1:6" s="1108" customFormat="1" ht="36">
      <c r="A86" s="1157">
        <v>26</v>
      </c>
      <c r="B86" s="3388"/>
      <c r="C86" s="1071" t="s">
        <v>1557</v>
      </c>
      <c r="D86" s="1071" t="s">
        <v>1558</v>
      </c>
      <c r="E86" s="1142">
        <v>0.2</v>
      </c>
      <c r="F86" s="1157">
        <v>30</v>
      </c>
    </row>
    <row r="87" spans="1:6" s="1108" customFormat="1" ht="36">
      <c r="A87" s="1157">
        <v>27</v>
      </c>
      <c r="B87" s="3388"/>
      <c r="C87" s="1071" t="s">
        <v>1559</v>
      </c>
      <c r="D87" s="1071" t="s">
        <v>1560</v>
      </c>
      <c r="E87" s="1142">
        <v>0.2</v>
      </c>
      <c r="F87" s="1157">
        <v>30</v>
      </c>
    </row>
    <row r="88" spans="1:6" s="1108" customFormat="1" ht="36">
      <c r="A88" s="1157">
        <v>28</v>
      </c>
      <c r="B88" s="3388"/>
      <c r="C88" s="1071" t="s">
        <v>1561</v>
      </c>
      <c r="D88" s="1071" t="s">
        <v>1562</v>
      </c>
      <c r="E88" s="1142">
        <v>0.2</v>
      </c>
      <c r="F88" s="1157">
        <v>30</v>
      </c>
    </row>
    <row r="89" spans="1:6" s="1108" customFormat="1" ht="24">
      <c r="A89" s="1157">
        <v>29</v>
      </c>
      <c r="B89" s="3388"/>
      <c r="C89" s="1071" t="s">
        <v>1563</v>
      </c>
      <c r="D89" s="1071" t="s">
        <v>1564</v>
      </c>
      <c r="E89" s="1142">
        <v>0.2</v>
      </c>
      <c r="F89" s="1157">
        <v>30</v>
      </c>
    </row>
    <row r="90" spans="1:6" s="1108" customFormat="1" ht="24">
      <c r="A90" s="1157">
        <v>30</v>
      </c>
      <c r="B90" s="3388"/>
      <c r="C90" s="1071" t="s">
        <v>1565</v>
      </c>
      <c r="D90" s="1071" t="s">
        <v>1566</v>
      </c>
      <c r="E90" s="1142">
        <v>0.2</v>
      </c>
      <c r="F90" s="1157">
        <v>30</v>
      </c>
    </row>
    <row r="91" spans="1:6" s="1108" customFormat="1" ht="36">
      <c r="A91" s="1157">
        <v>31</v>
      </c>
      <c r="B91" s="3388"/>
      <c r="C91" s="1071" t="s">
        <v>1567</v>
      </c>
      <c r="D91" s="1071" t="s">
        <v>1568</v>
      </c>
      <c r="E91" s="1142">
        <v>0.2</v>
      </c>
      <c r="F91" s="1157">
        <v>30</v>
      </c>
    </row>
    <row r="92" spans="1:6" s="1108" customFormat="1" ht="24">
      <c r="A92" s="1157">
        <v>32</v>
      </c>
      <c r="B92" s="3388" t="s">
        <v>1569</v>
      </c>
      <c r="C92" s="1157" t="s">
        <v>1570</v>
      </c>
      <c r="D92" s="1071" t="s">
        <v>1571</v>
      </c>
      <c r="E92" s="1142">
        <v>0.2</v>
      </c>
      <c r="F92" s="1157">
        <v>30</v>
      </c>
    </row>
    <row r="93" spans="1:6" s="1108" customFormat="1" ht="36">
      <c r="A93" s="1157">
        <v>33</v>
      </c>
      <c r="B93" s="3388"/>
      <c r="C93" s="1157" t="s">
        <v>1572</v>
      </c>
      <c r="D93" s="1071" t="s">
        <v>1573</v>
      </c>
      <c r="E93" s="1142">
        <v>0.2</v>
      </c>
      <c r="F93" s="1157">
        <v>30</v>
      </c>
    </row>
    <row r="94" spans="1:6" s="1108" customFormat="1" ht="48">
      <c r="A94" s="1157">
        <v>34</v>
      </c>
      <c r="B94" s="3388"/>
      <c r="C94" s="1157" t="s">
        <v>1574</v>
      </c>
      <c r="D94" s="1071" t="s">
        <v>1575</v>
      </c>
      <c r="E94" s="1142">
        <v>0.2</v>
      </c>
      <c r="F94" s="1157">
        <v>30</v>
      </c>
    </row>
    <row r="95" spans="1:6" s="1108" customFormat="1" ht="36">
      <c r="A95" s="1157">
        <v>35</v>
      </c>
      <c r="B95" s="3388"/>
      <c r="C95" s="1157" t="s">
        <v>1576</v>
      </c>
      <c r="D95" s="1071" t="s">
        <v>1577</v>
      </c>
      <c r="E95" s="1142">
        <v>0.2</v>
      </c>
      <c r="F95" s="1157">
        <v>30</v>
      </c>
    </row>
    <row r="96" spans="1:6" s="1108" customFormat="1" ht="48">
      <c r="A96" s="1157">
        <v>36</v>
      </c>
      <c r="B96" s="3388"/>
      <c r="C96" s="1071" t="s">
        <v>1578</v>
      </c>
      <c r="D96" s="1071" t="s">
        <v>1579</v>
      </c>
      <c r="E96" s="1142">
        <v>0.2</v>
      </c>
      <c r="F96" s="1157">
        <v>30</v>
      </c>
    </row>
    <row r="97" spans="1:6" s="1108" customFormat="1" ht="36">
      <c r="A97" s="1157">
        <v>37</v>
      </c>
      <c r="B97" s="3388"/>
      <c r="C97" s="1157" t="s">
        <v>1580</v>
      </c>
      <c r="D97" s="1071" t="s">
        <v>1581</v>
      </c>
      <c r="E97" s="1142">
        <v>0.2</v>
      </c>
      <c r="F97" s="1157">
        <v>30</v>
      </c>
    </row>
    <row r="98" spans="1:6" s="1108" customFormat="1" ht="36">
      <c r="A98" s="1157">
        <v>38</v>
      </c>
      <c r="B98" s="3388"/>
      <c r="C98" s="1157" t="s">
        <v>1582</v>
      </c>
      <c r="D98" s="1071" t="s">
        <v>1583</v>
      </c>
      <c r="E98" s="1142">
        <v>0.2</v>
      </c>
      <c r="F98" s="1157">
        <v>30</v>
      </c>
    </row>
    <row r="99" spans="1:6" s="1108" customFormat="1" ht="36">
      <c r="A99" s="1157">
        <v>39</v>
      </c>
      <c r="B99" s="3388" t="s">
        <v>1584</v>
      </c>
      <c r="C99" s="1157" t="s">
        <v>1585</v>
      </c>
      <c r="D99" s="1071" t="s">
        <v>1586</v>
      </c>
      <c r="E99" s="1142">
        <v>0.3</v>
      </c>
      <c r="F99" s="1157">
        <v>50</v>
      </c>
    </row>
    <row r="100" spans="1:6" s="1108" customFormat="1" ht="24">
      <c r="A100" s="1157">
        <v>40</v>
      </c>
      <c r="B100" s="3388"/>
      <c r="C100" s="1157" t="s">
        <v>1587</v>
      </c>
      <c r="D100" s="1071" t="s">
        <v>1588</v>
      </c>
      <c r="E100" s="1142">
        <v>0.2</v>
      </c>
      <c r="F100" s="1157">
        <v>30</v>
      </c>
    </row>
    <row r="101" spans="1:6" s="1108" customFormat="1" ht="36">
      <c r="A101" s="1157">
        <v>41</v>
      </c>
      <c r="B101" s="338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8" t="s">
        <v>1599</v>
      </c>
      <c r="C105" s="1157" t="s">
        <v>1600</v>
      </c>
      <c r="D105" s="1071" t="s">
        <v>1601</v>
      </c>
      <c r="E105" s="1142">
        <v>0.2</v>
      </c>
      <c r="F105" s="1157">
        <v>30</v>
      </c>
    </row>
    <row r="106" spans="1:6" s="1108" customFormat="1" ht="36">
      <c r="A106" s="1157">
        <v>46</v>
      </c>
      <c r="B106" s="3388"/>
      <c r="C106" s="1157" t="s">
        <v>1602</v>
      </c>
      <c r="D106" s="1071" t="s">
        <v>1603</v>
      </c>
      <c r="E106" s="1142">
        <v>0.2</v>
      </c>
      <c r="F106" s="1157">
        <v>30</v>
      </c>
    </row>
    <row r="107" spans="1:6" s="1108" customFormat="1" ht="36">
      <c r="A107" s="1157">
        <v>47</v>
      </c>
      <c r="B107" s="3388" t="s">
        <v>1604</v>
      </c>
      <c r="C107" s="1157" t="s">
        <v>1605</v>
      </c>
      <c r="D107" s="1071" t="s">
        <v>1606</v>
      </c>
      <c r="E107" s="1142">
        <v>0.3</v>
      </c>
      <c r="F107" s="1157">
        <v>50</v>
      </c>
    </row>
    <row r="108" spans="1:6" s="1108" customFormat="1" ht="36">
      <c r="A108" s="1157">
        <v>48</v>
      </c>
      <c r="B108" s="338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8" t="s">
        <v>1615</v>
      </c>
      <c r="C111" s="1157" t="s">
        <v>1616</v>
      </c>
      <c r="D111" s="1071" t="s">
        <v>1617</v>
      </c>
      <c r="E111" s="1142">
        <v>0.2</v>
      </c>
      <c r="F111" s="1157">
        <v>30</v>
      </c>
    </row>
    <row r="112" spans="1:6" s="1108" customFormat="1" ht="24">
      <c r="A112" s="1157">
        <v>52</v>
      </c>
      <c r="B112" s="3388"/>
      <c r="C112" s="1157" t="s">
        <v>1618</v>
      </c>
      <c r="D112" s="1071" t="s">
        <v>1619</v>
      </c>
      <c r="E112" s="1142">
        <v>0.2</v>
      </c>
      <c r="F112" s="1157">
        <v>30</v>
      </c>
    </row>
    <row r="113" spans="1:14" s="1108" customFormat="1" ht="24">
      <c r="A113" s="1157">
        <v>53</v>
      </c>
      <c r="B113" s="338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8" t="s">
        <v>1628</v>
      </c>
      <c r="C116" s="1157" t="s">
        <v>1629</v>
      </c>
      <c r="D116" s="1071" t="s">
        <v>1630</v>
      </c>
      <c r="E116" s="1142">
        <v>0.2</v>
      </c>
      <c r="F116" s="1157">
        <v>30</v>
      </c>
    </row>
    <row r="117" spans="1:14" ht="36">
      <c r="A117" s="1157">
        <v>57</v>
      </c>
      <c r="B117" s="338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7" t="s">
        <v>1637</v>
      </c>
      <c r="B121" s="3387"/>
      <c r="C121" s="3387"/>
      <c r="D121" s="3387"/>
      <c r="E121" s="3387"/>
      <c r="F121" s="3387"/>
      <c r="G121" s="3387"/>
      <c r="H121" s="3387"/>
      <c r="I121" s="3387"/>
      <c r="J121" s="338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0" t="s">
        <v>1043</v>
      </c>
      <c r="B1" s="3400"/>
      <c r="C1" s="3400"/>
      <c r="D1" s="3400"/>
      <c r="E1" s="3400"/>
      <c r="F1" s="340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01" t="s">
        <v>1056</v>
      </c>
      <c r="B2" s="3401"/>
      <c r="C2" s="3401"/>
      <c r="D2" s="3401"/>
      <c r="E2" s="3401"/>
      <c r="F2" s="340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0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0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2430</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2431</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t="e">
        <f>SUMPRODUCT((A105:A204=ROUNDDOWN(基准地价!G3,1))*(B104:M104=基准地价!G2)*(B105:M204))</f>
        <v>#DIV/0!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04" t="s">
        <v>2086</v>
      </c>
      <c r="B1" s="3404"/>
    </row>
    <row r="2" spans="1:6" ht="14.25" thickBot="1">
      <c r="A2" s="1857"/>
      <c r="B2" s="1857"/>
    </row>
    <row r="3" spans="1:6" ht="14.25" thickBot="1">
      <c r="A3" s="1857"/>
      <c r="B3" s="1857"/>
      <c r="C3" s="1858" t="s">
        <v>2087</v>
      </c>
      <c r="D3" s="1858" t="s">
        <v>2088</v>
      </c>
      <c r="E3" s="1858" t="s">
        <v>2089</v>
      </c>
      <c r="F3" s="1858" t="s">
        <v>2090</v>
      </c>
    </row>
    <row r="4" spans="1:6" ht="14.25" thickBot="1">
      <c r="A4" s="1859" t="s">
        <v>2091</v>
      </c>
      <c r="B4" s="1860" t="s">
        <v>2092</v>
      </c>
      <c r="C4" s="1858"/>
      <c r="D4" s="1858"/>
      <c r="E4" s="1858"/>
      <c r="F4" s="1858"/>
    </row>
    <row r="5" spans="1:6" ht="14.25" thickBot="1">
      <c r="A5" s="1861" t="s">
        <v>2093</v>
      </c>
      <c r="B5" s="1862" t="s">
        <v>2094</v>
      </c>
      <c r="C5" s="1863">
        <v>8.8999999999999996E-2</v>
      </c>
      <c r="D5" s="1863">
        <v>7.3999999999999996E-2</v>
      </c>
      <c r="E5" s="1863">
        <v>7.4999999999999997E-2</v>
      </c>
      <c r="F5" s="1864">
        <v>0.1</v>
      </c>
    </row>
    <row r="6" spans="1:6" ht="14.25" thickBot="1">
      <c r="A6" s="1861" t="s">
        <v>1100</v>
      </c>
      <c r="B6" s="1865" t="s">
        <v>2095</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2096</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2097</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2098</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2099</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2100</v>
      </c>
      <c r="C72" s="1875"/>
      <c r="D72" s="1875"/>
      <c r="E72" s="1875"/>
      <c r="F72" s="1867">
        <v>0.05</v>
      </c>
    </row>
    <row r="73" spans="1:6" ht="14.25" thickBot="1">
      <c r="A73" s="1861" t="s">
        <v>928</v>
      </c>
      <c r="B73" s="1865" t="s">
        <v>2101</v>
      </c>
      <c r="C73" s="1875"/>
      <c r="D73" s="1875"/>
      <c r="E73" s="1875"/>
      <c r="F73" s="1867">
        <v>0.05</v>
      </c>
    </row>
    <row r="74" spans="1:6" ht="14.25" thickBot="1">
      <c r="A74" s="1861" t="s">
        <v>928</v>
      </c>
      <c r="B74" s="1865" t="s">
        <v>2102</v>
      </c>
      <c r="C74" s="1875"/>
      <c r="D74" s="1875"/>
      <c r="E74" s="1875"/>
      <c r="F74" s="1867">
        <v>0.05</v>
      </c>
    </row>
    <row r="75" spans="1:6" ht="14.25" thickBot="1">
      <c r="A75" s="1869" t="s">
        <v>928</v>
      </c>
      <c r="B75" s="1876" t="s">
        <v>2103</v>
      </c>
      <c r="C75" s="1872"/>
      <c r="D75" s="1872"/>
      <c r="E75" s="1872"/>
      <c r="F75" s="1877">
        <v>0.05</v>
      </c>
    </row>
    <row r="76" spans="1:6" ht="14.25" thickBot="1">
      <c r="A76" s="1861" t="s">
        <v>1411</v>
      </c>
      <c r="B76" s="1862" t="s">
        <v>2104</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2105</v>
      </c>
      <c r="C102" s="1875"/>
      <c r="D102" s="1875"/>
      <c r="E102" s="1875"/>
      <c r="F102" s="1867">
        <v>0.05</v>
      </c>
    </row>
    <row r="103" spans="1:6" ht="24.75" thickBot="1">
      <c r="A103" s="1861" t="s">
        <v>1411</v>
      </c>
      <c r="B103" s="1865" t="s">
        <v>2106</v>
      </c>
      <c r="C103" s="1875"/>
      <c r="D103" s="1875"/>
      <c r="E103" s="1875"/>
      <c r="F103" s="1867">
        <v>0.05</v>
      </c>
    </row>
    <row r="104" spans="1:6" ht="14.25" thickBot="1">
      <c r="A104" s="1861" t="s">
        <v>1411</v>
      </c>
      <c r="B104" s="1865" t="s">
        <v>2107</v>
      </c>
      <c r="C104" s="1875"/>
      <c r="D104" s="1875"/>
      <c r="E104" s="1875"/>
      <c r="F104" s="1867">
        <v>0.05</v>
      </c>
    </row>
    <row r="105" spans="1:6" ht="14.25" thickBot="1">
      <c r="A105" s="1861" t="s">
        <v>1411</v>
      </c>
      <c r="B105" s="1865" t="s">
        <v>2108</v>
      </c>
      <c r="C105" s="1875"/>
      <c r="D105" s="1875"/>
      <c r="E105" s="1875"/>
      <c r="F105" s="1867">
        <v>0.05</v>
      </c>
    </row>
    <row r="106" spans="1:6" ht="14.25" thickBot="1">
      <c r="A106" s="1861" t="s">
        <v>1411</v>
      </c>
      <c r="B106" s="1865" t="s">
        <v>2109</v>
      </c>
      <c r="C106" s="1875"/>
      <c r="D106" s="1875"/>
      <c r="E106" s="1875"/>
      <c r="F106" s="1867">
        <v>0.05</v>
      </c>
    </row>
    <row r="107" spans="1:6" ht="24.75" thickBot="1">
      <c r="A107" s="1861" t="s">
        <v>1411</v>
      </c>
      <c r="B107" s="1865" t="s">
        <v>2110</v>
      </c>
      <c r="C107" s="1875"/>
      <c r="D107" s="1875"/>
      <c r="E107" s="1875"/>
      <c r="F107" s="1867">
        <v>0.05</v>
      </c>
    </row>
    <row r="108" spans="1:6" ht="24.75" thickBot="1">
      <c r="A108" s="1861" t="s">
        <v>1411</v>
      </c>
      <c r="B108" s="1865" t="s">
        <v>2111</v>
      </c>
      <c r="C108" s="1875"/>
      <c r="D108" s="1875"/>
      <c r="E108" s="1875"/>
      <c r="F108" s="1867">
        <v>0.05</v>
      </c>
    </row>
    <row r="109" spans="1:6" ht="24.75" thickBot="1">
      <c r="A109" s="1869" t="s">
        <v>1411</v>
      </c>
      <c r="B109" s="1876" t="s">
        <v>2112</v>
      </c>
      <c r="C109" s="1872"/>
      <c r="D109" s="1872"/>
      <c r="E109" s="1872"/>
      <c r="F109" s="1877">
        <v>0.05</v>
      </c>
    </row>
    <row r="110" spans="1:6" ht="14.25" thickBot="1">
      <c r="A110" s="1861" t="s">
        <v>1413</v>
      </c>
      <c r="B110" s="1862" t="s">
        <v>2113</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2114</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2115</v>
      </c>
      <c r="C138" s="1866">
        <v>0.105</v>
      </c>
      <c r="D138" s="1866">
        <v>0.125</v>
      </c>
      <c r="E138" s="1866">
        <v>0.112</v>
      </c>
      <c r="F138" s="1874"/>
    </row>
    <row r="139" spans="1:6" ht="14.25" thickBot="1">
      <c r="A139" s="1861" t="s">
        <v>1413</v>
      </c>
      <c r="B139" s="1865" t="s">
        <v>2116</v>
      </c>
      <c r="C139" s="1866">
        <v>0.127</v>
      </c>
      <c r="D139" s="1866">
        <v>0.127</v>
      </c>
      <c r="E139" s="1866">
        <v>0.122</v>
      </c>
      <c r="F139" s="1867">
        <v>0.13</v>
      </c>
    </row>
    <row r="140" spans="1:6" ht="14.25" thickBot="1">
      <c r="A140" s="1861" t="s">
        <v>1413</v>
      </c>
      <c r="B140" s="1865" t="s">
        <v>2117</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2118</v>
      </c>
      <c r="C144" s="1879">
        <v>0.126</v>
      </c>
      <c r="D144" s="1879">
        <v>0.126</v>
      </c>
      <c r="E144" s="1879">
        <v>0.121</v>
      </c>
      <c r="F144" s="1874"/>
    </row>
    <row r="145" spans="1:6" ht="14.25" thickBot="1">
      <c r="A145" s="1869" t="s">
        <v>1413</v>
      </c>
      <c r="B145" s="1880" t="s">
        <v>2119</v>
      </c>
      <c r="C145" s="1881"/>
      <c r="D145" s="1881"/>
      <c r="E145" s="1881"/>
      <c r="F145" s="1882">
        <v>0.05</v>
      </c>
    </row>
    <row r="146" spans="1:6" ht="24.75" thickBot="1">
      <c r="A146" s="1883" t="s">
        <v>1413</v>
      </c>
      <c r="B146" s="1868" t="s">
        <v>2120</v>
      </c>
      <c r="C146" s="1875"/>
      <c r="D146" s="1875"/>
      <c r="E146" s="1875"/>
      <c r="F146" s="1884">
        <v>0.05</v>
      </c>
    </row>
    <row r="147" spans="1:6" ht="24.75" thickBot="1">
      <c r="A147" s="1861" t="s">
        <v>1413</v>
      </c>
      <c r="B147" s="1865" t="s">
        <v>2121</v>
      </c>
      <c r="C147" s="1875"/>
      <c r="D147" s="1875"/>
      <c r="E147" s="1875"/>
      <c r="F147" s="1867">
        <v>0.05</v>
      </c>
    </row>
    <row r="148" spans="1:6" ht="24.75" thickBot="1">
      <c r="A148" s="1861" t="s">
        <v>1413</v>
      </c>
      <c r="B148" s="1865" t="s">
        <v>2122</v>
      </c>
      <c r="C148" s="1875"/>
      <c r="D148" s="1875"/>
      <c r="E148" s="1875"/>
      <c r="F148" s="1867">
        <v>0.05</v>
      </c>
    </row>
    <row r="149" spans="1:6" ht="24.75" thickBot="1">
      <c r="A149" s="1861" t="s">
        <v>1413</v>
      </c>
      <c r="B149" s="1865" t="s">
        <v>2123</v>
      </c>
      <c r="C149" s="1875"/>
      <c r="D149" s="1875"/>
      <c r="E149" s="1875"/>
      <c r="F149" s="1867">
        <v>0.05</v>
      </c>
    </row>
    <row r="150" spans="1:6" ht="24.75" thickBot="1">
      <c r="A150" s="1861" t="s">
        <v>1413</v>
      </c>
      <c r="B150" s="1865" t="s">
        <v>2124</v>
      </c>
      <c r="C150" s="1875"/>
      <c r="D150" s="1875"/>
      <c r="E150" s="1875"/>
      <c r="F150" s="1867">
        <v>0.05</v>
      </c>
    </row>
    <row r="151" spans="1:6" ht="24.75" thickBot="1">
      <c r="A151" s="1861" t="s">
        <v>1413</v>
      </c>
      <c r="B151" s="1865" t="s">
        <v>2125</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2126</v>
      </c>
      <c r="C153" s="1875"/>
      <c r="D153" s="1875"/>
      <c r="E153" s="1875"/>
      <c r="F153" s="1867">
        <v>0.05</v>
      </c>
    </row>
    <row r="154" spans="1:6" ht="14.25" thickBot="1">
      <c r="A154" s="1861" t="s">
        <v>1413</v>
      </c>
      <c r="B154" s="1865" t="s">
        <v>2127</v>
      </c>
      <c r="C154" s="1875"/>
      <c r="D154" s="1875"/>
      <c r="E154" s="1875"/>
      <c r="F154" s="1867">
        <v>0.05</v>
      </c>
    </row>
    <row r="155" spans="1:6" ht="24.75" thickBot="1">
      <c r="A155" s="1861" t="s">
        <v>1413</v>
      </c>
      <c r="B155" s="1865" t="s">
        <v>2128</v>
      </c>
      <c r="C155" s="1875"/>
      <c r="D155" s="1875"/>
      <c r="E155" s="1875"/>
      <c r="F155" s="1867">
        <v>0.05</v>
      </c>
    </row>
    <row r="156" spans="1:6" ht="24.75" thickBot="1">
      <c r="A156" s="1861" t="s">
        <v>1413</v>
      </c>
      <c r="B156" s="1865" t="s">
        <v>2129</v>
      </c>
      <c r="C156" s="1875"/>
      <c r="D156" s="1875"/>
      <c r="E156" s="1875"/>
      <c r="F156" s="1867">
        <v>0.05</v>
      </c>
    </row>
    <row r="157" spans="1:6" ht="14.25" thickBot="1">
      <c r="A157" s="1869" t="s">
        <v>1413</v>
      </c>
      <c r="B157" s="1876" t="s">
        <v>2130</v>
      </c>
      <c r="C157" s="1872"/>
      <c r="D157" s="1872"/>
      <c r="E157" s="1872"/>
      <c r="F157" s="1877">
        <v>0.05</v>
      </c>
    </row>
    <row r="158" spans="1:6" ht="14.25" thickBot="1">
      <c r="A158" s="1861" t="s">
        <v>1415</v>
      </c>
      <c r="B158" s="1862" t="s">
        <v>2131</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2132</v>
      </c>
      <c r="C171" s="1866">
        <v>0.127</v>
      </c>
      <c r="D171" s="1866">
        <v>0.126</v>
      </c>
      <c r="E171" s="1866">
        <v>0.126</v>
      </c>
      <c r="F171" s="1867">
        <v>0.11799999999999999</v>
      </c>
    </row>
    <row r="172" spans="1:6" ht="14.25" thickBot="1">
      <c r="A172" s="1861" t="s">
        <v>1415</v>
      </c>
      <c r="B172" s="1865" t="s">
        <v>2133</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2134</v>
      </c>
      <c r="C174" s="1866">
        <v>0.13</v>
      </c>
      <c r="D174" s="1866">
        <v>0.13</v>
      </c>
      <c r="E174" s="1866">
        <v>0.13</v>
      </c>
      <c r="F174" s="1867">
        <v>0.13</v>
      </c>
    </row>
    <row r="175" spans="1:6" ht="14.25" thickBot="1">
      <c r="A175" s="1861" t="s">
        <v>1415</v>
      </c>
      <c r="B175" s="1865" t="s">
        <v>2135</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2136</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2137</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2138</v>
      </c>
      <c r="C185" s="1866">
        <v>0.127</v>
      </c>
      <c r="D185" s="1866">
        <v>0.127</v>
      </c>
      <c r="E185" s="1866">
        <v>0.128</v>
      </c>
      <c r="F185" s="1867">
        <v>0.13</v>
      </c>
    </row>
    <row r="186" spans="1:6" ht="24.75" thickBot="1">
      <c r="A186" s="1861" t="s">
        <v>1415</v>
      </c>
      <c r="B186" s="1865" t="s">
        <v>2139</v>
      </c>
      <c r="C186" s="1875"/>
      <c r="D186" s="1875"/>
      <c r="E186" s="1875"/>
      <c r="F186" s="1867">
        <v>0.05</v>
      </c>
    </row>
    <row r="187" spans="1:6" ht="14.25" thickBot="1">
      <c r="A187" s="1861" t="s">
        <v>1415</v>
      </c>
      <c r="B187" s="1865" t="s">
        <v>2140</v>
      </c>
      <c r="C187" s="1875"/>
      <c r="D187" s="1875"/>
      <c r="E187" s="1875"/>
      <c r="F187" s="1867">
        <v>0.05</v>
      </c>
    </row>
    <row r="188" spans="1:6" ht="14.25" thickBot="1">
      <c r="A188" s="1861" t="s">
        <v>1415</v>
      </c>
      <c r="B188" s="1865" t="s">
        <v>2141</v>
      </c>
      <c r="C188" s="1875"/>
      <c r="D188" s="1875"/>
      <c r="E188" s="1875"/>
      <c r="F188" s="1867">
        <v>0.05</v>
      </c>
    </row>
    <row r="189" spans="1:6" ht="24.75" thickBot="1">
      <c r="A189" s="1861" t="s">
        <v>1415</v>
      </c>
      <c r="B189" s="1865" t="s">
        <v>2142</v>
      </c>
      <c r="C189" s="1875"/>
      <c r="D189" s="1875"/>
      <c r="E189" s="1875"/>
      <c r="F189" s="1867">
        <v>0.05</v>
      </c>
    </row>
    <row r="190" spans="1:6" ht="24.75" thickBot="1">
      <c r="A190" s="1861" t="s">
        <v>1415</v>
      </c>
      <c r="B190" s="1865" t="s">
        <v>2143</v>
      </c>
      <c r="C190" s="1875"/>
      <c r="D190" s="1875"/>
      <c r="E190" s="1875"/>
      <c r="F190" s="1867">
        <v>0.05</v>
      </c>
    </row>
    <row r="191" spans="1:6" ht="24.75" thickBot="1">
      <c r="A191" s="1861" t="s">
        <v>1415</v>
      </c>
      <c r="B191" s="1865" t="s">
        <v>2144</v>
      </c>
      <c r="C191" s="1875"/>
      <c r="D191" s="1875"/>
      <c r="E191" s="1875"/>
      <c r="F191" s="1867">
        <v>0.05</v>
      </c>
    </row>
    <row r="192" spans="1:6" ht="24.75" thickBot="1">
      <c r="A192" s="1861" t="s">
        <v>1415</v>
      </c>
      <c r="B192" s="1865" t="s">
        <v>2145</v>
      </c>
      <c r="C192" s="1875"/>
      <c r="D192" s="1875"/>
      <c r="E192" s="1875"/>
      <c r="F192" s="1867">
        <v>0.05</v>
      </c>
    </row>
    <row r="193" spans="1:6" ht="24.75" thickBot="1">
      <c r="A193" s="1861" t="s">
        <v>1415</v>
      </c>
      <c r="B193" s="1865" t="s">
        <v>2146</v>
      </c>
      <c r="C193" s="1875"/>
      <c r="D193" s="1875"/>
      <c r="E193" s="1875"/>
      <c r="F193" s="1867">
        <v>0.05</v>
      </c>
    </row>
    <row r="194" spans="1:6" ht="24.75" thickBot="1">
      <c r="A194" s="1861" t="s">
        <v>1415</v>
      </c>
      <c r="B194" s="1865" t="s">
        <v>2147</v>
      </c>
      <c r="C194" s="1875"/>
      <c r="D194" s="1875"/>
      <c r="E194" s="1875"/>
      <c r="F194" s="1867">
        <v>0.05</v>
      </c>
    </row>
    <row r="195" spans="1:6" ht="14.25" thickBot="1">
      <c r="A195" s="1861" t="s">
        <v>1415</v>
      </c>
      <c r="B195" s="1865" t="s">
        <v>2148</v>
      </c>
      <c r="C195" s="1875"/>
      <c r="D195" s="1875"/>
      <c r="E195" s="1875"/>
      <c r="F195" s="1867">
        <v>0.05</v>
      </c>
    </row>
    <row r="196" spans="1:6" ht="24.75" thickBot="1">
      <c r="A196" s="1861" t="s">
        <v>1415</v>
      </c>
      <c r="B196" s="1865" t="s">
        <v>2149</v>
      </c>
      <c r="C196" s="1875"/>
      <c r="D196" s="1875"/>
      <c r="E196" s="1875"/>
      <c r="F196" s="1867">
        <v>0.05</v>
      </c>
    </row>
    <row r="197" spans="1:6" ht="24.75" thickBot="1">
      <c r="A197" s="1861" t="s">
        <v>1415</v>
      </c>
      <c r="B197" s="1865" t="s">
        <v>2150</v>
      </c>
      <c r="C197" s="1875"/>
      <c r="D197" s="1875"/>
      <c r="E197" s="1875"/>
      <c r="F197" s="1867">
        <v>0.05</v>
      </c>
    </row>
    <row r="198" spans="1:6" ht="24.75" thickBot="1">
      <c r="A198" s="1861" t="s">
        <v>1415</v>
      </c>
      <c r="B198" s="1865" t="s">
        <v>2151</v>
      </c>
      <c r="C198" s="1875"/>
      <c r="D198" s="1875"/>
      <c r="E198" s="1875"/>
      <c r="F198" s="1867">
        <v>0.05</v>
      </c>
    </row>
    <row r="199" spans="1:6" ht="24.75" thickBot="1">
      <c r="A199" s="1861" t="s">
        <v>1415</v>
      </c>
      <c r="B199" s="1865" t="s">
        <v>2152</v>
      </c>
      <c r="C199" s="1875"/>
      <c r="D199" s="1875"/>
      <c r="E199" s="1875"/>
      <c r="F199" s="1867">
        <v>0.05</v>
      </c>
    </row>
    <row r="200" spans="1:6" ht="24.75" thickBot="1">
      <c r="A200" s="1861" t="s">
        <v>1415</v>
      </c>
      <c r="B200" s="1865" t="s">
        <v>2153</v>
      </c>
      <c r="C200" s="1875"/>
      <c r="D200" s="1875"/>
      <c r="E200" s="1875"/>
      <c r="F200" s="1867">
        <v>0.05</v>
      </c>
    </row>
    <row r="201" spans="1:6" ht="24.75" thickBot="1">
      <c r="A201" s="1861" t="s">
        <v>1415</v>
      </c>
      <c r="B201" s="1865" t="s">
        <v>2154</v>
      </c>
      <c r="C201" s="1875"/>
      <c r="D201" s="1875"/>
      <c r="E201" s="1875"/>
      <c r="F201" s="1867">
        <v>0.05</v>
      </c>
    </row>
    <row r="202" spans="1:6" ht="24.75" thickBot="1">
      <c r="A202" s="1861" t="s">
        <v>1415</v>
      </c>
      <c r="B202" s="1865" t="s">
        <v>2155</v>
      </c>
      <c r="C202" s="1875"/>
      <c r="D202" s="1875"/>
      <c r="E202" s="1875"/>
      <c r="F202" s="1867">
        <v>0.05</v>
      </c>
    </row>
    <row r="203" spans="1:6" ht="24.75" thickBot="1">
      <c r="A203" s="1861" t="s">
        <v>1415</v>
      </c>
      <c r="B203" s="1865" t="s">
        <v>2156</v>
      </c>
      <c r="C203" s="1875"/>
      <c r="D203" s="1875"/>
      <c r="E203" s="1875"/>
      <c r="F203" s="1867">
        <v>0.05</v>
      </c>
    </row>
    <row r="204" spans="1:6" ht="14.25" thickBot="1">
      <c r="A204" s="1861" t="s">
        <v>1415</v>
      </c>
      <c r="B204" s="1865" t="s">
        <v>2157</v>
      </c>
      <c r="C204" s="1875"/>
      <c r="D204" s="1875"/>
      <c r="E204" s="1875"/>
      <c r="F204" s="1867">
        <v>0.05</v>
      </c>
    </row>
    <row r="205" spans="1:6" ht="14.25" thickBot="1">
      <c r="A205" s="1869" t="s">
        <v>1415</v>
      </c>
      <c r="B205" s="1876" t="s">
        <v>2158</v>
      </c>
      <c r="C205" s="1872"/>
      <c r="D205" s="1872"/>
      <c r="E205" s="1872"/>
      <c r="F205" s="1877">
        <v>0.05</v>
      </c>
    </row>
    <row r="206" spans="1:6" ht="14.25" thickBot="1">
      <c r="A206" s="1861" t="s">
        <v>1417</v>
      </c>
      <c r="B206" s="1862" t="s">
        <v>2159</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2160</v>
      </c>
      <c r="C210" s="1866">
        <v>0.15</v>
      </c>
      <c r="D210" s="1866">
        <v>0.15</v>
      </c>
      <c r="E210" s="1866">
        <v>0.15</v>
      </c>
      <c r="F210" s="1867">
        <v>0.13800000000000001</v>
      </c>
    </row>
    <row r="211" spans="1:6" ht="14.25" thickBot="1">
      <c r="A211" s="1861" t="s">
        <v>1417</v>
      </c>
      <c r="B211" s="1865" t="s">
        <v>2161</v>
      </c>
      <c r="C211" s="1866">
        <v>0.13700000000000001</v>
      </c>
      <c r="D211" s="1866">
        <v>0.13500000000000001</v>
      </c>
      <c r="E211" s="1866">
        <v>0.13600000000000001</v>
      </c>
      <c r="F211" s="1867">
        <v>0.1</v>
      </c>
    </row>
    <row r="212" spans="1:6" ht="14.25" thickBot="1">
      <c r="A212" s="1861" t="s">
        <v>1417</v>
      </c>
      <c r="B212" s="1865" t="s">
        <v>2162</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2163</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2164</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2165</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2166</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2167</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2168</v>
      </c>
      <c r="C231" s="1866">
        <v>0.128</v>
      </c>
      <c r="D231" s="1866">
        <v>0.125</v>
      </c>
      <c r="E231" s="1866">
        <v>0.13200000000000001</v>
      </c>
      <c r="F231" s="1874"/>
    </row>
    <row r="232" spans="1:6" ht="14.25" thickBot="1">
      <c r="A232" s="1861" t="s">
        <v>1417</v>
      </c>
      <c r="B232" s="1865" t="s">
        <v>2169</v>
      </c>
      <c r="C232" s="1866">
        <v>0.14499999999999999</v>
      </c>
      <c r="D232" s="1866">
        <v>0.14399999999999999</v>
      </c>
      <c r="E232" s="1866">
        <v>0.14599999999999999</v>
      </c>
      <c r="F232" s="1867">
        <v>0.13800000000000001</v>
      </c>
    </row>
    <row r="233" spans="1:6" ht="14.25" thickBot="1">
      <c r="A233" s="1861" t="s">
        <v>1417</v>
      </c>
      <c r="B233" s="1865" t="s">
        <v>2170</v>
      </c>
      <c r="C233" s="1866">
        <v>0.14499999999999999</v>
      </c>
      <c r="D233" s="1866">
        <v>0.14299999999999999</v>
      </c>
      <c r="E233" s="1866">
        <v>0.14199999999999999</v>
      </c>
      <c r="F233" s="1874"/>
    </row>
    <row r="234" spans="1:6" ht="14.25" thickBot="1">
      <c r="A234" s="1861" t="s">
        <v>1417</v>
      </c>
      <c r="B234" s="1865" t="s">
        <v>2171</v>
      </c>
      <c r="C234" s="1866">
        <v>0.14000000000000001</v>
      </c>
      <c r="D234" s="1866">
        <v>0.14000000000000001</v>
      </c>
      <c r="E234" s="1866">
        <v>0.14399999999999999</v>
      </c>
      <c r="F234" s="1874"/>
    </row>
    <row r="235" spans="1:6" ht="14.25" thickBot="1">
      <c r="A235" s="1861" t="s">
        <v>1417</v>
      </c>
      <c r="B235" s="1865" t="s">
        <v>2172</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2173</v>
      </c>
      <c r="C237" s="1875"/>
      <c r="D237" s="1875"/>
      <c r="E237" s="1875"/>
      <c r="F237" s="1867">
        <v>0.05</v>
      </c>
    </row>
    <row r="238" spans="1:6" ht="24.75" thickBot="1">
      <c r="A238" s="1861" t="s">
        <v>1417</v>
      </c>
      <c r="B238" s="1865" t="s">
        <v>2174</v>
      </c>
      <c r="C238" s="1875"/>
      <c r="D238" s="1875"/>
      <c r="E238" s="1875"/>
      <c r="F238" s="1867">
        <v>0.05</v>
      </c>
    </row>
    <row r="239" spans="1:6" ht="24.75" thickBot="1">
      <c r="A239" s="1861" t="s">
        <v>1417</v>
      </c>
      <c r="B239" s="1865" t="s">
        <v>2175</v>
      </c>
      <c r="C239" s="1875"/>
      <c r="D239" s="1875"/>
      <c r="E239" s="1875"/>
      <c r="F239" s="1867">
        <v>0.05</v>
      </c>
    </row>
    <row r="240" spans="1:6" ht="24.75" thickBot="1">
      <c r="A240" s="1861" t="s">
        <v>1417</v>
      </c>
      <c r="B240" s="1865" t="s">
        <v>2176</v>
      </c>
      <c r="C240" s="1875"/>
      <c r="D240" s="1875"/>
      <c r="E240" s="1875"/>
      <c r="F240" s="1867">
        <v>0.05</v>
      </c>
    </row>
    <row r="241" spans="1:6" ht="24.75" thickBot="1">
      <c r="A241" s="1861" t="s">
        <v>1417</v>
      </c>
      <c r="B241" s="1865" t="s">
        <v>2177</v>
      </c>
      <c r="C241" s="1875"/>
      <c r="D241" s="1875"/>
      <c r="E241" s="1875"/>
      <c r="F241" s="1867">
        <v>0.05</v>
      </c>
    </row>
    <row r="242" spans="1:6" ht="24.75" thickBot="1">
      <c r="A242" s="1861" t="s">
        <v>1417</v>
      </c>
      <c r="B242" s="1865" t="s">
        <v>2178</v>
      </c>
      <c r="C242" s="1875"/>
      <c r="D242" s="1875"/>
      <c r="E242" s="1875"/>
      <c r="F242" s="1867">
        <v>0.05</v>
      </c>
    </row>
    <row r="243" spans="1:6" ht="24.75" thickBot="1">
      <c r="A243" s="1861" t="s">
        <v>1417</v>
      </c>
      <c r="B243" s="1865" t="s">
        <v>2179</v>
      </c>
      <c r="C243" s="1875"/>
      <c r="D243" s="1875"/>
      <c r="E243" s="1875"/>
      <c r="F243" s="1867">
        <v>0.05</v>
      </c>
    </row>
    <row r="244" spans="1:6" ht="24.75" thickBot="1">
      <c r="A244" s="1869" t="s">
        <v>1417</v>
      </c>
      <c r="B244" s="1876" t="s">
        <v>2180</v>
      </c>
      <c r="C244" s="1872"/>
      <c r="D244" s="1872"/>
      <c r="E244" s="1872"/>
      <c r="F244" s="1877">
        <v>0.05</v>
      </c>
    </row>
    <row r="245" spans="1:6" ht="14.25" thickBot="1">
      <c r="A245" s="1861" t="s">
        <v>1419</v>
      </c>
      <c r="B245" s="1862" t="s">
        <v>2181</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2182</v>
      </c>
      <c r="C247" s="1866">
        <v>0.15</v>
      </c>
      <c r="D247" s="1866">
        <v>0.15</v>
      </c>
      <c r="E247" s="1866">
        <v>0.15</v>
      </c>
      <c r="F247" s="1867">
        <v>0.15</v>
      </c>
    </row>
    <row r="248" spans="1:6" ht="14.25" thickBot="1">
      <c r="A248" s="1861" t="s">
        <v>1419</v>
      </c>
      <c r="B248" s="1865" t="s">
        <v>2183</v>
      </c>
      <c r="C248" s="1866">
        <v>0.15</v>
      </c>
      <c r="D248" s="1866">
        <v>0.15</v>
      </c>
      <c r="E248" s="1866">
        <v>0.15</v>
      </c>
      <c r="F248" s="1867">
        <v>0.14000000000000001</v>
      </c>
    </row>
    <row r="249" spans="1:6" ht="14.25" thickBot="1">
      <c r="A249" s="1861" t="s">
        <v>1419</v>
      </c>
      <c r="B249" s="1865" t="s">
        <v>2184</v>
      </c>
      <c r="C249" s="1866">
        <v>0.15</v>
      </c>
      <c r="D249" s="1866">
        <v>0.14899999999999999</v>
      </c>
      <c r="E249" s="1866">
        <v>0.15</v>
      </c>
      <c r="F249" s="1867">
        <v>0.1</v>
      </c>
    </row>
    <row r="250" spans="1:6" ht="14.25" thickBot="1">
      <c r="A250" s="1861" t="s">
        <v>1419</v>
      </c>
      <c r="B250" s="1865" t="s">
        <v>2185</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2186</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2187</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2188</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2189</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2190</v>
      </c>
      <c r="C273" s="1866">
        <v>0.14199999999999999</v>
      </c>
      <c r="D273" s="1866">
        <v>0.14299999999999999</v>
      </c>
      <c r="E273" s="1866">
        <v>0.15</v>
      </c>
      <c r="F273" s="1867">
        <v>0.1</v>
      </c>
    </row>
    <row r="274" spans="1:6" ht="14.25" thickBot="1">
      <c r="A274" s="1861" t="s">
        <v>1419</v>
      </c>
      <c r="B274" s="1865" t="s">
        <v>2191</v>
      </c>
      <c r="C274" s="1866">
        <v>0.14799999999999999</v>
      </c>
      <c r="D274" s="1866">
        <v>0.14799999999999999</v>
      </c>
      <c r="E274" s="1866">
        <v>0.15</v>
      </c>
      <c r="F274" s="1867">
        <v>6.7000000000000004E-2</v>
      </c>
    </row>
    <row r="275" spans="1:6" ht="14.25" thickBot="1">
      <c r="A275" s="1861" t="s">
        <v>1419</v>
      </c>
      <c r="B275" s="1865" t="s">
        <v>2192</v>
      </c>
      <c r="C275" s="1866">
        <v>0.15</v>
      </c>
      <c r="D275" s="1866">
        <v>0.15</v>
      </c>
      <c r="E275" s="1866">
        <v>0.15</v>
      </c>
      <c r="F275" s="1867">
        <v>0.15</v>
      </c>
    </row>
    <row r="276" spans="1:6" ht="14.25" thickBot="1">
      <c r="A276" s="1861" t="s">
        <v>1419</v>
      </c>
      <c r="B276" s="1865" t="s">
        <v>2193</v>
      </c>
      <c r="C276" s="1866">
        <v>0.14499999999999999</v>
      </c>
      <c r="D276" s="1866">
        <v>0.14299999999999999</v>
      </c>
      <c r="E276" s="1866">
        <v>0.15</v>
      </c>
      <c r="F276" s="1867">
        <v>5.8999999999999997E-2</v>
      </c>
    </row>
    <row r="277" spans="1:6" ht="14.25" thickBot="1">
      <c r="A277" s="1861" t="s">
        <v>1419</v>
      </c>
      <c r="B277" s="1865" t="s">
        <v>2194</v>
      </c>
      <c r="C277" s="1866">
        <v>0.15</v>
      </c>
      <c r="D277" s="1866">
        <v>0.15</v>
      </c>
      <c r="E277" s="1866">
        <v>0.15</v>
      </c>
      <c r="F277" s="1867">
        <v>0.121</v>
      </c>
    </row>
    <row r="278" spans="1:6" ht="14.25" thickBot="1">
      <c r="A278" s="1861" t="s">
        <v>1419</v>
      </c>
      <c r="B278" s="1865" t="s">
        <v>2195</v>
      </c>
      <c r="C278" s="1866">
        <v>0.15</v>
      </c>
      <c r="D278" s="1866">
        <v>0.15</v>
      </c>
      <c r="E278" s="1866">
        <v>0.15</v>
      </c>
      <c r="F278" s="1867">
        <v>0.13800000000000001</v>
      </c>
    </row>
    <row r="279" spans="1:6" ht="24.75" thickBot="1">
      <c r="A279" s="1861" t="s">
        <v>1419</v>
      </c>
      <c r="B279" s="1865" t="s">
        <v>2196</v>
      </c>
      <c r="C279" s="1875"/>
      <c r="D279" s="1875"/>
      <c r="E279" s="1875"/>
      <c r="F279" s="1867">
        <v>0.05</v>
      </c>
    </row>
    <row r="280" spans="1:6" ht="24.75" thickBot="1">
      <c r="A280" s="1861" t="s">
        <v>1419</v>
      </c>
      <c r="B280" s="1865" t="s">
        <v>2197</v>
      </c>
      <c r="C280" s="1875"/>
      <c r="D280" s="1875"/>
      <c r="E280" s="1875"/>
      <c r="F280" s="1867">
        <v>0.05</v>
      </c>
    </row>
    <row r="281" spans="1:6" ht="24.75" thickBot="1">
      <c r="A281" s="1861" t="s">
        <v>1419</v>
      </c>
      <c r="B281" s="1865" t="s">
        <v>2198</v>
      </c>
      <c r="C281" s="1875"/>
      <c r="D281" s="1875"/>
      <c r="E281" s="1875"/>
      <c r="F281" s="1867">
        <v>0.05</v>
      </c>
    </row>
    <row r="282" spans="1:6" ht="24.75" thickBot="1">
      <c r="A282" s="1861" t="s">
        <v>1419</v>
      </c>
      <c r="B282" s="1865" t="s">
        <v>2199</v>
      </c>
      <c r="C282" s="1875"/>
      <c r="D282" s="1875"/>
      <c r="E282" s="1875"/>
      <c r="F282" s="1867">
        <v>0.05</v>
      </c>
    </row>
    <row r="283" spans="1:6" ht="24.75" thickBot="1">
      <c r="A283" s="1861" t="s">
        <v>1419</v>
      </c>
      <c r="B283" s="1865" t="s">
        <v>2200</v>
      </c>
      <c r="C283" s="1875"/>
      <c r="D283" s="1875"/>
      <c r="E283" s="1875"/>
      <c r="F283" s="1867">
        <v>0.05</v>
      </c>
    </row>
    <row r="284" spans="1:6" ht="24.75" thickBot="1">
      <c r="A284" s="1861" t="s">
        <v>1419</v>
      </c>
      <c r="B284" s="1865" t="s">
        <v>2201</v>
      </c>
      <c r="C284" s="1875"/>
      <c r="D284" s="1875"/>
      <c r="E284" s="1875"/>
      <c r="F284" s="1867">
        <v>0.05</v>
      </c>
    </row>
    <row r="285" spans="1:6" ht="24.75" thickBot="1">
      <c r="A285" s="1861" t="s">
        <v>1419</v>
      </c>
      <c r="B285" s="1865" t="s">
        <v>2202</v>
      </c>
      <c r="C285" s="1875"/>
      <c r="D285" s="1875"/>
      <c r="E285" s="1875"/>
      <c r="F285" s="1867">
        <v>0.05</v>
      </c>
    </row>
    <row r="286" spans="1:6" ht="24.75" thickBot="1">
      <c r="A286" s="1861" t="s">
        <v>1419</v>
      </c>
      <c r="B286" s="1865" t="s">
        <v>2203</v>
      </c>
      <c r="C286" s="1875"/>
      <c r="D286" s="1875"/>
      <c r="E286" s="1875"/>
      <c r="F286" s="1867">
        <v>0.05</v>
      </c>
    </row>
    <row r="287" spans="1:6" ht="24.75" thickBot="1">
      <c r="A287" s="1861" t="s">
        <v>1419</v>
      </c>
      <c r="B287" s="1865" t="s">
        <v>2204</v>
      </c>
      <c r="C287" s="1875"/>
      <c r="D287" s="1875"/>
      <c r="E287" s="1875"/>
      <c r="F287" s="1867">
        <v>0.05</v>
      </c>
    </row>
    <row r="288" spans="1:6" ht="24.75" thickBot="1">
      <c r="A288" s="1861" t="s">
        <v>1419</v>
      </c>
      <c r="B288" s="1865" t="s">
        <v>2205</v>
      </c>
      <c r="C288" s="1875"/>
      <c r="D288" s="1875"/>
      <c r="E288" s="1875"/>
      <c r="F288" s="1867">
        <v>0.05</v>
      </c>
    </row>
    <row r="289" spans="1:6" ht="24.75" thickBot="1">
      <c r="A289" s="1869" t="s">
        <v>1419</v>
      </c>
      <c r="B289" s="1876" t="s">
        <v>2206</v>
      </c>
      <c r="C289" s="1872"/>
      <c r="D289" s="1872"/>
      <c r="E289" s="1872"/>
      <c r="F289" s="1877">
        <v>0.05</v>
      </c>
    </row>
    <row r="290" spans="1:6" ht="14.25" thickBot="1">
      <c r="A290" s="1861" t="s">
        <v>1423</v>
      </c>
      <c r="B290" s="1862" t="s">
        <v>2207</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2208</v>
      </c>
      <c r="C292" s="1866">
        <v>0.15</v>
      </c>
      <c r="D292" s="1866">
        <v>0.15</v>
      </c>
      <c r="E292" s="1866">
        <v>0.15</v>
      </c>
      <c r="F292" s="1867">
        <v>0.14699999999999999</v>
      </c>
    </row>
    <row r="293" spans="1:6" ht="14.25" thickBot="1">
      <c r="A293" s="1861" t="s">
        <v>1423</v>
      </c>
      <c r="B293" s="1865" t="s">
        <v>2209</v>
      </c>
      <c r="C293" s="1875"/>
      <c r="D293" s="1875"/>
      <c r="E293" s="1875"/>
      <c r="F293" s="1867">
        <v>0.1</v>
      </c>
    </row>
    <row r="294" spans="1:6" ht="14.25" thickBot="1">
      <c r="A294" s="1861" t="s">
        <v>1423</v>
      </c>
      <c r="B294" s="1865" t="s">
        <v>2210</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2211</v>
      </c>
      <c r="C296" s="1866">
        <v>0.15</v>
      </c>
      <c r="D296" s="1866">
        <v>0.15</v>
      </c>
      <c r="E296" s="1866">
        <v>0.15</v>
      </c>
      <c r="F296" s="1867">
        <v>0.15</v>
      </c>
    </row>
    <row r="297" spans="1:6" ht="14.25" thickBot="1">
      <c r="A297" s="1861" t="s">
        <v>1423</v>
      </c>
      <c r="B297" s="1865" t="s">
        <v>2212</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2213</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2214</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2215</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2216</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2217</v>
      </c>
      <c r="C310" s="1866">
        <v>0.15</v>
      </c>
      <c r="D310" s="1866">
        <v>0.15</v>
      </c>
      <c r="E310" s="1866">
        <v>0.15</v>
      </c>
      <c r="F310" s="1867">
        <v>0.13700000000000001</v>
      </c>
    </row>
    <row r="311" spans="1:6" ht="14.25" thickBot="1">
      <c r="A311" s="1861" t="s">
        <v>1423</v>
      </c>
      <c r="B311" s="1865" t="s">
        <v>2218</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2219</v>
      </c>
      <c r="C313" s="1866">
        <v>0.15</v>
      </c>
      <c r="D313" s="1866">
        <v>0.15</v>
      </c>
      <c r="E313" s="1866">
        <v>0.15</v>
      </c>
      <c r="F313" s="1867">
        <v>0.15</v>
      </c>
    </row>
    <row r="314" spans="1:6" ht="24.75" thickBot="1">
      <c r="A314" s="1861" t="s">
        <v>1423</v>
      </c>
      <c r="B314" s="1865" t="s">
        <v>2220</v>
      </c>
      <c r="C314" s="1875"/>
      <c r="D314" s="1875"/>
      <c r="E314" s="1875"/>
      <c r="F314" s="1867">
        <v>0.05</v>
      </c>
    </row>
    <row r="315" spans="1:6" ht="24.75" thickBot="1">
      <c r="A315" s="1861" t="s">
        <v>1423</v>
      </c>
      <c r="B315" s="1865" t="s">
        <v>2221</v>
      </c>
      <c r="C315" s="1875"/>
      <c r="D315" s="1875"/>
      <c r="E315" s="1875"/>
      <c r="F315" s="1867">
        <v>0.05</v>
      </c>
    </row>
    <row r="316" spans="1:6" ht="24.75" thickBot="1">
      <c r="A316" s="1869" t="s">
        <v>1423</v>
      </c>
      <c r="B316" s="1876" t="s">
        <v>2222</v>
      </c>
      <c r="C316" s="1872"/>
      <c r="D316" s="1872"/>
      <c r="E316" s="1872"/>
      <c r="F316" s="1877">
        <v>0.05</v>
      </c>
    </row>
    <row r="317" spans="1:6" ht="14.25" thickBot="1">
      <c r="A317" s="1861" t="s">
        <v>2223</v>
      </c>
      <c r="B317" s="1862" t="s">
        <v>2224</v>
      </c>
      <c r="C317" s="1863">
        <v>0.15</v>
      </c>
      <c r="D317" s="1863">
        <v>0.15</v>
      </c>
      <c r="E317" s="1863">
        <v>0.15</v>
      </c>
      <c r="F317" s="1864">
        <v>0.15</v>
      </c>
    </row>
    <row r="318" spans="1:6" ht="14.25" thickBot="1">
      <c r="A318" s="1861" t="s">
        <v>2223</v>
      </c>
      <c r="B318" s="1865" t="s">
        <v>2225</v>
      </c>
      <c r="C318" s="1866">
        <v>0.107</v>
      </c>
      <c r="D318" s="1866">
        <v>0.11</v>
      </c>
      <c r="E318" s="1866">
        <v>0.112</v>
      </c>
      <c r="F318" s="1874"/>
    </row>
    <row r="319" spans="1:6" ht="14.25" thickBot="1">
      <c r="A319" s="1861" t="s">
        <v>2223</v>
      </c>
      <c r="B319" s="1865" t="s">
        <v>2226</v>
      </c>
      <c r="C319" s="1866">
        <v>0.15</v>
      </c>
      <c r="D319" s="1866">
        <v>0.15</v>
      </c>
      <c r="E319" s="1866">
        <v>0.15</v>
      </c>
      <c r="F319" s="1867">
        <v>0.15</v>
      </c>
    </row>
    <row r="320" spans="1:6" ht="14.25" thickBot="1">
      <c r="A320" s="1861" t="s">
        <v>2223</v>
      </c>
      <c r="B320" s="1865" t="s">
        <v>1111</v>
      </c>
      <c r="C320" s="1866">
        <v>0.15</v>
      </c>
      <c r="D320" s="1866">
        <v>0.15</v>
      </c>
      <c r="E320" s="1866">
        <v>0.15</v>
      </c>
      <c r="F320" s="1874"/>
    </row>
    <row r="321" spans="1:6" ht="14.25" thickBot="1">
      <c r="A321" s="1861" t="s">
        <v>2223</v>
      </c>
      <c r="B321" s="1865" t="s">
        <v>2227</v>
      </c>
      <c r="C321" s="1866">
        <v>0.15</v>
      </c>
      <c r="D321" s="1866">
        <v>0.15</v>
      </c>
      <c r="E321" s="1866">
        <v>0.15</v>
      </c>
      <c r="F321" s="1874"/>
    </row>
    <row r="322" spans="1:6" ht="14.25" thickBot="1">
      <c r="A322" s="1861" t="s">
        <v>2223</v>
      </c>
      <c r="B322" s="1865" t="s">
        <v>2228</v>
      </c>
      <c r="C322" s="1866">
        <v>0.15</v>
      </c>
      <c r="D322" s="1866">
        <v>0.15</v>
      </c>
      <c r="E322" s="1866">
        <v>0.15</v>
      </c>
      <c r="F322" s="1867">
        <v>0.15</v>
      </c>
    </row>
    <row r="323" spans="1:6" ht="14.25" thickBot="1">
      <c r="A323" s="1861" t="s">
        <v>2223</v>
      </c>
      <c r="B323" s="1865" t="s">
        <v>2229</v>
      </c>
      <c r="C323" s="1866">
        <v>0.15</v>
      </c>
      <c r="D323" s="1866">
        <v>0.15</v>
      </c>
      <c r="E323" s="1866">
        <v>0.15</v>
      </c>
      <c r="F323" s="1874"/>
    </row>
    <row r="324" spans="1:6" ht="14.25" thickBot="1">
      <c r="A324" s="1861" t="s">
        <v>2223</v>
      </c>
      <c r="B324" s="1865" t="s">
        <v>2230</v>
      </c>
      <c r="C324" s="1866">
        <v>0.15</v>
      </c>
      <c r="D324" s="1866">
        <v>0.15</v>
      </c>
      <c r="E324" s="1866">
        <v>0.15</v>
      </c>
      <c r="F324" s="1874"/>
    </row>
    <row r="325" spans="1:6" ht="14.25" thickBot="1">
      <c r="A325" s="1861" t="s">
        <v>2223</v>
      </c>
      <c r="B325" s="1865" t="s">
        <v>2231</v>
      </c>
      <c r="C325" s="1866">
        <v>0.15</v>
      </c>
      <c r="D325" s="1866">
        <v>0.15</v>
      </c>
      <c r="E325" s="1866">
        <v>0.15</v>
      </c>
      <c r="F325" s="1867">
        <v>0.14699999999999999</v>
      </c>
    </row>
    <row r="326" spans="1:6" ht="14.25" thickBot="1">
      <c r="A326" s="1861" t="s">
        <v>2223</v>
      </c>
      <c r="B326" s="1865" t="s">
        <v>1180</v>
      </c>
      <c r="C326" s="1866">
        <v>0.15</v>
      </c>
      <c r="D326" s="1866">
        <v>0.15</v>
      </c>
      <c r="E326" s="1866">
        <v>0.15</v>
      </c>
      <c r="F326" s="1874"/>
    </row>
    <row r="327" spans="1:6" ht="14.25" thickBot="1">
      <c r="A327" s="1861" t="s">
        <v>2223</v>
      </c>
      <c r="B327" s="1865" t="s">
        <v>2232</v>
      </c>
      <c r="C327" s="1866">
        <v>0.15</v>
      </c>
      <c r="D327" s="1866">
        <v>0.15</v>
      </c>
      <c r="E327" s="1866">
        <v>0.15</v>
      </c>
      <c r="F327" s="1867">
        <v>0.15</v>
      </c>
    </row>
    <row r="328" spans="1:6" ht="14.25" thickBot="1">
      <c r="A328" s="1861" t="s">
        <v>2223</v>
      </c>
      <c r="B328" s="1865" t="s">
        <v>1200</v>
      </c>
      <c r="C328" s="1866">
        <v>0.15</v>
      </c>
      <c r="D328" s="1866">
        <v>0.15</v>
      </c>
      <c r="E328" s="1866">
        <v>0.15</v>
      </c>
      <c r="F328" s="1867">
        <v>0.14099999999999999</v>
      </c>
    </row>
    <row r="329" spans="1:6" ht="14.25" thickBot="1">
      <c r="A329" s="1861" t="s">
        <v>2223</v>
      </c>
      <c r="B329" s="1865" t="s">
        <v>1210</v>
      </c>
      <c r="C329" s="1866">
        <v>0.15</v>
      </c>
      <c r="D329" s="1866">
        <v>0.15</v>
      </c>
      <c r="E329" s="1866">
        <v>0.15</v>
      </c>
      <c r="F329" s="1867">
        <v>0.15</v>
      </c>
    </row>
    <row r="330" spans="1:6" ht="14.25" thickBot="1">
      <c r="A330" s="1861" t="s">
        <v>2223</v>
      </c>
      <c r="B330" s="1865" t="s">
        <v>1220</v>
      </c>
      <c r="C330" s="1866">
        <v>0.15</v>
      </c>
      <c r="D330" s="1866">
        <v>0.15</v>
      </c>
      <c r="E330" s="1866">
        <v>0.15</v>
      </c>
      <c r="F330" s="1874"/>
    </row>
    <row r="331" spans="1:6" ht="14.25" thickBot="1">
      <c r="A331" s="1861" t="s">
        <v>2223</v>
      </c>
      <c r="B331" s="1865" t="s">
        <v>2233</v>
      </c>
      <c r="C331" s="1866">
        <v>0.15</v>
      </c>
      <c r="D331" s="1866">
        <v>0.15</v>
      </c>
      <c r="E331" s="1866">
        <v>0.15</v>
      </c>
      <c r="F331" s="1867">
        <v>0.15</v>
      </c>
    </row>
    <row r="332" spans="1:6" ht="14.25" thickBot="1">
      <c r="A332" s="1861" t="s">
        <v>2223</v>
      </c>
      <c r="B332" s="1865" t="s">
        <v>1240</v>
      </c>
      <c r="C332" s="1866">
        <v>0.15</v>
      </c>
      <c r="D332" s="1866">
        <v>0.15</v>
      </c>
      <c r="E332" s="1866">
        <v>0.15</v>
      </c>
      <c r="F332" s="1867">
        <v>0.15</v>
      </c>
    </row>
    <row r="333" spans="1:6" ht="14.25" thickBot="1">
      <c r="A333" s="1861" t="s">
        <v>2223</v>
      </c>
      <c r="B333" s="1865" t="s">
        <v>2234</v>
      </c>
      <c r="C333" s="1866">
        <v>0.15</v>
      </c>
      <c r="D333" s="1866">
        <v>0.15</v>
      </c>
      <c r="E333" s="1866">
        <v>0.15</v>
      </c>
      <c r="F333" s="1867">
        <v>0.14099999999999999</v>
      </c>
    </row>
    <row r="334" spans="1:6" ht="14.25" thickBot="1">
      <c r="A334" s="1861" t="s">
        <v>2223</v>
      </c>
      <c r="B334" s="1865" t="s">
        <v>1260</v>
      </c>
      <c r="C334" s="1866">
        <v>0.15</v>
      </c>
      <c r="D334" s="1866">
        <v>0.15</v>
      </c>
      <c r="E334" s="1866">
        <v>0.15</v>
      </c>
      <c r="F334" s="1867">
        <v>0.15</v>
      </c>
    </row>
    <row r="335" spans="1:6" ht="14.25" thickBot="1">
      <c r="A335" s="1861" t="s">
        <v>2223</v>
      </c>
      <c r="B335" s="1865" t="s">
        <v>1270</v>
      </c>
      <c r="C335" s="1866">
        <v>0.15</v>
      </c>
      <c r="D335" s="1866">
        <v>0.15</v>
      </c>
      <c r="E335" s="1866">
        <v>0.15</v>
      </c>
      <c r="F335" s="1874"/>
    </row>
    <row r="336" spans="1:6" ht="14.25" thickBot="1">
      <c r="A336" s="1861" t="s">
        <v>2223</v>
      </c>
      <c r="B336" s="1865" t="s">
        <v>2235</v>
      </c>
      <c r="C336" s="1866">
        <v>0.15</v>
      </c>
      <c r="D336" s="1866">
        <v>0.15</v>
      </c>
      <c r="E336" s="1866">
        <v>0.15</v>
      </c>
      <c r="F336" s="1867">
        <v>0.11799999999999999</v>
      </c>
    </row>
    <row r="337" spans="1:6" ht="14.25" thickBot="1">
      <c r="A337" s="1869" t="s">
        <v>2223</v>
      </c>
      <c r="B337" s="1876" t="s">
        <v>1288</v>
      </c>
      <c r="C337" s="1872"/>
      <c r="D337" s="1872"/>
      <c r="E337" s="1872"/>
      <c r="F337" s="1877">
        <v>0.14299999999999999</v>
      </c>
    </row>
    <row r="338" spans="1:6" ht="14.25" thickBot="1">
      <c r="A338" s="1861" t="s">
        <v>2236</v>
      </c>
      <c r="B338" s="1862" t="s">
        <v>2237</v>
      </c>
      <c r="C338" s="1863">
        <v>0.15</v>
      </c>
      <c r="D338" s="1863">
        <v>0.15</v>
      </c>
      <c r="E338" s="1863">
        <v>0.15</v>
      </c>
      <c r="F338" s="1885"/>
    </row>
    <row r="339" spans="1:6" ht="14.25" thickBot="1">
      <c r="A339" s="1861" t="s">
        <v>2236</v>
      </c>
      <c r="B339" s="1865" t="s">
        <v>2238</v>
      </c>
      <c r="C339" s="1866">
        <v>0.15</v>
      </c>
      <c r="D339" s="1866">
        <v>0.15</v>
      </c>
      <c r="E339" s="1866">
        <v>0.15</v>
      </c>
      <c r="F339" s="1874"/>
    </row>
    <row r="340" spans="1:6" ht="14.25" thickBot="1">
      <c r="A340" s="1861" t="s">
        <v>2236</v>
      </c>
      <c r="B340" s="1865" t="s">
        <v>2239</v>
      </c>
      <c r="C340" s="1866">
        <v>0.15</v>
      </c>
      <c r="D340" s="1866">
        <v>0.15</v>
      </c>
      <c r="E340" s="1866">
        <v>0.15</v>
      </c>
      <c r="F340" s="1874"/>
    </row>
    <row r="341" spans="1:6" ht="14.25" thickBot="1">
      <c r="A341" s="1861" t="s">
        <v>2240</v>
      </c>
      <c r="B341" s="1865" t="s">
        <v>2241</v>
      </c>
      <c r="C341" s="1866">
        <v>0.15</v>
      </c>
      <c r="D341" s="1866">
        <v>0.15</v>
      </c>
      <c r="E341" s="1866">
        <v>0.15</v>
      </c>
      <c r="F341" s="1867">
        <v>0.15</v>
      </c>
    </row>
    <row r="342" spans="1:6" ht="14.25" thickBot="1">
      <c r="A342" s="1861" t="s">
        <v>2236</v>
      </c>
      <c r="B342" s="1865" t="s">
        <v>2242</v>
      </c>
      <c r="C342" s="1866">
        <v>0.15</v>
      </c>
      <c r="D342" s="1866">
        <v>0.15</v>
      </c>
      <c r="E342" s="1866">
        <v>0.15</v>
      </c>
      <c r="F342" s="1867">
        <v>0.15</v>
      </c>
    </row>
    <row r="343" spans="1:6" ht="14.25" thickBot="1">
      <c r="A343" s="1861" t="s">
        <v>2236</v>
      </c>
      <c r="B343" s="1865" t="s">
        <v>2243</v>
      </c>
      <c r="C343" s="1866">
        <v>0.15</v>
      </c>
      <c r="D343" s="1866">
        <v>0.15</v>
      </c>
      <c r="E343" s="1866">
        <v>0.15</v>
      </c>
      <c r="F343" s="1867">
        <v>0.15</v>
      </c>
    </row>
    <row r="344" spans="1:6" ht="14.25" thickBot="1">
      <c r="A344" s="1869" t="s">
        <v>2236</v>
      </c>
      <c r="B344" s="1876" t="s">
        <v>2244</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7" t="s">
        <v>2967</v>
      </c>
      <c r="B1" s="3149"/>
      <c r="C1" s="3149"/>
      <c r="D1" s="3149"/>
      <c r="E1" s="3149"/>
      <c r="F1" s="3149"/>
    </row>
    <row r="2" spans="1:6" ht="14.25">
      <c r="A2" s="3150" t="s">
        <v>2961</v>
      </c>
      <c r="B2" s="3151" t="e">
        <f ca="1">SUMIF(B7:B14,"&lt;&gt;#ref!",B7:B14)</f>
        <v>#DIV/0!</v>
      </c>
      <c r="C2" s="3150" t="s">
        <v>2962</v>
      </c>
      <c r="D2" s="3149"/>
      <c r="E2" s="3149"/>
      <c r="F2" s="3149"/>
    </row>
    <row r="3" spans="1:6" ht="14.25">
      <c r="A3" s="3150" t="s">
        <v>2964</v>
      </c>
      <c r="B3" s="3151" t="e">
        <f ca="1">ROUND(B2*10000/E3,0)</f>
        <v>#DIV/0!</v>
      </c>
      <c r="C3" s="3150" t="s">
        <v>2085</v>
      </c>
      <c r="D3" s="3150" t="s">
        <v>2963</v>
      </c>
      <c r="E3" s="3151" t="e">
        <f ca="1">SUM(E7:E14)</f>
        <v>#REF!</v>
      </c>
      <c r="F3" s="3149"/>
    </row>
    <row r="4" spans="1:6" ht="14.25">
      <c r="A4" s="3150" t="s">
        <v>2971</v>
      </c>
      <c r="B4" s="3151" t="e">
        <f ca="1">ROUND(B2*10000/E4,0)</f>
        <v>#DIV/0!</v>
      </c>
      <c r="C4" s="3150" t="s">
        <v>2085</v>
      </c>
      <c r="D4" s="3150" t="s">
        <v>2972</v>
      </c>
      <c r="E4" s="3151" t="e">
        <f ca="1">SUM(F7:F14)</f>
        <v>#REF!</v>
      </c>
      <c r="F4" s="3149"/>
    </row>
    <row r="5" spans="1:6" ht="14.25">
      <c r="A5" s="3152"/>
      <c r="B5" s="1887"/>
      <c r="C5" s="1887"/>
      <c r="D5" s="1887"/>
      <c r="E5" s="1887"/>
      <c r="F5" s="3149"/>
    </row>
    <row r="6" spans="1:6" ht="28.5">
      <c r="A6" s="3153" t="s">
        <v>2968</v>
      </c>
      <c r="B6" s="3150" t="s">
        <v>2965</v>
      </c>
      <c r="C6" s="3151"/>
      <c r="D6" s="1887"/>
      <c r="E6" s="3150" t="s">
        <v>2966</v>
      </c>
      <c r="F6" s="3150" t="s">
        <v>2970</v>
      </c>
    </row>
    <row r="7" spans="1:6" ht="14.25">
      <c r="A7" s="260" t="s">
        <v>2969</v>
      </c>
      <c r="B7" s="3154" t="e">
        <f ca="1">SUMIF(INDIRECT("'"&amp;A7&amp;"'"&amp;"!A:A"),"总价",INDIRECT("'"&amp;A7&amp;"'"&amp;"!B:B"))</f>
        <v>#DIV/0!</v>
      </c>
      <c r="C7" s="3150" t="s">
        <v>2962</v>
      </c>
      <c r="D7" s="1887"/>
      <c r="E7" s="3155">
        <f ca="1">SUMIF(INDIRECT("'"&amp;A7&amp;"'"&amp;"!C:C"),"建筑面积",INDIRECT("'"&amp;A7&amp;"'"&amp;"!D:D"))</f>
        <v>0</v>
      </c>
      <c r="F7" s="3155">
        <f ca="1">SUMIF(INDIRECT("'"&amp;A7&amp;"'"&amp;"!E:E"),"土地面积",INDIRECT("'"&amp;A7&amp;"'"&amp;"!F:F"))</f>
        <v>0</v>
      </c>
    </row>
    <row r="8" spans="1:6" ht="14.25">
      <c r="A8" s="260"/>
      <c r="B8" s="3154" t="e">
        <f t="shared" ref="B8:B14" ca="1" si="0">SUMIF(INDIRECT("'"&amp;A8&amp;"'"&amp;"!A:A"),"总价",INDIRECT("'"&amp;A8&amp;"'"&amp;"!B:B"))</f>
        <v>#REF!</v>
      </c>
      <c r="C8" s="3150" t="s">
        <v>2962</v>
      </c>
      <c r="D8" s="1887"/>
      <c r="E8" s="3155" t="e">
        <f t="shared" ref="E8:E14" ca="1" si="1">SUMIF(INDIRECT("'"&amp;A8&amp;"'"&amp;"!C:C"),"建筑面积",INDIRECT("'"&amp;A8&amp;"'"&amp;"!D:D"))</f>
        <v>#REF!</v>
      </c>
      <c r="F8" s="3155" t="e">
        <f t="shared" ref="F8:F14" ca="1" si="2">SUMIF(INDIRECT("'"&amp;A8&amp;"'"&amp;"!E:E"),"土地面积",INDIRECT("'"&amp;A8&amp;"'"&amp;"!F:F"))</f>
        <v>#REF!</v>
      </c>
    </row>
    <row r="9" spans="1:6" ht="14.25">
      <c r="A9" s="260"/>
      <c r="B9" s="3154" t="e">
        <f t="shared" ca="1" si="0"/>
        <v>#REF!</v>
      </c>
      <c r="C9" s="3150" t="s">
        <v>2962</v>
      </c>
      <c r="D9" s="1887"/>
      <c r="E9" s="3155" t="e">
        <f t="shared" ca="1" si="1"/>
        <v>#REF!</v>
      </c>
      <c r="F9" s="3155" t="e">
        <f t="shared" ca="1" si="2"/>
        <v>#REF!</v>
      </c>
    </row>
    <row r="10" spans="1:6" ht="14.25">
      <c r="A10" s="260"/>
      <c r="B10" s="3154" t="e">
        <f t="shared" ca="1" si="0"/>
        <v>#REF!</v>
      </c>
      <c r="C10" s="3150" t="s">
        <v>2962</v>
      </c>
      <c r="D10" s="1887"/>
      <c r="E10" s="3155" t="e">
        <f t="shared" ca="1" si="1"/>
        <v>#REF!</v>
      </c>
      <c r="F10" s="3155" t="e">
        <f t="shared" ca="1" si="2"/>
        <v>#REF!</v>
      </c>
    </row>
    <row r="11" spans="1:6" ht="14.25">
      <c r="A11" s="260"/>
      <c r="B11" s="3154" t="e">
        <f t="shared" ca="1" si="0"/>
        <v>#REF!</v>
      </c>
      <c r="C11" s="3150" t="s">
        <v>2962</v>
      </c>
      <c r="D11" s="1887"/>
      <c r="E11" s="3155" t="e">
        <f t="shared" ca="1" si="1"/>
        <v>#REF!</v>
      </c>
      <c r="F11" s="3155" t="e">
        <f t="shared" ca="1" si="2"/>
        <v>#REF!</v>
      </c>
    </row>
    <row r="12" spans="1:6" ht="14.25">
      <c r="A12" s="260"/>
      <c r="B12" s="3154" t="e">
        <f t="shared" ca="1" si="0"/>
        <v>#REF!</v>
      </c>
      <c r="C12" s="3150" t="s">
        <v>2962</v>
      </c>
      <c r="D12" s="1887"/>
      <c r="E12" s="3155" t="e">
        <f t="shared" ca="1" si="1"/>
        <v>#REF!</v>
      </c>
      <c r="F12" s="3155" t="e">
        <f t="shared" ca="1" si="2"/>
        <v>#REF!</v>
      </c>
    </row>
    <row r="13" spans="1:6" ht="14.25">
      <c r="A13" s="260"/>
      <c r="B13" s="3154" t="e">
        <f t="shared" ca="1" si="0"/>
        <v>#REF!</v>
      </c>
      <c r="C13" s="3150" t="s">
        <v>2962</v>
      </c>
      <c r="D13" s="1887"/>
      <c r="E13" s="3155" t="e">
        <f t="shared" ca="1" si="1"/>
        <v>#REF!</v>
      </c>
      <c r="F13" s="3155" t="e">
        <f t="shared" ca="1" si="2"/>
        <v>#REF!</v>
      </c>
    </row>
    <row r="14" spans="1:6" ht="14.25">
      <c r="A14" s="3148"/>
      <c r="B14" s="3154" t="e">
        <f t="shared" ca="1" si="0"/>
        <v>#REF!</v>
      </c>
      <c r="C14" s="3150" t="s">
        <v>2962</v>
      </c>
      <c r="D14" s="1887"/>
      <c r="E14" s="3155" t="e">
        <f t="shared" ca="1" si="1"/>
        <v>#REF!</v>
      </c>
      <c r="F14" s="315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07" t="s">
        <v>2586</v>
      </c>
      <c r="C1" s="3407"/>
      <c r="D1" s="3407"/>
      <c r="E1" s="3407"/>
      <c r="F1" s="3407"/>
      <c r="G1" s="3406" t="s">
        <v>2587</v>
      </c>
      <c r="H1" s="3406"/>
      <c r="I1" s="3406"/>
      <c r="J1" s="3406"/>
      <c r="K1" s="3406"/>
      <c r="L1" s="3406"/>
      <c r="N1" s="3406" t="s">
        <v>2588</v>
      </c>
      <c r="O1" s="3406"/>
      <c r="P1" s="3406"/>
      <c r="Q1" s="3406"/>
      <c r="R1" s="2690"/>
      <c r="S1" s="3406" t="s">
        <v>2589</v>
      </c>
      <c r="T1" s="3406"/>
      <c r="U1" s="3406"/>
      <c r="V1" s="3406"/>
      <c r="X1" s="3405" t="s">
        <v>2651</v>
      </c>
      <c r="Y1" s="3406"/>
      <c r="Z1" s="3406"/>
      <c r="AA1" s="3406"/>
      <c r="AB1" s="3406"/>
      <c r="AD1" s="3405" t="s">
        <v>2656</v>
      </c>
      <c r="AE1" s="3406"/>
      <c r="AF1" s="3406"/>
      <c r="AG1" s="3406"/>
      <c r="AH1" s="3406"/>
    </row>
    <row r="2" spans="1:34" s="2793" customFormat="1" ht="14.25" thickBot="1">
      <c r="B2" s="2803" t="s">
        <v>2590</v>
      </c>
      <c r="C2" s="2803" t="s">
        <v>2654</v>
      </c>
      <c r="D2" s="2794" t="s">
        <v>1648</v>
      </c>
      <c r="E2" s="2794" t="s">
        <v>1956</v>
      </c>
      <c r="F2" s="2803" t="s">
        <v>2655</v>
      </c>
      <c r="G2" s="2797"/>
      <c r="H2" s="2796"/>
      <c r="I2" s="2803" t="s">
        <v>2974</v>
      </c>
      <c r="J2" s="2794" t="s">
        <v>2976</v>
      </c>
      <c r="K2" s="2794" t="s">
        <v>2977</v>
      </c>
      <c r="L2" s="2803" t="s">
        <v>2978</v>
      </c>
      <c r="N2" s="2803" t="s">
        <v>2590</v>
      </c>
      <c r="O2" s="2794" t="s">
        <v>2975</v>
      </c>
      <c r="P2" s="2794" t="s">
        <v>1956</v>
      </c>
      <c r="Q2" s="2803" t="s">
        <v>2655</v>
      </c>
      <c r="R2" s="2795"/>
      <c r="S2" s="2803" t="s">
        <v>2590</v>
      </c>
      <c r="T2" s="2794" t="s">
        <v>2975</v>
      </c>
      <c r="U2" s="2794" t="s">
        <v>1956</v>
      </c>
      <c r="V2" s="2803" t="s">
        <v>2655</v>
      </c>
      <c r="X2" s="2803" t="s">
        <v>2590</v>
      </c>
      <c r="Y2" s="2803" t="s">
        <v>2654</v>
      </c>
      <c r="Z2" s="2794" t="s">
        <v>1648</v>
      </c>
      <c r="AA2" s="2794" t="s">
        <v>1956</v>
      </c>
      <c r="AB2" s="2803" t="s">
        <v>2655</v>
      </c>
      <c r="AD2" s="2803" t="s">
        <v>2590</v>
      </c>
      <c r="AE2" s="2803" t="s">
        <v>2654</v>
      </c>
      <c r="AF2" s="2794" t="s">
        <v>1648</v>
      </c>
      <c r="AG2" s="2794" t="s">
        <v>1956</v>
      </c>
      <c r="AH2" s="2803" t="s">
        <v>2655</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2591</v>
      </c>
      <c r="B4" s="2692"/>
      <c r="C4" s="2692"/>
      <c r="D4" s="2692"/>
      <c r="E4" s="2692"/>
      <c r="F4" s="2692"/>
      <c r="G4" s="3414">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9" customFormat="1">
      <c r="A5" s="3157" t="s">
        <v>2592</v>
      </c>
      <c r="B5" s="2834">
        <f t="shared" ref="B5:C7" si="2">B6*(1+N5)</f>
        <v>429.62688667359998</v>
      </c>
      <c r="C5" s="2834">
        <f t="shared" si="2"/>
        <v>318.97763788800006</v>
      </c>
      <c r="D5" s="2834">
        <f>C5</f>
        <v>318.97763788800006</v>
      </c>
      <c r="E5" s="2834">
        <f t="shared" ref="E5:F7" si="3">E6*(1+P5)</f>
        <v>613.03761713879999</v>
      </c>
      <c r="F5" s="2834">
        <f t="shared" si="3"/>
        <v>278.506175276448</v>
      </c>
      <c r="G5" s="3409"/>
      <c r="H5" s="3158">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60"/>
      <c r="S5" s="3161"/>
      <c r="T5" s="3160"/>
      <c r="U5" s="3160"/>
      <c r="V5" s="3160"/>
      <c r="W5" s="2801" t="s">
        <v>2652</v>
      </c>
      <c r="X5" s="3162">
        <f>ROUND(SUMPRODUCT(PRODUCT(1+N5:N$18)),4)</f>
        <v>1.3963000000000001</v>
      </c>
      <c r="Y5" s="3162">
        <f>ROUND(SUMPRODUCT(PRODUCT(1+O5:O$18)),4)</f>
        <v>1.2401</v>
      </c>
      <c r="Z5" s="3162">
        <f t="shared" si="0"/>
        <v>1.2401</v>
      </c>
      <c r="AA5" s="3162">
        <f>ROUND(SUMPRODUCT(PRODUCT(1+P5:P$18)),4)</f>
        <v>1.4508000000000001</v>
      </c>
      <c r="AB5" s="3162">
        <f>ROUND(SUMPRODUCT(PRODUCT(1+Q5:Q$18)),4)</f>
        <v>1.2094</v>
      </c>
      <c r="AD5" s="3163">
        <f>ROUND(AVERAGE(I5:I$19)/100,4)</f>
        <v>2.46E-2</v>
      </c>
      <c r="AE5" s="3163">
        <f>ROUND(AVERAGE(J5:J$19)/100,4)</f>
        <v>1.6E-2</v>
      </c>
      <c r="AF5" s="3163">
        <f t="shared" si="1"/>
        <v>1.6E-2</v>
      </c>
      <c r="AG5" s="3163">
        <f>ROUND(AVERAGE(K5:K$19)/100,4)</f>
        <v>2.75E-2</v>
      </c>
      <c r="AH5" s="3163">
        <f>ROUND(AVERAGE(L5:L$19)/100,4)</f>
        <v>1.37E-2</v>
      </c>
    </row>
    <row r="6" spans="1:34" s="2689" customFormat="1">
      <c r="A6" s="2691" t="s">
        <v>2593</v>
      </c>
      <c r="B6" s="2706">
        <f t="shared" si="2"/>
        <v>419.31181600000002</v>
      </c>
      <c r="C6" s="2706">
        <f t="shared" si="2"/>
        <v>313.95436800000004</v>
      </c>
      <c r="D6" s="2706">
        <f>C6</f>
        <v>313.95436800000004</v>
      </c>
      <c r="E6" s="2706">
        <f t="shared" si="3"/>
        <v>596.63028431999999</v>
      </c>
      <c r="F6" s="2706">
        <f t="shared" si="3"/>
        <v>274.74220703999998</v>
      </c>
      <c r="G6" s="3409"/>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2594</v>
      </c>
      <c r="B7" s="2706">
        <f t="shared" si="2"/>
        <v>405.524</v>
      </c>
      <c r="C7" s="2706">
        <f t="shared" si="2"/>
        <v>307.79840000000002</v>
      </c>
      <c r="D7" s="2706">
        <f>C7</f>
        <v>307.79840000000002</v>
      </c>
      <c r="E7" s="2706">
        <f t="shared" si="3"/>
        <v>574.67759999999998</v>
      </c>
      <c r="F7" s="2706">
        <f t="shared" si="3"/>
        <v>270.20280000000002</v>
      </c>
      <c r="G7" s="3410"/>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14">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09"/>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09"/>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10"/>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08">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09"/>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09"/>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10"/>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08">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09"/>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09"/>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10"/>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2653</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2595</v>
      </c>
      <c r="B20" s="2698">
        <v>299</v>
      </c>
      <c r="C20" s="2698">
        <v>252</v>
      </c>
      <c r="D20" s="2698">
        <f t="shared" si="12"/>
        <v>252</v>
      </c>
      <c r="E20" s="2698">
        <v>409</v>
      </c>
      <c r="F20" s="2699">
        <v>227</v>
      </c>
      <c r="G20" s="3411">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2596</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12"/>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2597</v>
      </c>
      <c r="B22" s="2706">
        <f t="shared" si="21"/>
        <v>288.2649053828776</v>
      </c>
      <c r="C22" s="2706">
        <f t="shared" si="21"/>
        <v>243.64564425013293</v>
      </c>
      <c r="D22" s="2706">
        <f t="shared" si="12"/>
        <v>243.64564425013293</v>
      </c>
      <c r="E22" s="2706">
        <f t="shared" si="22"/>
        <v>393.31080825986544</v>
      </c>
      <c r="F22" s="2706">
        <f t="shared" si="22"/>
        <v>223.07903790551154</v>
      </c>
      <c r="G22" s="3412"/>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2598</v>
      </c>
      <c r="B23" s="2706">
        <f t="shared" si="21"/>
        <v>282.50186729015837</v>
      </c>
      <c r="C23" s="2706">
        <f t="shared" si="21"/>
        <v>238.09796174155468</v>
      </c>
      <c r="D23" s="2706">
        <f t="shared" si="12"/>
        <v>238.09796174155468</v>
      </c>
      <c r="E23" s="2706">
        <f t="shared" si="22"/>
        <v>385.33438646014054</v>
      </c>
      <c r="F23" s="2706">
        <f t="shared" si="22"/>
        <v>221.55034055567739</v>
      </c>
      <c r="G23" s="3413"/>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2599</v>
      </c>
      <c r="B24" s="2736">
        <v>278</v>
      </c>
      <c r="C24" s="2736">
        <v>234</v>
      </c>
      <c r="D24" s="2736">
        <f t="shared" si="12"/>
        <v>234</v>
      </c>
      <c r="E24" s="2736">
        <v>379</v>
      </c>
      <c r="F24" s="2737">
        <v>220</v>
      </c>
      <c r="G24" s="3408">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2600</v>
      </c>
      <c r="B25" s="2706">
        <f>B24/(1+N24)</f>
        <v>275.49301357645425</v>
      </c>
      <c r="C25" s="2706">
        <f>C24/(1+O24)</f>
        <v>232.41954707985698</v>
      </c>
      <c r="D25" s="2706">
        <f t="shared" si="12"/>
        <v>232.41954707985698</v>
      </c>
      <c r="E25" s="2706">
        <f t="shared" ref="E25:F27" si="23">E24/(1+P24)</f>
        <v>375.32184591008121</v>
      </c>
      <c r="F25" s="2706">
        <f t="shared" si="23"/>
        <v>218.03766105054513</v>
      </c>
      <c r="G25" s="3409"/>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2601</v>
      </c>
      <c r="B26" s="2706">
        <f>B25/(1+N25)</f>
        <v>275.24529281292263</v>
      </c>
      <c r="C26" s="2706">
        <f>C25/(1+O25)</f>
        <v>231.74747938962707</v>
      </c>
      <c r="D26" s="2706">
        <f t="shared" si="12"/>
        <v>231.74747938962707</v>
      </c>
      <c r="E26" s="2706">
        <f t="shared" si="23"/>
        <v>375.35938184826603</v>
      </c>
      <c r="F26" s="2706">
        <f t="shared" si="23"/>
        <v>216.78033510692495</v>
      </c>
      <c r="G26" s="3409"/>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2602</v>
      </c>
      <c r="B27" s="2706">
        <f>B26/(1+N26)</f>
        <v>275.19025476197027</v>
      </c>
      <c r="C27" s="2738">
        <v>232</v>
      </c>
      <c r="D27" s="2738">
        <f t="shared" si="12"/>
        <v>232</v>
      </c>
      <c r="E27" s="2706">
        <f t="shared" si="23"/>
        <v>375.65990977608692</v>
      </c>
      <c r="F27" s="2706">
        <f t="shared" si="23"/>
        <v>214.12518283971252</v>
      </c>
      <c r="G27" s="3410"/>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2603</v>
      </c>
      <c r="B28" s="2698">
        <v>275</v>
      </c>
      <c r="C28" s="2698">
        <v>232</v>
      </c>
      <c r="D28" s="2698">
        <f t="shared" si="12"/>
        <v>232</v>
      </c>
      <c r="E28" s="2698">
        <v>376</v>
      </c>
      <c r="F28" s="2699">
        <v>213</v>
      </c>
      <c r="G28" s="3408">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2604</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09">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2605</v>
      </c>
      <c r="B30" s="2706">
        <f t="shared" si="24"/>
        <v>275.19335084830601</v>
      </c>
      <c r="C30" s="2706">
        <f t="shared" si="24"/>
        <v>230.18088050139744</v>
      </c>
      <c r="D30" s="2706">
        <f t="shared" si="12"/>
        <v>230.18088050139744</v>
      </c>
      <c r="E30" s="2706">
        <f t="shared" si="25"/>
        <v>377.58482925212331</v>
      </c>
      <c r="F30" s="2706">
        <f t="shared" si="25"/>
        <v>210.90687997847917</v>
      </c>
      <c r="G30" s="3409">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2606</v>
      </c>
      <c r="B31" s="2706">
        <f t="shared" si="24"/>
        <v>276.29854502841971</v>
      </c>
      <c r="C31" s="2706">
        <f t="shared" si="24"/>
        <v>229.79023709833027</v>
      </c>
      <c r="D31" s="2706">
        <f t="shared" si="12"/>
        <v>229.79023709833027</v>
      </c>
      <c r="E31" s="2706">
        <f t="shared" si="25"/>
        <v>379.78759731655936</v>
      </c>
      <c r="F31" s="2706">
        <f t="shared" si="25"/>
        <v>211.32953905659235</v>
      </c>
      <c r="G31" s="3410">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2607</v>
      </c>
      <c r="B32" s="2698">
        <v>269</v>
      </c>
      <c r="C32" s="2698">
        <v>221</v>
      </c>
      <c r="D32" s="2698">
        <f t="shared" si="12"/>
        <v>221</v>
      </c>
      <c r="E32" s="2698">
        <v>373</v>
      </c>
      <c r="F32" s="2699">
        <v>196</v>
      </c>
      <c r="G32" s="3408">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2608</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09">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2609</v>
      </c>
      <c r="B34" s="2706">
        <f t="shared" si="26"/>
        <v>242.95398227588385</v>
      </c>
      <c r="C34" s="2706">
        <f t="shared" si="26"/>
        <v>199.59137053614126</v>
      </c>
      <c r="D34" s="2706">
        <f t="shared" si="12"/>
        <v>199.59137053614126</v>
      </c>
      <c r="E34" s="2706">
        <f t="shared" si="27"/>
        <v>335.92189522342125</v>
      </c>
      <c r="F34" s="2706">
        <f t="shared" si="27"/>
        <v>183.10139991109489</v>
      </c>
      <c r="G34" s="3409">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2610</v>
      </c>
      <c r="B35" s="2706">
        <f t="shared" si="26"/>
        <v>232.06990378821649</v>
      </c>
      <c r="C35" s="2706">
        <f t="shared" si="26"/>
        <v>192.74878854286936</v>
      </c>
      <c r="D35" s="2706">
        <f t="shared" si="12"/>
        <v>192.74878854286936</v>
      </c>
      <c r="E35" s="2706">
        <f t="shared" si="27"/>
        <v>319.71247284992984</v>
      </c>
      <c r="F35" s="2706">
        <f t="shared" si="27"/>
        <v>175.67053622862409</v>
      </c>
      <c r="G35" s="3410">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2611</v>
      </c>
      <c r="B36" s="2698">
        <v>220</v>
      </c>
      <c r="C36" s="2698">
        <v>187</v>
      </c>
      <c r="D36" s="2698">
        <f t="shared" si="12"/>
        <v>187</v>
      </c>
      <c r="E36" s="2698">
        <v>301</v>
      </c>
      <c r="F36" s="2699">
        <v>168</v>
      </c>
      <c r="G36" s="3408">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2612</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09">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2613</v>
      </c>
      <c r="B38" s="2706">
        <f t="shared" si="28"/>
        <v>210.630522469011</v>
      </c>
      <c r="C38" s="2706">
        <f t="shared" si="28"/>
        <v>181.69567812247232</v>
      </c>
      <c r="D38" s="2706">
        <f t="shared" si="12"/>
        <v>181.69567812247232</v>
      </c>
      <c r="E38" s="2706">
        <f t="shared" si="29"/>
        <v>286.13517466736738</v>
      </c>
      <c r="F38" s="2706">
        <f t="shared" si="29"/>
        <v>165.47535084591149</v>
      </c>
      <c r="G38" s="3409">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2614</v>
      </c>
      <c r="B39" s="2706">
        <f t="shared" si="28"/>
        <v>208.83454537875372</v>
      </c>
      <c r="C39" s="2706">
        <f t="shared" si="28"/>
        <v>183.77230517090351</v>
      </c>
      <c r="D39" s="2706">
        <f t="shared" si="12"/>
        <v>183.77230517090351</v>
      </c>
      <c r="E39" s="2706">
        <f t="shared" si="29"/>
        <v>281.10342338870947</v>
      </c>
      <c r="F39" s="2706">
        <f t="shared" si="29"/>
        <v>168.97309388942256</v>
      </c>
      <c r="G39" s="3410">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2615</v>
      </c>
      <c r="B40" s="2736">
        <v>214</v>
      </c>
      <c r="C40" s="2736">
        <v>188</v>
      </c>
      <c r="D40" s="2736">
        <f t="shared" si="12"/>
        <v>188</v>
      </c>
      <c r="E40" s="2736">
        <v>289</v>
      </c>
      <c r="F40" s="2737">
        <v>166</v>
      </c>
      <c r="G40" s="3408">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2616</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09">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2617</v>
      </c>
      <c r="B42" s="2706">
        <f t="shared" si="30"/>
        <v>206.31694671589116</v>
      </c>
      <c r="C42" s="2706">
        <f t="shared" si="30"/>
        <v>183.61041121036101</v>
      </c>
      <c r="D42" s="2706">
        <f t="shared" si="12"/>
        <v>183.61041121036101</v>
      </c>
      <c r="E42" s="2706">
        <f t="shared" si="31"/>
        <v>276.66850301795557</v>
      </c>
      <c r="F42" s="2706">
        <f t="shared" si="31"/>
        <v>165.1360938278614</v>
      </c>
      <c r="G42" s="3409">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2618</v>
      </c>
      <c r="B43" s="2739">
        <f t="shared" si="30"/>
        <v>196.62341248059772</v>
      </c>
      <c r="C43" s="2739">
        <f t="shared" si="30"/>
        <v>170.99125648199012</v>
      </c>
      <c r="D43" s="2739">
        <f t="shared" si="12"/>
        <v>170.99125648199012</v>
      </c>
      <c r="E43" s="2739">
        <f t="shared" si="31"/>
        <v>266.07857570490052</v>
      </c>
      <c r="F43" s="2739">
        <f t="shared" si="31"/>
        <v>154.53499328828505</v>
      </c>
      <c r="G43" s="3410">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2619</v>
      </c>
      <c r="B44" s="2698">
        <v>188</v>
      </c>
      <c r="C44" s="2698">
        <v>165</v>
      </c>
      <c r="D44" s="2698">
        <f t="shared" si="12"/>
        <v>165</v>
      </c>
      <c r="E44" s="2698">
        <v>254</v>
      </c>
      <c r="F44" s="2699">
        <v>148</v>
      </c>
      <c r="G44" s="3408">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2620</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09">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2621</v>
      </c>
      <c r="B46" s="2706">
        <f t="shared" si="34"/>
        <v>168.82017748715555</v>
      </c>
      <c r="C46" s="2706">
        <f t="shared" si="34"/>
        <v>148.06267029972753</v>
      </c>
      <c r="D46" s="2706">
        <f t="shared" si="12"/>
        <v>148.06267029972753</v>
      </c>
      <c r="E46" s="2706">
        <f t="shared" si="35"/>
        <v>216.46288379323747</v>
      </c>
      <c r="F46" s="2706">
        <f t="shared" si="35"/>
        <v>134.23529411764704</v>
      </c>
      <c r="G46" s="3409">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2622</v>
      </c>
      <c r="B47" s="2706">
        <f t="shared" si="34"/>
        <v>163.84913591779542</v>
      </c>
      <c r="C47" s="2706">
        <f t="shared" si="34"/>
        <v>145.0283378746594</v>
      </c>
      <c r="D47" s="2706">
        <f t="shared" si="12"/>
        <v>145.0283378746594</v>
      </c>
      <c r="E47" s="2706">
        <f t="shared" si="35"/>
        <v>204.95180722891567</v>
      </c>
      <c r="F47" s="2706">
        <f t="shared" si="35"/>
        <v>125.95920303605313</v>
      </c>
      <c r="G47" s="3410">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2623</v>
      </c>
      <c r="B48" s="2720">
        <v>159</v>
      </c>
      <c r="C48" s="2720">
        <v>141</v>
      </c>
      <c r="D48" s="2720">
        <f t="shared" si="12"/>
        <v>141</v>
      </c>
      <c r="E48" s="2720">
        <v>195</v>
      </c>
      <c r="F48" s="2721">
        <v>122</v>
      </c>
      <c r="G48" s="3408">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2624</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09">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2625</v>
      </c>
      <c r="B50" s="2706">
        <f t="shared" si="38"/>
        <v>146.57412060301507</v>
      </c>
      <c r="C50" s="2706">
        <f t="shared" si="38"/>
        <v>136.46831955922866</v>
      </c>
      <c r="D50" s="2706">
        <f t="shared" si="12"/>
        <v>136.46831955922866</v>
      </c>
      <c r="E50" s="2706">
        <f t="shared" si="39"/>
        <v>166.73864894795128</v>
      </c>
      <c r="F50" s="2706">
        <f t="shared" si="39"/>
        <v>115.05882352941177</v>
      </c>
      <c r="G50" s="3409">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2626</v>
      </c>
      <c r="B51" s="2706">
        <f t="shared" si="38"/>
        <v>144.04145728643215</v>
      </c>
      <c r="C51" s="2706">
        <f t="shared" si="38"/>
        <v>136.12396694214877</v>
      </c>
      <c r="D51" s="2706">
        <f t="shared" si="12"/>
        <v>136.12396694214877</v>
      </c>
      <c r="E51" s="2706">
        <f t="shared" si="39"/>
        <v>158.32225913621264</v>
      </c>
      <c r="F51" s="2706">
        <f t="shared" si="39"/>
        <v>114.04278074866311</v>
      </c>
      <c r="G51" s="3410">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2627</v>
      </c>
      <c r="B52" s="2720">
        <v>138</v>
      </c>
      <c r="C52" s="2720">
        <v>131</v>
      </c>
      <c r="D52" s="2720">
        <f t="shared" si="12"/>
        <v>131</v>
      </c>
      <c r="E52" s="2720">
        <v>155</v>
      </c>
      <c r="F52" s="2721">
        <v>114</v>
      </c>
      <c r="G52" s="3408">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2628</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09">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2629</v>
      </c>
      <c r="B54" s="2706">
        <f t="shared" si="42"/>
        <v>124.29032258064517</v>
      </c>
      <c r="C54" s="2706">
        <f t="shared" si="42"/>
        <v>123.8968609865471</v>
      </c>
      <c r="D54" s="2706">
        <f t="shared" si="12"/>
        <v>123.8968609865471</v>
      </c>
      <c r="E54" s="2706">
        <f t="shared" si="43"/>
        <v>138.00507614213197</v>
      </c>
      <c r="F54" s="2706">
        <f t="shared" si="43"/>
        <v>107.96106557377048</v>
      </c>
      <c r="G54" s="3409">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2630</v>
      </c>
      <c r="B55" s="2706">
        <f t="shared" si="42"/>
        <v>122.57204301075269</v>
      </c>
      <c r="C55" s="2706">
        <f t="shared" si="42"/>
        <v>123.4932735426009</v>
      </c>
      <c r="D55" s="2706">
        <f t="shared" si="12"/>
        <v>123.4932735426009</v>
      </c>
      <c r="E55" s="2706">
        <f t="shared" si="43"/>
        <v>129.82233502538071</v>
      </c>
      <c r="F55" s="2706">
        <f t="shared" si="43"/>
        <v>107.39446721311475</v>
      </c>
      <c r="G55" s="3410">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2631</v>
      </c>
      <c r="B56" s="2736">
        <v>121</v>
      </c>
      <c r="C56" s="2736">
        <v>122</v>
      </c>
      <c r="D56" s="2736">
        <f t="shared" si="12"/>
        <v>122</v>
      </c>
      <c r="E56" s="2736">
        <v>124</v>
      </c>
      <c r="F56" s="2737">
        <v>107</v>
      </c>
      <c r="G56" s="3408">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2632</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09">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2633</v>
      </c>
      <c r="B58" s="2706">
        <f t="shared" si="46"/>
        <v>116.99099099099099</v>
      </c>
      <c r="C58" s="2706">
        <f t="shared" si="46"/>
        <v>118.84848484848486</v>
      </c>
      <c r="D58" s="2706">
        <f t="shared" si="12"/>
        <v>118.84848484848486</v>
      </c>
      <c r="E58" s="2706">
        <f t="shared" si="47"/>
        <v>117.60960960960961</v>
      </c>
      <c r="F58" s="2706">
        <f t="shared" si="47"/>
        <v>104</v>
      </c>
      <c r="G58" s="3409">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2634</v>
      </c>
      <c r="B59" s="2739">
        <f t="shared" si="46"/>
        <v>112.48648648648648</v>
      </c>
      <c r="C59" s="2739">
        <f t="shared" si="46"/>
        <v>115.21212121212122</v>
      </c>
      <c r="D59" s="2739">
        <f t="shared" si="12"/>
        <v>115.21212121212122</v>
      </c>
      <c r="E59" s="2739">
        <f t="shared" si="47"/>
        <v>110.4024024024024</v>
      </c>
      <c r="F59" s="2739">
        <f t="shared" si="47"/>
        <v>104</v>
      </c>
      <c r="G59" s="3410">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2635</v>
      </c>
      <c r="B60" s="2757">
        <v>111</v>
      </c>
      <c r="C60" s="2757">
        <v>114</v>
      </c>
      <c r="D60" s="2757">
        <f t="shared" si="12"/>
        <v>114</v>
      </c>
      <c r="E60" s="2757">
        <v>108</v>
      </c>
      <c r="F60" s="2758">
        <v>104</v>
      </c>
      <c r="G60" s="3408">
        <v>2003</v>
      </c>
      <c r="H60" s="2747">
        <v>4</v>
      </c>
      <c r="I60" s="2759"/>
      <c r="J60" s="2759"/>
      <c r="K60" s="2759"/>
      <c r="L60" s="2759"/>
      <c r="N60" s="2760"/>
      <c r="O60" s="2759"/>
      <c r="P60" s="2759"/>
      <c r="Q60" s="2759"/>
      <c r="S60" s="2760"/>
      <c r="T60" s="2759"/>
      <c r="U60" s="2759"/>
      <c r="V60" s="2759"/>
      <c r="X60" s="2751"/>
      <c r="Y60" s="2751"/>
      <c r="Z60" s="2751"/>
    </row>
    <row r="61" spans="1:26">
      <c r="A61" s="2691" t="s">
        <v>2636</v>
      </c>
      <c r="B61" s="2761">
        <f t="shared" ref="B61:C63" si="48">B62+(B$60-B$64)/4</f>
        <v>109.75</v>
      </c>
      <c r="C61" s="2761">
        <f t="shared" si="48"/>
        <v>112.25</v>
      </c>
      <c r="D61" s="2761">
        <f t="shared" si="12"/>
        <v>112.25</v>
      </c>
      <c r="E61" s="2761">
        <f t="shared" ref="E61:F63" si="49">E62+(E$60-E$64)/4</f>
        <v>107.25</v>
      </c>
      <c r="F61" s="2761">
        <f t="shared" si="49"/>
        <v>103.5</v>
      </c>
      <c r="G61" s="3409">
        <v>2003</v>
      </c>
      <c r="H61" s="2717">
        <v>3</v>
      </c>
      <c r="I61" s="2759"/>
      <c r="J61" s="2759"/>
      <c r="K61" s="2759"/>
      <c r="L61" s="2759"/>
      <c r="X61" s="2751"/>
      <c r="Y61" s="2751"/>
      <c r="Z61" s="2751"/>
    </row>
    <row r="62" spans="1:26">
      <c r="A62" s="2691" t="s">
        <v>2637</v>
      </c>
      <c r="B62" s="2761">
        <f t="shared" si="48"/>
        <v>108.5</v>
      </c>
      <c r="C62" s="2761">
        <f t="shared" si="48"/>
        <v>110.5</v>
      </c>
      <c r="D62" s="2761">
        <f t="shared" si="12"/>
        <v>110.5</v>
      </c>
      <c r="E62" s="2761">
        <f t="shared" si="49"/>
        <v>106.5</v>
      </c>
      <c r="F62" s="2761">
        <f t="shared" si="49"/>
        <v>103</v>
      </c>
      <c r="G62" s="3409">
        <v>2003</v>
      </c>
      <c r="H62" s="2697">
        <v>2</v>
      </c>
      <c r="I62" s="2759"/>
      <c r="J62" s="2759"/>
      <c r="K62" s="2759"/>
      <c r="L62" s="2759"/>
      <c r="X62" s="2751"/>
      <c r="Y62" s="2751"/>
      <c r="Z62" s="2751"/>
    </row>
    <row r="63" spans="1:26" ht="13.5" thickBot="1">
      <c r="A63" s="2691" t="s">
        <v>2638</v>
      </c>
      <c r="B63" s="2761">
        <f t="shared" si="48"/>
        <v>107.25</v>
      </c>
      <c r="C63" s="2761">
        <f t="shared" si="48"/>
        <v>108.75</v>
      </c>
      <c r="D63" s="2761">
        <f t="shared" si="12"/>
        <v>108.75</v>
      </c>
      <c r="E63" s="2761">
        <f t="shared" si="49"/>
        <v>105.75</v>
      </c>
      <c r="F63" s="2761">
        <f t="shared" si="49"/>
        <v>102.5</v>
      </c>
      <c r="G63" s="3410">
        <v>2003</v>
      </c>
      <c r="H63" s="2762">
        <v>1</v>
      </c>
      <c r="I63" s="2759"/>
      <c r="J63" s="2759"/>
      <c r="K63" s="2759"/>
      <c r="L63" s="2759"/>
      <c r="S63" s="2701"/>
      <c r="T63" s="2702"/>
      <c r="U63" s="2702"/>
      <c r="X63" s="2751"/>
      <c r="Y63" s="2751"/>
      <c r="Z63" s="2751"/>
    </row>
    <row r="64" spans="1:26" ht="13.5" thickBot="1">
      <c r="A64" s="2691" t="s">
        <v>2639</v>
      </c>
      <c r="B64" s="2763">
        <v>106</v>
      </c>
      <c r="C64" s="2763">
        <v>107</v>
      </c>
      <c r="D64" s="2763">
        <f t="shared" si="12"/>
        <v>107</v>
      </c>
      <c r="E64" s="2763">
        <v>105</v>
      </c>
      <c r="F64" s="2764">
        <v>102</v>
      </c>
      <c r="G64" s="3408">
        <v>2002</v>
      </c>
      <c r="H64" s="2712">
        <v>4</v>
      </c>
      <c r="I64" s="2759"/>
      <c r="J64" s="2759"/>
      <c r="K64" s="2759"/>
      <c r="L64" s="2759"/>
      <c r="N64" s="2760"/>
      <c r="O64" s="2759"/>
      <c r="P64" s="2759"/>
      <c r="Q64" s="2759"/>
      <c r="S64" s="2760"/>
      <c r="T64" s="2759"/>
      <c r="U64" s="2759"/>
      <c r="V64" s="2759"/>
      <c r="X64" s="2751"/>
      <c r="Y64" s="2751"/>
      <c r="Z64" s="2751"/>
    </row>
    <row r="65" spans="1:26">
      <c r="A65" s="2691" t="s">
        <v>2640</v>
      </c>
      <c r="B65" s="2761">
        <f t="shared" ref="B65:C67" si="50">B66+(B$64-B$68)/4</f>
        <v>105</v>
      </c>
      <c r="C65" s="2761">
        <f t="shared" si="50"/>
        <v>106</v>
      </c>
      <c r="D65" s="2761">
        <f t="shared" si="12"/>
        <v>106</v>
      </c>
      <c r="E65" s="2761">
        <f t="shared" ref="E65:F67" si="51">E66+(E$64-E$68)/4</f>
        <v>104.5</v>
      </c>
      <c r="F65" s="2761">
        <f t="shared" si="51"/>
        <v>101.5</v>
      </c>
      <c r="G65" s="3409">
        <v>2002</v>
      </c>
      <c r="H65" s="2717">
        <v>3</v>
      </c>
      <c r="I65" s="2759"/>
      <c r="J65" s="2759"/>
      <c r="K65" s="2759"/>
      <c r="L65" s="2759"/>
      <c r="X65" s="2751"/>
      <c r="Y65" s="2751"/>
      <c r="Z65" s="2751"/>
    </row>
    <row r="66" spans="1:26">
      <c r="A66" s="2691" t="s">
        <v>2641</v>
      </c>
      <c r="B66" s="2761">
        <f t="shared" si="50"/>
        <v>104</v>
      </c>
      <c r="C66" s="2761">
        <f t="shared" si="50"/>
        <v>105</v>
      </c>
      <c r="D66" s="2761">
        <f t="shared" si="12"/>
        <v>105</v>
      </c>
      <c r="E66" s="2761">
        <f t="shared" si="51"/>
        <v>104</v>
      </c>
      <c r="F66" s="2761">
        <f t="shared" si="51"/>
        <v>101</v>
      </c>
      <c r="G66" s="3409">
        <v>2002</v>
      </c>
      <c r="H66" s="2697">
        <v>2</v>
      </c>
      <c r="I66" s="2759"/>
      <c r="J66" s="2759"/>
      <c r="K66" s="2759"/>
      <c r="L66" s="2759"/>
      <c r="X66" s="2751"/>
      <c r="Y66" s="2751"/>
      <c r="Z66" s="2751"/>
    </row>
    <row r="67" spans="1:26" s="2728" customFormat="1" ht="13.5" thickBot="1">
      <c r="A67" s="2724" t="s">
        <v>2642</v>
      </c>
      <c r="B67" s="2765">
        <f t="shared" si="50"/>
        <v>103</v>
      </c>
      <c r="C67" s="2765">
        <f t="shared" si="50"/>
        <v>104</v>
      </c>
      <c r="D67" s="2765">
        <f t="shared" si="12"/>
        <v>104</v>
      </c>
      <c r="E67" s="2765">
        <f t="shared" si="51"/>
        <v>103.5</v>
      </c>
      <c r="F67" s="2765">
        <f t="shared" si="51"/>
        <v>100.5</v>
      </c>
      <c r="G67" s="3410">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2643</v>
      </c>
      <c r="G70" s="2775"/>
      <c r="N70" s="2775"/>
      <c r="S70" s="2775"/>
    </row>
    <row r="71" spans="1:26" s="2774" customFormat="1">
      <c r="A71" s="2774" t="s">
        <v>2644</v>
      </c>
      <c r="G71" s="2775"/>
      <c r="N71" s="2775"/>
      <c r="S71" s="2775"/>
    </row>
    <row r="72" spans="1:26" s="2774" customFormat="1">
      <c r="A72" s="2774" t="s">
        <v>2645</v>
      </c>
      <c r="G72" s="2775"/>
      <c r="I72" s="2776"/>
      <c r="J72" s="2776"/>
      <c r="K72" s="2776"/>
      <c r="L72" s="2776"/>
      <c r="N72" s="2777"/>
      <c r="O72" s="2776"/>
      <c r="P72" s="2776"/>
      <c r="Q72" s="2776"/>
      <c r="S72" s="2777"/>
      <c r="T72" s="2776"/>
      <c r="U72" s="2776"/>
      <c r="V72" s="2776"/>
    </row>
    <row r="73" spans="1:26" s="2774" customFormat="1">
      <c r="A73" s="2774" t="s">
        <v>2646</v>
      </c>
      <c r="G73" s="2775"/>
      <c r="N73" s="2775"/>
      <c r="S73" s="2775"/>
    </row>
    <row r="80" spans="1:26" ht="13.5" thickBot="1"/>
    <row r="81" spans="14:22" s="2700" customFormat="1">
      <c r="N81" s="2716"/>
      <c r="S81" s="2778" t="s">
        <v>2647</v>
      </c>
      <c r="T81" s="2779" t="s">
        <v>2648</v>
      </c>
      <c r="U81" s="2779" t="s">
        <v>2649</v>
      </c>
      <c r="V81" s="2779" t="s">
        <v>2650</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6</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t="e">
        <f ca="1">ROUND(B2*10000/'数据-汇总表'!E3,0)</f>
        <v>#DIV/0!</v>
      </c>
      <c r="C3" s="1354"/>
      <c r="D3" s="2062"/>
      <c r="E3" s="2063"/>
      <c r="F3" s="2063"/>
      <c r="G3" s="1595"/>
      <c r="H3" s="779" t="s">
        <v>697</v>
      </c>
      <c r="I3" s="2064"/>
      <c r="J3" s="2064"/>
      <c r="K3" s="2065"/>
      <c r="L3" s="2064"/>
      <c r="M3" s="2064"/>
    </row>
    <row r="4" spans="1:25" ht="18" customHeight="1">
      <c r="A4" s="1651" t="s">
        <v>698</v>
      </c>
      <c r="B4" s="1355" t="e">
        <f ca="1">ROUND(B2*10000/'数据-汇总表'!D3,0)</f>
        <v>#DIV/0!</v>
      </c>
      <c r="C4" s="431"/>
      <c r="D4" s="2062"/>
      <c r="E4" s="2063"/>
      <c r="F4" s="2063"/>
      <c r="G4" s="1595"/>
      <c r="H4" s="779"/>
      <c r="I4" s="2064"/>
      <c r="J4" s="2064"/>
      <c r="K4" s="2065"/>
      <c r="L4" s="2064"/>
      <c r="M4" s="2064"/>
    </row>
    <row r="5" spans="1:25" ht="18" customHeight="1" thickBot="1">
      <c r="A5" s="1652"/>
      <c r="B5" s="433" t="e">
        <f ca="1">ROUND(B2/('数据-汇总表'!D3/666.67),0)</f>
        <v>#DIV/0!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2467</v>
      </c>
      <c r="C7" s="53">
        <f ca="1">C8+C12+C14</f>
        <v>0</v>
      </c>
      <c r="D7" s="2531" t="s">
        <v>2470</v>
      </c>
      <c r="E7" s="2525"/>
      <c r="F7" s="2526"/>
      <c r="G7" s="1597"/>
      <c r="H7" s="784">
        <v>1</v>
      </c>
      <c r="I7" s="785" t="s">
        <v>2467</v>
      </c>
      <c r="J7" s="53">
        <f ca="1">J8+J12+J14</f>
        <v>0</v>
      </c>
      <c r="K7" s="2531" t="s">
        <v>2470</v>
      </c>
      <c r="L7" s="2525"/>
      <c r="M7" s="2526"/>
    </row>
    <row r="8" spans="1:25" ht="18" customHeight="1">
      <c r="A8" s="1836" t="s">
        <v>1829</v>
      </c>
      <c r="B8" s="3416" t="s">
        <v>2472</v>
      </c>
      <c r="C8" s="1831">
        <f ca="1">ROUND(F8*F10*F9*(1-F11)/10000,0)</f>
        <v>0</v>
      </c>
      <c r="D8" s="1828" t="s">
        <v>2544</v>
      </c>
      <c r="E8" s="61" t="s">
        <v>638</v>
      </c>
      <c r="F8" s="788">
        <f ca="1">INDIRECT("'数据-取费表'!u"&amp;$G$1)</f>
        <v>0</v>
      </c>
      <c r="G8" s="1597"/>
      <c r="H8" s="2539" t="s">
        <v>1829</v>
      </c>
      <c r="I8" s="3416" t="s">
        <v>2472</v>
      </c>
      <c r="J8" s="786">
        <f ca="1">ROUND(M8*M10*M9*(1-M11)/10000,0)</f>
        <v>0</v>
      </c>
      <c r="K8" s="344" t="s">
        <v>2544</v>
      </c>
      <c r="L8" s="787" t="s">
        <v>1742</v>
      </c>
      <c r="M8" s="788">
        <f ca="1">INDIRECT("'数据-取费表'!z"&amp;$G$1)</f>
        <v>0</v>
      </c>
    </row>
    <row r="9" spans="1:25" ht="18" customHeight="1">
      <c r="A9" s="2535"/>
      <c r="B9" s="3417"/>
      <c r="C9" s="1832"/>
      <c r="D9" s="1829"/>
      <c r="E9" s="61" t="s">
        <v>639</v>
      </c>
      <c r="F9" s="788">
        <f ca="1">IF(INDIRECT("'数据-取费表'!ah"&amp;$G$1)="",INDIRECT("'数据-取费表'!k"&amp;$G$1),INDIRECT("'数据-取费表'!ah"&amp;$G$1))</f>
        <v>0</v>
      </c>
      <c r="G9" s="1597"/>
      <c r="H9" s="2524"/>
      <c r="I9" s="3417"/>
      <c r="J9" s="791"/>
      <c r="K9" s="792"/>
      <c r="L9" s="787" t="s">
        <v>1743</v>
      </c>
      <c r="M9" s="788">
        <f ca="1">F9</f>
        <v>0</v>
      </c>
    </row>
    <row r="10" spans="1:25" ht="18" customHeight="1">
      <c r="A10" s="2528"/>
      <c r="B10" s="3418"/>
      <c r="C10" s="1832"/>
      <c r="D10" s="1829"/>
      <c r="E10" s="61" t="s">
        <v>640</v>
      </c>
      <c r="F10" s="788">
        <f ca="1">INDIRECT("'数据-取费表'!ai"&amp;$G$1)</f>
        <v>0</v>
      </c>
      <c r="G10" s="1597"/>
      <c r="H10" s="2524"/>
      <c r="I10" s="3418"/>
      <c r="J10" s="791"/>
      <c r="K10" s="792"/>
      <c r="L10" s="787" t="s">
        <v>1744</v>
      </c>
      <c r="M10" s="788">
        <f ca="1">INDIRECT("'数据-取费表'!ai"&amp;$G$1)</f>
        <v>0</v>
      </c>
    </row>
    <row r="11" spans="1:25" ht="18" customHeight="1">
      <c r="A11" s="789"/>
      <c r="B11" s="3419"/>
      <c r="C11" s="1832"/>
      <c r="D11" s="1829"/>
      <c r="E11" s="61" t="s">
        <v>641</v>
      </c>
      <c r="F11" s="797">
        <f ca="1">INDIRECT("'数据-取费表'!w"&amp;$G$1)</f>
        <v>0</v>
      </c>
      <c r="G11" s="1597"/>
      <c r="H11" s="2540"/>
      <c r="I11" s="3418"/>
      <c r="J11" s="791"/>
      <c r="K11" s="792"/>
      <c r="L11" s="798" t="s">
        <v>1745</v>
      </c>
      <c r="M11" s="799">
        <f ca="1">INDIRECT("'数据-取费表'!ab"&amp;$G$1)</f>
        <v>0</v>
      </c>
    </row>
    <row r="12" spans="1:25" ht="18" customHeight="1">
      <c r="A12" s="1836" t="s">
        <v>1830</v>
      </c>
      <c r="B12" s="2529" t="s">
        <v>2468</v>
      </c>
      <c r="C12" s="802">
        <f ca="1">ROUND(IF(F12="押一",F8*F10*F9/12*F13,IF(F12="押二",F8*F10*F9/12*2*F13,IF(F12="押三",F8*F10*F9/12*3*F13,C13*F13)))/10000,0)</f>
        <v>0</v>
      </c>
      <c r="D12" s="2536" t="s">
        <v>2475</v>
      </c>
      <c r="E12" s="2533" t="s">
        <v>2473</v>
      </c>
      <c r="F12" s="2656"/>
      <c r="G12" s="1597"/>
      <c r="H12" s="2596" t="s">
        <v>1830</v>
      </c>
      <c r="I12" s="2601" t="s">
        <v>2468</v>
      </c>
      <c r="J12" s="786">
        <f ca="1">ROUND(IF(M12="押一",M8*M10*M9/12*M13,IF(M12="押二",M8*M10*M9/12*2*M13,IF(M12="押三",M8*M10*M9/12*3*M13,J13*M13)))/10000,0)</f>
        <v>0</v>
      </c>
      <c r="K12" s="2536" t="s">
        <v>2475</v>
      </c>
      <c r="L12" s="2533" t="s">
        <v>2473</v>
      </c>
      <c r="M12" s="2656"/>
    </row>
    <row r="13" spans="1:25" ht="18" customHeight="1">
      <c r="A13" s="793"/>
      <c r="B13" s="2530" t="s">
        <v>2583</v>
      </c>
      <c r="C13" s="2534"/>
      <c r="D13" s="792"/>
      <c r="E13" s="2533" t="s">
        <v>2465</v>
      </c>
      <c r="F13" s="799">
        <f ca="1">'数据-取费表'!B39</f>
        <v>0</v>
      </c>
      <c r="G13" s="1597"/>
      <c r="H13" s="2597"/>
      <c r="I13" s="2530" t="s">
        <v>2583</v>
      </c>
      <c r="J13" s="2534"/>
      <c r="K13" s="2598"/>
      <c r="L13" s="2533" t="s">
        <v>2465</v>
      </c>
      <c r="M13" s="2527">
        <f ca="1">'数据-取费表'!B39</f>
        <v>0</v>
      </c>
    </row>
    <row r="14" spans="1:25" ht="18" customHeight="1" thickBot="1">
      <c r="A14" s="2572" t="s">
        <v>2477</v>
      </c>
      <c r="B14" s="2573" t="s">
        <v>2469</v>
      </c>
      <c r="C14" s="2574"/>
      <c r="D14" s="2575"/>
      <c r="E14" s="2576"/>
      <c r="F14" s="2577"/>
      <c r="G14" s="1597"/>
      <c r="H14" s="2586" t="s">
        <v>2477</v>
      </c>
      <c r="I14" s="2599" t="s">
        <v>2469</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2076</v>
      </c>
      <c r="I16" s="2241" t="s">
        <v>2838</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v>
      </c>
      <c r="G17" s="1598"/>
      <c r="H17" s="806" t="s">
        <v>2077</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0</v>
      </c>
      <c r="G19" s="1598"/>
      <c r="H19" s="806" t="s">
        <v>2076</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0</v>
      </c>
      <c r="G20" s="1598"/>
      <c r="H20" s="806" t="s">
        <v>1836</v>
      </c>
      <c r="I20" s="787" t="s">
        <v>661</v>
      </c>
      <c r="J20" s="53">
        <f ca="1">ROUND(J7*M20/1.05,1)</f>
        <v>0</v>
      </c>
      <c r="K20" s="1983" t="s">
        <v>662</v>
      </c>
      <c r="L20" s="787" t="s">
        <v>650</v>
      </c>
      <c r="M20" s="812">
        <f>'数据-取费表'!B41</f>
        <v>0.05</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v>
      </c>
      <c r="G22" s="1598"/>
      <c r="H22" s="1838" t="s">
        <v>1855</v>
      </c>
      <c r="I22" s="1828" t="s">
        <v>669</v>
      </c>
      <c r="J22" s="54">
        <f ca="1">ROUND(M22*M23/10000,0)</f>
        <v>0</v>
      </c>
      <c r="K22" s="817" t="s">
        <v>670</v>
      </c>
      <c r="L22" s="787" t="s">
        <v>671</v>
      </c>
      <c r="M22" s="643">
        <f>'数据-取费表'!B52</f>
        <v>0</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单利计息。建造成本、管理费用、销售费用产生的利息。</v>
      </c>
      <c r="E24" s="1988"/>
      <c r="F24" s="56"/>
      <c r="G24" s="1597"/>
      <c r="H24" s="1837" t="s">
        <v>2077</v>
      </c>
      <c r="I24" s="787" t="s">
        <v>677</v>
      </c>
      <c r="J24" s="53">
        <f ca="1">ROUND(J16*M24,0)</f>
        <v>0</v>
      </c>
      <c r="K24" s="1983" t="s">
        <v>678</v>
      </c>
      <c r="L24" s="787" t="s">
        <v>650</v>
      </c>
      <c r="M24" s="820">
        <f ca="1">INDIRECT("'数据-取费表'!Ak"&amp;$G$1)</f>
        <v>0</v>
      </c>
    </row>
    <row r="25" spans="1:25" s="2071" customFormat="1" ht="18" customHeight="1">
      <c r="A25" s="806" t="s">
        <v>1880</v>
      </c>
      <c r="B25" s="787" t="s">
        <v>2445</v>
      </c>
      <c r="C25" s="53">
        <f ca="1">ROUND(IF('数据-取费表'!B22&lt;=1,(C21+C22)*F26*F25/2,(C21+C22)*(POWER((1+F26),F25/2)-1)),0)</f>
        <v>0</v>
      </c>
      <c r="D25" s="2606" t="str">
        <f>IF(F25&lt;=1,"(建造成本+管理费用)×利率×(建设周期÷2)","(建造成本+管理费用)×((1+利率)^(建设周期÷2)-1)")</f>
        <v>(建造成本+管理费用)×利率×(建设周期÷2)</v>
      </c>
      <c r="E25" s="787" t="s">
        <v>679</v>
      </c>
      <c r="F25" s="643">
        <f>'数据-取费表'!B20</f>
        <v>0</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0</v>
      </c>
      <c r="D26" s="2606" t="str">
        <f>IF(F25&lt;=1,"销售费用×利率×(建设周期÷2)","销售费用×((1+利率)^(建设周期÷2)-1)")</f>
        <v>销售费用×利率×(建设周期÷2)</v>
      </c>
      <c r="E26" s="787" t="s">
        <v>683</v>
      </c>
      <c r="F26" s="822">
        <f ca="1">'数据-取费表'!B40</f>
        <v>0</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2835</v>
      </c>
      <c r="J27" s="802">
        <f ca="1">J7-J18</f>
        <v>0</v>
      </c>
      <c r="K27" s="1985" t="s">
        <v>702</v>
      </c>
      <c r="L27" s="1987"/>
      <c r="M27" s="823"/>
    </row>
    <row r="28" spans="1:25" ht="18" customHeight="1">
      <c r="A28" s="806" t="s">
        <v>1880</v>
      </c>
      <c r="B28" s="787" t="s">
        <v>2446</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0.05</v>
      </c>
      <c r="D30" s="815" t="s">
        <v>711</v>
      </c>
      <c r="E30" s="787" t="s">
        <v>650</v>
      </c>
      <c r="F30" s="812">
        <f>'数据-取费表'!B41</f>
        <v>0.05</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2836</v>
      </c>
      <c r="C31" s="2579">
        <f ca="1">ROUND((C21+C22+C25+C28)/(1-F23-C26-C29-C30),0)</f>
        <v>0</v>
      </c>
      <c r="D31" s="2580"/>
      <c r="E31" s="2581"/>
      <c r="F31" s="2582"/>
      <c r="G31" s="1598"/>
      <c r="H31" s="826" t="s">
        <v>1877</v>
      </c>
      <c r="I31" s="3051" t="s">
        <v>2837</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0.05</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0</v>
      </c>
      <c r="G36" s="2069"/>
      <c r="H36" s="2072"/>
      <c r="I36" s="3415"/>
      <c r="J36" s="2086"/>
      <c r="K36" s="2087"/>
      <c r="L36" s="2086"/>
      <c r="M36" s="2086"/>
    </row>
    <row r="37" spans="1:13" ht="18" customHeight="1">
      <c r="A37" s="818"/>
      <c r="B37" s="796"/>
      <c r="C37" s="69"/>
      <c r="D37" s="819"/>
      <c r="E37" s="787" t="s">
        <v>675</v>
      </c>
      <c r="F37" s="788">
        <f ca="1">INDIRECT("'数据-取费表'!r"&amp;$G$1)</f>
        <v>0</v>
      </c>
      <c r="G37" s="2069"/>
      <c r="H37" s="2072"/>
      <c r="I37" s="3415"/>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受贵公司委托，我公司对国有建设用地使用权进行了预评估。</v>
      </c>
    </row>
    <row r="5" spans="1:4" ht="18.75">
      <c r="A5" s="1800" t="s">
        <v>1910</v>
      </c>
    </row>
    <row r="6" spans="1:4" ht="18.75">
      <c r="A6" s="1797"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801" t="s">
        <v>2760</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本次评估为委托估价方了解标的物之市场价格提供参考依据而评估国有建设用地使用权市场价格。</v>
      </c>
    </row>
    <row r="10" spans="1:4" ht="18.75">
      <c r="A10" s="1803" t="s">
        <v>2033</v>
      </c>
    </row>
    <row r="11" spans="1:4" ht="18.75">
      <c r="A11" s="1786" t="str">
        <f>TEXT(项目基本情况!D3,"yyyy年m月d日;;")&amp;IF(项目基本情况!B3=项目基本情况!D3,"（评估专业人员勘察现场之日）","")</f>
        <v>（评估专业人员勘察现场之日）</v>
      </c>
    </row>
    <row r="12" spans="1:4" ht="18.75">
      <c r="A12" s="1803" t="s">
        <v>2032</v>
      </c>
    </row>
    <row r="13" spans="1:4" ht="18.75">
      <c r="A13" s="1797" t="s">
        <v>2958</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2080</v>
      </c>
    </row>
    <row r="20" spans="1:1" ht="18.75">
      <c r="A20" s="259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97" t="s">
        <v>2081</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2082</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7"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c r="D1" s="2056"/>
      <c r="E1" s="2422" t="s">
        <v>2382</v>
      </c>
      <c r="F1" s="2423">
        <f ca="1">J53</f>
        <v>0</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t="e">
        <f ca="1">C40+J29+L46</f>
        <v>#DIV/0!</v>
      </c>
      <c r="C2" s="2064"/>
      <c r="D2" s="2062"/>
      <c r="E2" s="2063"/>
      <c r="F2" s="2063"/>
      <c r="G2" s="1595"/>
      <c r="H2" s="2064"/>
      <c r="I2" s="2064"/>
      <c r="J2" s="2064"/>
      <c r="K2" s="2065"/>
      <c r="L2" s="2064"/>
      <c r="M2" s="2064"/>
    </row>
    <row r="3" spans="1:33" ht="18" customHeight="1" thickBot="1">
      <c r="A3" s="836" t="s">
        <v>1731</v>
      </c>
      <c r="B3" s="837">
        <f ca="1">IF(ISERROR(B2*10000/F43),0,ROUND(B2*10000/F43,0))</f>
        <v>0</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2467</v>
      </c>
      <c r="C5" s="55">
        <f ca="1">C6+C10+C12</f>
        <v>0</v>
      </c>
      <c r="D5" s="2531" t="s">
        <v>2470</v>
      </c>
      <c r="E5" s="2525"/>
      <c r="F5" s="2526"/>
      <c r="G5" s="1597"/>
      <c r="H5" s="784">
        <v>1</v>
      </c>
      <c r="I5" s="785" t="s">
        <v>2467</v>
      </c>
      <c r="J5" s="55">
        <f ca="1">J6+J10+J12</f>
        <v>0</v>
      </c>
      <c r="K5" s="2531" t="s">
        <v>2470</v>
      </c>
      <c r="L5" s="2525"/>
      <c r="M5" s="2526"/>
    </row>
    <row r="6" spans="1:33" ht="18" customHeight="1">
      <c r="A6" s="1836" t="s">
        <v>1829</v>
      </c>
      <c r="B6" s="3416" t="s">
        <v>2472</v>
      </c>
      <c r="C6" s="786">
        <f ca="1">ROUND(F6*F8*F7*(1-F9)/10000,0)</f>
        <v>0</v>
      </c>
      <c r="D6" s="2532" t="s">
        <v>2471</v>
      </c>
      <c r="E6" s="787" t="s">
        <v>1742</v>
      </c>
      <c r="F6" s="788">
        <f ca="1">INDIRECT("'数据-取费表'!u"&amp;$G$1)</f>
        <v>0</v>
      </c>
      <c r="G6" s="1597"/>
      <c r="H6" s="2539" t="s">
        <v>2478</v>
      </c>
      <c r="I6" s="3416" t="s">
        <v>2472</v>
      </c>
      <c r="J6" s="786">
        <f ca="1">ROUND(M6*M8*M7*(1-M9)/10000,0)</f>
        <v>0</v>
      </c>
      <c r="K6" s="344" t="s">
        <v>1741</v>
      </c>
      <c r="L6" s="787" t="s">
        <v>1742</v>
      </c>
      <c r="M6" s="788">
        <f ca="1">INDIRECT("'数据-取费表'!z"&amp;$G$1)</f>
        <v>0</v>
      </c>
    </row>
    <row r="7" spans="1:33" ht="18" customHeight="1">
      <c r="A7" s="2535"/>
      <c r="B7" s="3417"/>
      <c r="C7" s="791"/>
      <c r="D7" s="792"/>
      <c r="E7" s="787" t="s">
        <v>1743</v>
      </c>
      <c r="F7" s="788">
        <f ca="1">IF(INDIRECT("'数据-取费表'!ah"&amp;$G$1)="",INDIRECT("'数据-取费表'!k"&amp;$G$1),INDIRECT("'数据-取费表'!ah"&amp;$G$1))</f>
        <v>0</v>
      </c>
      <c r="G7" s="1597"/>
      <c r="H7" s="2524"/>
      <c r="I7" s="3417"/>
      <c r="J7" s="791"/>
      <c r="K7" s="792"/>
      <c r="L7" s="787" t="s">
        <v>1743</v>
      </c>
      <c r="M7" s="788">
        <f ca="1">F7</f>
        <v>0</v>
      </c>
    </row>
    <row r="8" spans="1:33" ht="18" customHeight="1">
      <c r="A8" s="2528"/>
      <c r="B8" s="3418"/>
      <c r="C8" s="791"/>
      <c r="D8" s="792"/>
      <c r="E8" s="787" t="s">
        <v>1744</v>
      </c>
      <c r="F8" s="788">
        <f ca="1">INDIRECT("'数据-取费表'!ai"&amp;$G$1)</f>
        <v>0</v>
      </c>
      <c r="G8" s="1597"/>
      <c r="H8" s="2524"/>
      <c r="I8" s="3418"/>
      <c r="J8" s="791"/>
      <c r="K8" s="792"/>
      <c r="L8" s="787" t="s">
        <v>1744</v>
      </c>
      <c r="M8" s="788">
        <f ca="1">INDIRECT("'数据-取费表'!ai"&amp;$G$1)</f>
        <v>0</v>
      </c>
    </row>
    <row r="9" spans="1:33" ht="18" customHeight="1">
      <c r="A9" s="789"/>
      <c r="B9" s="3419"/>
      <c r="C9" s="791"/>
      <c r="D9" s="792"/>
      <c r="E9" s="787" t="s">
        <v>1745</v>
      </c>
      <c r="F9" s="797">
        <f ca="1">INDIRECT("'数据-取费表'!w"&amp;$G$1)</f>
        <v>0</v>
      </c>
      <c r="G9" s="1597"/>
      <c r="H9" s="2540"/>
      <c r="I9" s="3418"/>
      <c r="J9" s="791"/>
      <c r="K9" s="792"/>
      <c r="L9" s="798" t="s">
        <v>1745</v>
      </c>
      <c r="M9" s="799">
        <f ca="1">INDIRECT("'数据-取费表'!ab"&amp;$G$1)</f>
        <v>0</v>
      </c>
    </row>
    <row r="10" spans="1:33" ht="18" customHeight="1">
      <c r="A10" s="1836" t="s">
        <v>2476</v>
      </c>
      <c r="B10" s="2529" t="s">
        <v>2468</v>
      </c>
      <c r="C10" s="802">
        <f ca="1">ROUND(IF(F10="押一",F6*F8*F7/12*F11,IF(F10="押二",F6*F8*F7/12*2*F11,IF(F10="押三",F6*F8*F7/12*3*F11,C11*F11)))/10000,0)</f>
        <v>0</v>
      </c>
      <c r="D10" s="2536" t="s">
        <v>2475</v>
      </c>
      <c r="E10" s="2533" t="s">
        <v>2473</v>
      </c>
      <c r="F10" s="2656"/>
      <c r="G10" s="1597"/>
      <c r="H10" s="2596" t="s">
        <v>2479</v>
      </c>
      <c r="I10" s="2601" t="s">
        <v>2468</v>
      </c>
      <c r="J10" s="786">
        <f ca="1">ROUND(IF(M10="押一",M6*M8*M7/12*M11,IF(M10="押二",M6*M8*M7/12*2*M11,IF(M10="押三",M6*M8*M7/12*3*M11,J11*M11)))/10000,0)</f>
        <v>0</v>
      </c>
      <c r="K10" s="2536" t="s">
        <v>2475</v>
      </c>
      <c r="L10" s="2533" t="s">
        <v>2473</v>
      </c>
      <c r="M10" s="2656"/>
    </row>
    <row r="11" spans="1:33" ht="18" customHeight="1">
      <c r="A11" s="793"/>
      <c r="B11" s="2530" t="s">
        <v>2583</v>
      </c>
      <c r="C11" s="2534"/>
      <c r="D11" s="792"/>
      <c r="E11" s="2533" t="s">
        <v>2474</v>
      </c>
      <c r="F11" s="799">
        <f ca="1">'数据-取费表'!B39</f>
        <v>0</v>
      </c>
      <c r="G11" s="1597"/>
      <c r="H11" s="2597"/>
      <c r="I11" s="2530" t="s">
        <v>2583</v>
      </c>
      <c r="J11" s="2534"/>
      <c r="K11" s="2598"/>
      <c r="L11" s="2533" t="s">
        <v>2474</v>
      </c>
      <c r="M11" s="2527">
        <f ca="1">'数据-取费表'!B39</f>
        <v>0</v>
      </c>
    </row>
    <row r="12" spans="1:33" ht="18" customHeight="1" thickBot="1">
      <c r="A12" s="2572" t="s">
        <v>2477</v>
      </c>
      <c r="B12" s="2573" t="s">
        <v>2469</v>
      </c>
      <c r="C12" s="2574"/>
      <c r="D12" s="2575"/>
      <c r="E12" s="2576"/>
      <c r="F12" s="2577"/>
      <c r="G12" s="1597"/>
      <c r="H12" s="2586" t="s">
        <v>2480</v>
      </c>
      <c r="I12" s="2599" t="s">
        <v>2469</v>
      </c>
      <c r="J12" s="2600"/>
      <c r="K12" s="2575"/>
      <c r="L12" s="2576"/>
      <c r="M12" s="2589"/>
    </row>
    <row r="13" spans="1:33" ht="18" customHeight="1" thickTop="1">
      <c r="A13" s="1835">
        <v>2</v>
      </c>
      <c r="B13" s="1833" t="s">
        <v>1746</v>
      </c>
      <c r="C13" s="795">
        <f ca="1">ROUND(C29*F13,0)</f>
        <v>0</v>
      </c>
      <c r="D13" s="1840" t="s">
        <v>2304</v>
      </c>
      <c r="E13" s="1840" t="s">
        <v>1748</v>
      </c>
      <c r="F13" s="2571">
        <f ca="1">INDIRECT("'数据-取费表'!y"&amp;$G$1)</f>
        <v>0</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0</v>
      </c>
      <c r="D14" s="1985" t="s">
        <v>1749</v>
      </c>
      <c r="E14" s="1986"/>
      <c r="F14" s="808"/>
      <c r="G14" s="1597"/>
      <c r="H14" s="1654" t="s">
        <v>1835</v>
      </c>
      <c r="I14" s="2241" t="s">
        <v>2839</v>
      </c>
      <c r="J14" s="53">
        <f ca="1">C29</f>
        <v>0</v>
      </c>
      <c r="K14" s="26"/>
      <c r="L14" s="804"/>
      <c r="M14" s="805"/>
    </row>
    <row r="15" spans="1:33" s="2071" customFormat="1" ht="18" customHeight="1" thickBot="1">
      <c r="A15" s="1653" t="s">
        <v>1890</v>
      </c>
      <c r="B15" s="787" t="s">
        <v>648</v>
      </c>
      <c r="C15" s="53">
        <f ca="1">ROUND(C14*F15,0)</f>
        <v>0</v>
      </c>
      <c r="D15" s="809" t="s">
        <v>1750</v>
      </c>
      <c r="E15" s="809" t="s">
        <v>1751</v>
      </c>
      <c r="F15" s="810">
        <f>'数据-取费表'!B33</f>
        <v>0</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0</v>
      </c>
      <c r="K16" s="1827" t="s">
        <v>1754</v>
      </c>
      <c r="L16" s="2521"/>
      <c r="M16" s="2526"/>
    </row>
    <row r="17" spans="1:33" s="2071" customFormat="1" ht="18" customHeight="1">
      <c r="A17" s="1653" t="s">
        <v>1892</v>
      </c>
      <c r="B17" s="787" t="s">
        <v>654</v>
      </c>
      <c r="C17" s="53">
        <f ca="1">ROUND(F17*(F43+INDIRECT("'数据-取费表'!S"&amp;$G$1))/10000,0)</f>
        <v>0</v>
      </c>
      <c r="D17" s="787" t="s">
        <v>1755</v>
      </c>
      <c r="E17" s="787" t="s">
        <v>1756</v>
      </c>
      <c r="F17" s="56">
        <f>'数据-取费表'!B35</f>
        <v>0</v>
      </c>
      <c r="G17" s="1598"/>
      <c r="H17" s="1654" t="s">
        <v>1835</v>
      </c>
      <c r="I17" s="787" t="s">
        <v>657</v>
      </c>
      <c r="J17" s="53">
        <f ca="1">ROUND(IF(项目基本情况!B11="自然人",J5*M17,J18+J19+J20),0)</f>
        <v>0</v>
      </c>
      <c r="K17" s="2520" t="s">
        <v>1757</v>
      </c>
      <c r="L17" s="2519" t="s">
        <v>1758</v>
      </c>
      <c r="M17" s="813">
        <f ca="1">IF(项目基本情况!B11="企业","",IF(INDIRECT("'数据-取费表'!c"&amp;$G$1)="住宅",5%,IF(M6*M7*M8/12/(1+'数据-取费表'!C42)&gt;20000,12%,7%)))</f>
        <v>7.0000000000000007E-2</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0</v>
      </c>
      <c r="D18" s="787" t="s">
        <v>1750</v>
      </c>
      <c r="E18" s="787" t="s">
        <v>1751</v>
      </c>
      <c r="F18" s="812">
        <f>'数据-取费表'!B36</f>
        <v>0</v>
      </c>
      <c r="G18" s="1598"/>
      <c r="H18" s="1653" t="s">
        <v>1889</v>
      </c>
      <c r="I18" s="787" t="s">
        <v>1759</v>
      </c>
      <c r="J18" s="53">
        <f ca="1">ROUND(J5*M18/1.05,1)</f>
        <v>0</v>
      </c>
      <c r="K18" s="2519" t="s">
        <v>1760</v>
      </c>
      <c r="L18" s="787" t="s">
        <v>1751</v>
      </c>
      <c r="M18" s="812">
        <f>'数据-取费表'!B41</f>
        <v>0.05</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0</v>
      </c>
      <c r="D19" s="261" t="s">
        <v>1761</v>
      </c>
      <c r="E19" s="1988"/>
      <c r="F19" s="56"/>
      <c r="G19" s="1597"/>
      <c r="H19" s="1653" t="s">
        <v>1890</v>
      </c>
      <c r="I19" s="787" t="s">
        <v>1762</v>
      </c>
      <c r="J19" s="53">
        <f ca="1">IF(K19="按租金收入计税",ROUND(J5*M19,1),ROUND(C29*F33*0.7,1))</f>
        <v>0</v>
      </c>
      <c r="K19" s="814" t="s">
        <v>666</v>
      </c>
      <c r="L19" s="787" t="s">
        <v>1751</v>
      </c>
      <c r="M19" s="812">
        <f>IF(K19="按租金收入计税",'数据-取费表'!B51,'数据-取费表'!B50)</f>
        <v>1.2E-2</v>
      </c>
    </row>
    <row r="20" spans="1:33" s="2071" customFormat="1" ht="18" customHeight="1">
      <c r="A20" s="1654" t="s">
        <v>1894</v>
      </c>
      <c r="B20" s="787" t="s">
        <v>667</v>
      </c>
      <c r="C20" s="53">
        <f ca="1">ROUND(C19*F20,0)</f>
        <v>0</v>
      </c>
      <c r="D20" s="815" t="s">
        <v>1763</v>
      </c>
      <c r="E20" s="787" t="s">
        <v>1751</v>
      </c>
      <c r="F20" s="812">
        <f>'数据-取费表'!B37</f>
        <v>0</v>
      </c>
      <c r="G20" s="1598"/>
      <c r="H20" s="1656" t="s">
        <v>1885</v>
      </c>
      <c r="I20" s="344" t="s">
        <v>1764</v>
      </c>
      <c r="J20" s="54">
        <f ca="1">ROUND(M20*M21/10000,0)</f>
        <v>0</v>
      </c>
      <c r="K20" s="817" t="s">
        <v>1765</v>
      </c>
      <c r="L20" s="787" t="s">
        <v>1766</v>
      </c>
      <c r="M20" s="643">
        <f>'数据-取费表'!B52</f>
        <v>0</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2305</v>
      </c>
      <c r="E21" s="787" t="s">
        <v>1769</v>
      </c>
      <c r="F21" s="812">
        <f>'数据-取费表'!B38</f>
        <v>0</v>
      </c>
      <c r="G21" s="1598"/>
      <c r="H21" s="2541"/>
      <c r="I21" s="796"/>
      <c r="J21" s="69"/>
      <c r="K21" s="819"/>
      <c r="L21" s="787" t="s">
        <v>1770</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单利计息。建造成本、管理费用、销售费用产生的利息。</v>
      </c>
      <c r="E22" s="1988"/>
      <c r="F22" s="56"/>
      <c r="G22" s="1597"/>
      <c r="H22" s="1654" t="s">
        <v>1894</v>
      </c>
      <c r="I22" s="787" t="s">
        <v>1772</v>
      </c>
      <c r="J22" s="53">
        <f ca="1">ROUND(J14*M22,0)</f>
        <v>0</v>
      </c>
      <c r="K22" s="2519" t="s">
        <v>1773</v>
      </c>
      <c r="L22" s="787" t="s">
        <v>1751</v>
      </c>
      <c r="M22" s="820">
        <f ca="1">INDIRECT("'数据-取费表'!Ak"&amp;$G$1)</f>
        <v>0</v>
      </c>
    </row>
    <row r="23" spans="1:33" s="2071" customFormat="1" ht="18" customHeight="1">
      <c r="A23" s="1653" t="s">
        <v>1836</v>
      </c>
      <c r="B23" s="787" t="s">
        <v>2545</v>
      </c>
      <c r="C23" s="53">
        <f ca="1">ROUND(IF('数据-取费表'!B22&lt;=1,(C19+C20)*F24*F23/2,(C19+C20)*(POWER((1+F24),F23/2)-1)),0)</f>
        <v>0</v>
      </c>
      <c r="D23" s="2606" t="str">
        <f>IF(F23&lt;=1,"(建造成本+管理费用)×利率×(建设周期÷2)","(建造成本+管理费用)×((1+利率)^(建设周期÷2)-1)")</f>
        <v>(建造成本+管理费用)×利率×(建设周期÷2)</v>
      </c>
      <c r="E23" s="787" t="s">
        <v>1774</v>
      </c>
      <c r="F23" s="643">
        <f>'数据-取费表'!B20</f>
        <v>0</v>
      </c>
      <c r="G23" s="1598"/>
      <c r="H23" s="1654" t="s">
        <v>1895</v>
      </c>
      <c r="I23" s="787" t="s">
        <v>680</v>
      </c>
      <c r="J23" s="53">
        <f ca="1">ROUND(J13*M23,0)</f>
        <v>0</v>
      </c>
      <c r="K23" s="2519" t="s">
        <v>1775</v>
      </c>
      <c r="L23" s="787" t="s">
        <v>1751</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0</v>
      </c>
      <c r="D24" s="2606" t="str">
        <f>IF(F23&lt;=1,"销售费用×利率×(建设周期÷2)","销售费用×((1+利率)^(建设周期÷2)-1)")</f>
        <v>销售费用×利率×(建设周期÷2)</v>
      </c>
      <c r="E24" s="787" t="s">
        <v>1777</v>
      </c>
      <c r="F24" s="822">
        <f ca="1">'数据-取费表'!B40</f>
        <v>0</v>
      </c>
      <c r="G24" s="1598"/>
      <c r="H24" s="2586" t="s">
        <v>1896</v>
      </c>
      <c r="I24" s="2581" t="s">
        <v>667</v>
      </c>
      <c r="J24" s="2579">
        <f ca="1">ROUND(J5*M24,0)</f>
        <v>0</v>
      </c>
      <c r="K24" s="2580" t="s">
        <v>1778</v>
      </c>
      <c r="L24" s="2581" t="s">
        <v>1751</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2835</v>
      </c>
      <c r="J25" s="795">
        <f ca="1">J5-J16</f>
        <v>0</v>
      </c>
      <c r="K25" s="2583" t="s">
        <v>1781</v>
      </c>
      <c r="L25" s="2584"/>
      <c r="M25" s="2585"/>
    </row>
    <row r="26" spans="1:33" ht="18" customHeight="1">
      <c r="A26" s="1653" t="s">
        <v>1836</v>
      </c>
      <c r="B26" s="787" t="s">
        <v>2446</v>
      </c>
      <c r="C26" s="53">
        <f ca="1">ROUND((C19+C20)*F26,0)</f>
        <v>0</v>
      </c>
      <c r="D26" s="815" t="s">
        <v>1782</v>
      </c>
      <c r="E26" s="798" t="s">
        <v>1783</v>
      </c>
      <c r="F26" s="797">
        <f ca="1">INDIRECT("'数据-取费表'!q"&amp;$G$1)</f>
        <v>0</v>
      </c>
      <c r="G26" s="1597"/>
      <c r="H26" s="2537" t="s">
        <v>1784</v>
      </c>
      <c r="I26" s="2242" t="s">
        <v>2840</v>
      </c>
      <c r="J26" s="786">
        <f ca="1">IF(J5&lt;&gt;0,ROUND(J25*(1-((1+M28)/(1+M26))^M27)/(M26-M28),0),0)</f>
        <v>0</v>
      </c>
      <c r="K26" s="817" t="s">
        <v>1785</v>
      </c>
      <c r="L26" s="787" t="s">
        <v>2427</v>
      </c>
      <c r="M26" s="797">
        <f ca="1">INDIRECT("'数据-取费表'!I"&amp;$G$1)</f>
        <v>0</v>
      </c>
    </row>
    <row r="27" spans="1:33" ht="18" customHeight="1">
      <c r="A27" s="1653" t="s">
        <v>1837</v>
      </c>
      <c r="B27" s="787" t="s">
        <v>687</v>
      </c>
      <c r="C27" s="53">
        <f ca="1">ROUND(F21*F26,4)</f>
        <v>0</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0.05</v>
      </c>
      <c r="D28" s="815" t="s">
        <v>2306</v>
      </c>
      <c r="E28" s="787" t="s">
        <v>1789</v>
      </c>
      <c r="F28" s="812">
        <f>'数据-取费表'!B41</f>
        <v>0.05</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2307</v>
      </c>
      <c r="C29" s="2579">
        <f ca="1">ROUND((C19+C20+C23+C26)/(1-F21-C24-C27-C28),0)</f>
        <v>0</v>
      </c>
      <c r="D29" s="2580"/>
      <c r="E29" s="2581"/>
      <c r="F29" s="2582"/>
      <c r="G29" s="1598"/>
      <c r="H29" s="826" t="s">
        <v>1791</v>
      </c>
      <c r="I29" s="827" t="s">
        <v>1792</v>
      </c>
      <c r="J29" s="828">
        <f ca="1">ROUND(J26/(1+F40)^F41,0)</f>
        <v>0</v>
      </c>
      <c r="K29" s="829" t="s">
        <v>1793</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0</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0</v>
      </c>
      <c r="D31" s="1985" t="s">
        <v>1796</v>
      </c>
      <c r="E31" s="1983" t="s">
        <v>1797</v>
      </c>
      <c r="F31" s="813">
        <f ca="1">IF(项目基本情况!B11="企业","",IF(INDIRECT("'数据-取费表'!c"&amp;$G$1)="住宅",5%,IF(F6*F7*F8/12/(1+'数据-取费表'!C42)&gt;20000,12%,7%)))</f>
        <v>7.0000000000000007E-2</v>
      </c>
      <c r="G31" s="2069"/>
      <c r="H31" s="2072"/>
      <c r="I31" s="2073"/>
      <c r="J31" s="2074"/>
      <c r="K31" s="2075"/>
      <c r="L31" s="2076"/>
      <c r="M31" s="2077"/>
    </row>
    <row r="32" spans="1:33" ht="18" customHeight="1">
      <c r="A32" s="1653" t="s">
        <v>1836</v>
      </c>
      <c r="B32" s="787" t="s">
        <v>1798</v>
      </c>
      <c r="C32" s="53">
        <f ca="1">ROUND(C5*F32/1.05,1)</f>
        <v>0</v>
      </c>
      <c r="D32" s="1983" t="s">
        <v>1799</v>
      </c>
      <c r="E32" s="787" t="s">
        <v>1800</v>
      </c>
      <c r="F32" s="812">
        <f>'数据-取费表'!B41</f>
        <v>0.05</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0</v>
      </c>
      <c r="D34" s="817" t="s">
        <v>1803</v>
      </c>
      <c r="E34" s="787" t="s">
        <v>1804</v>
      </c>
      <c r="F34" s="643">
        <f>'数据-取费表'!B52</f>
        <v>0</v>
      </c>
      <c r="G34" s="2069"/>
      <c r="H34" s="2072"/>
      <c r="I34" s="838" t="s">
        <v>1818</v>
      </c>
      <c r="J34" s="839"/>
      <c r="K34" s="2087"/>
      <c r="L34" s="2086"/>
      <c r="M34" s="2086"/>
    </row>
    <row r="35" spans="1:18" ht="18" customHeight="1">
      <c r="A35" s="818"/>
      <c r="B35" s="796"/>
      <c r="C35" s="69"/>
      <c r="D35" s="819"/>
      <c r="E35" s="787" t="s">
        <v>1805</v>
      </c>
      <c r="F35" s="788">
        <f ca="1">INDIRECT("'数据-取费表'!r"&amp;$G$1)</f>
        <v>0</v>
      </c>
      <c r="G35" s="2069"/>
      <c r="H35" s="2072"/>
      <c r="I35" s="840" t="s">
        <v>1819</v>
      </c>
      <c r="J35" s="841">
        <f ca="1">ROUND(C13*J36,0)</f>
        <v>0</v>
      </c>
      <c r="K35" s="2085"/>
      <c r="L35" s="2084"/>
      <c r="M35" s="2084"/>
    </row>
    <row r="36" spans="1:18" ht="18" customHeight="1">
      <c r="A36" s="1654" t="s">
        <v>1894</v>
      </c>
      <c r="B36" s="787" t="s">
        <v>1806</v>
      </c>
      <c r="C36" s="53">
        <f ca="1">ROUND(C29*F36,1)</f>
        <v>0</v>
      </c>
      <c r="D36" s="1983" t="s">
        <v>1807</v>
      </c>
      <c r="E36" s="787" t="s">
        <v>1800</v>
      </c>
      <c r="F36" s="820">
        <f ca="1">INDIRECT("'数据-取费表'!Ak"&amp;$G$1)</f>
        <v>0</v>
      </c>
      <c r="G36" s="2069"/>
      <c r="H36" s="2084"/>
      <c r="I36" s="842" t="s">
        <v>1820</v>
      </c>
      <c r="J36" s="843">
        <f ca="1">INDIRECT("'数据-取费表'!j"&amp;$G$1)</f>
        <v>0</v>
      </c>
      <c r="K36" s="2089"/>
      <c r="L36" s="2084"/>
      <c r="M36" s="2084"/>
    </row>
    <row r="37" spans="1:18" ht="18" customHeight="1">
      <c r="A37" s="1654" t="s">
        <v>1895</v>
      </c>
      <c r="B37" s="787" t="s">
        <v>680</v>
      </c>
      <c r="C37" s="53">
        <f ca="1">ROUND(C13*F37,1)</f>
        <v>0</v>
      </c>
      <c r="D37" s="1983" t="s">
        <v>1808</v>
      </c>
      <c r="E37" s="787" t="s">
        <v>1800</v>
      </c>
      <c r="F37" s="821">
        <f ca="1">INDIRECT("'数据-取费表'!Al"&amp;$G$1)</f>
        <v>0</v>
      </c>
      <c r="G37" s="2069"/>
      <c r="H37" s="2084"/>
      <c r="I37" s="844" t="s">
        <v>1821</v>
      </c>
      <c r="J37" s="845"/>
      <c r="K37" s="2089"/>
      <c r="L37" s="2084"/>
      <c r="M37" s="2084"/>
    </row>
    <row r="38" spans="1:18" ht="18" customHeight="1" thickBot="1">
      <c r="A38" s="2586" t="s">
        <v>1896</v>
      </c>
      <c r="B38" s="2581" t="s">
        <v>667</v>
      </c>
      <c r="C38" s="2579">
        <f ca="1">ROUND(C5*F38,1)</f>
        <v>0</v>
      </c>
      <c r="D38" s="2580" t="s">
        <v>1809</v>
      </c>
      <c r="E38" s="2581" t="s">
        <v>1800</v>
      </c>
      <c r="F38" s="2577">
        <f ca="1">INDIRECT("'数据-取费表'!Am"&amp;$G$1)</f>
        <v>0</v>
      </c>
      <c r="G38" s="2069"/>
      <c r="H38" s="2084"/>
      <c r="I38" s="846" t="s">
        <v>1822</v>
      </c>
      <c r="J38" s="847"/>
      <c r="K38" s="2090"/>
      <c r="L38" s="2084"/>
      <c r="M38" s="2084"/>
    </row>
    <row r="39" spans="1:18" ht="24.6" customHeight="1" thickTop="1">
      <c r="A39" s="1835" t="s">
        <v>1899</v>
      </c>
      <c r="B39" s="3049" t="s">
        <v>2835</v>
      </c>
      <c r="C39" s="795">
        <f ca="1">C5-C30</f>
        <v>0</v>
      </c>
      <c r="D39" s="2583" t="s">
        <v>1810</v>
      </c>
      <c r="E39" s="2584"/>
      <c r="F39" s="2585"/>
      <c r="G39" s="2069"/>
      <c r="H39" s="2084"/>
      <c r="I39" s="840" t="s">
        <v>1823</v>
      </c>
      <c r="J39" s="848" t="e">
        <f ca="1">ROUND(J35/C39,3)</f>
        <v>#DIV/0!</v>
      </c>
      <c r="K39" s="2090"/>
      <c r="L39" s="2084"/>
      <c r="M39" s="2084"/>
    </row>
    <row r="40" spans="1:18" ht="18" customHeight="1">
      <c r="A40" s="784" t="s">
        <v>1900</v>
      </c>
      <c r="B40" s="2242" t="s">
        <v>2308</v>
      </c>
      <c r="C40" s="786" t="e">
        <f ca="1">ROUND(C39*(1-((1+F42)/(1+F40))^F41)/(F40-F42),0)</f>
        <v>#DIV/0!</v>
      </c>
      <c r="D40" s="817" t="s">
        <v>1811</v>
      </c>
      <c r="E40" s="787" t="s">
        <v>2427</v>
      </c>
      <c r="F40" s="797">
        <f ca="1">INDIRECT("'数据-取费表'!I"&amp;$G$1)</f>
        <v>0</v>
      </c>
      <c r="G40" s="2069"/>
      <c r="H40" s="2069"/>
      <c r="I40" s="840" t="s">
        <v>1824</v>
      </c>
      <c r="J40" s="848" t="e">
        <f ca="1">1-J39</f>
        <v>#DIV/0!</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0</v>
      </c>
      <c r="G41" s="2069"/>
      <c r="H41" s="1994"/>
      <c r="I41" s="846" t="s">
        <v>1825</v>
      </c>
      <c r="J41" s="849"/>
      <c r="K41" s="2089"/>
      <c r="L41" s="1994"/>
      <c r="M41" s="1994"/>
    </row>
    <row r="42" spans="1:18" ht="18" customHeight="1">
      <c r="A42" s="793"/>
      <c r="B42" s="794"/>
      <c r="C42" s="795"/>
      <c r="D42" s="819"/>
      <c r="E42" s="787" t="s">
        <v>1814</v>
      </c>
      <c r="F42" s="797">
        <f ca="1">INDIRECT("'数据-取费表'!v"&amp;$G$1)</f>
        <v>0</v>
      </c>
      <c r="G42" s="2069"/>
      <c r="H42" s="1994"/>
      <c r="I42" s="850" t="s">
        <v>1826</v>
      </c>
      <c r="J42" s="848" t="e">
        <f ca="1">ROUND(C13/C40,3)</f>
        <v>#DIV/0!</v>
      </c>
      <c r="K42" s="2089"/>
      <c r="L42" s="1994"/>
      <c r="M42" s="1994"/>
    </row>
    <row r="43" spans="1:18" ht="18" customHeight="1" thickBot="1">
      <c r="A43" s="826" t="s">
        <v>1791</v>
      </c>
      <c r="B43" s="827" t="s">
        <v>1815</v>
      </c>
      <c r="C43" s="828" t="e">
        <f ca="1">ROUND(C40*10000/F43,0)</f>
        <v>#DIV/0!</v>
      </c>
      <c r="D43" s="829" t="s">
        <v>1816</v>
      </c>
      <c r="E43" s="830" t="s">
        <v>1817</v>
      </c>
      <c r="F43" s="831">
        <f ca="1">INDIRECT("'数据-取费表'!k"&amp;$G$1)</f>
        <v>0</v>
      </c>
      <c r="G43" s="2069"/>
      <c r="H43" s="1994"/>
      <c r="I43" s="850" t="s">
        <v>1827</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2302</v>
      </c>
      <c r="B46" s="2092"/>
      <c r="C46" s="2609" t="e">
        <f ca="1">C67-C40</f>
        <v>#DIV/0!</v>
      </c>
      <c r="D46" s="2092"/>
      <c r="E46" s="2092"/>
      <c r="F46" s="2092"/>
      <c r="I46" s="2388" t="s">
        <v>2350</v>
      </c>
      <c r="J46" s="2389"/>
      <c r="K46" s="2390"/>
      <c r="L46" s="2391" t="e">
        <f ca="1">IF(M47="住宅",0,IF(L48&gt;J51,L60,J60))</f>
        <v>#DIV/0!</v>
      </c>
      <c r="O46" s="2429" t="s">
        <v>2418</v>
      </c>
      <c r="P46" s="1597"/>
      <c r="Q46" s="1609"/>
      <c r="R46" s="1597"/>
    </row>
    <row r="47" spans="1:18" s="2066" customFormat="1" ht="18" customHeight="1" thickBot="1">
      <c r="A47" s="2382">
        <v>1</v>
      </c>
      <c r="B47" s="2383" t="s">
        <v>636</v>
      </c>
      <c r="C47" s="2609">
        <f ca="1">C48+C52+C54</f>
        <v>0</v>
      </c>
      <c r="D47" s="2092"/>
      <c r="E47" s="2092"/>
      <c r="F47" s="2092"/>
      <c r="I47" s="2392" t="s">
        <v>2351</v>
      </c>
      <c r="J47" s="2397"/>
      <c r="K47" s="2398" t="s">
        <v>2357</v>
      </c>
      <c r="L47" s="2399">
        <f ca="1">INDIRECT("'数据-取费表'!d"&amp;$G$1)</f>
        <v>0</v>
      </c>
      <c r="M47" s="1609" t="str">
        <f>IF(ISNUMBER(FIND("住宅",C1)),"住宅","非住宅")</f>
        <v>非住宅</v>
      </c>
      <c r="O47" s="2430" t="s">
        <v>2383</v>
      </c>
      <c r="P47" s="2431" t="s">
        <v>2384</v>
      </c>
      <c r="Q47" s="2432" t="s">
        <v>2385</v>
      </c>
      <c r="R47" s="2431" t="s">
        <v>2386</v>
      </c>
    </row>
    <row r="48" spans="1:18" s="2066" customFormat="1" ht="18" customHeight="1" thickBot="1">
      <c r="A48" s="2678" t="s">
        <v>2547</v>
      </c>
      <c r="B48" s="2679" t="s">
        <v>2548</v>
      </c>
      <c r="C48" s="2384">
        <f ca="1">ROUND(F48*F50*F49*(1-F51)/10000,0)</f>
        <v>0</v>
      </c>
      <c r="D48" s="2385" t="s">
        <v>637</v>
      </c>
      <c r="E48" s="2386" t="s">
        <v>2303</v>
      </c>
      <c r="F48" s="2387"/>
      <c r="G48" s="2097"/>
      <c r="I48" s="2393" t="s">
        <v>2352</v>
      </c>
      <c r="J48" s="2400"/>
      <c r="K48" s="2401" t="s">
        <v>2359</v>
      </c>
      <c r="L48" s="2402">
        <f ca="1">INDIRECT("'数据-取费表'!f"&amp;$G$1)</f>
        <v>0</v>
      </c>
      <c r="O48" s="2433" t="s">
        <v>2387</v>
      </c>
      <c r="P48" s="2434" t="s">
        <v>2413</v>
      </c>
      <c r="Q48" s="2435" t="e">
        <f ca="1">C40+J29</f>
        <v>#DIV/0!</v>
      </c>
      <c r="R48" s="2434" t="s">
        <v>2388</v>
      </c>
    </row>
    <row r="49" spans="1:18" s="2066" customFormat="1" ht="18" customHeight="1" thickBot="1">
      <c r="A49" s="789"/>
      <c r="B49" s="790"/>
      <c r="C49" s="791"/>
      <c r="D49" s="792"/>
      <c r="E49" s="787" t="s">
        <v>1743</v>
      </c>
      <c r="F49" s="788">
        <f ca="1">F7</f>
        <v>0</v>
      </c>
      <c r="G49" s="2097"/>
      <c r="H49" s="2100"/>
      <c r="I49" s="2393" t="s">
        <v>2353</v>
      </c>
      <c r="J49" s="2403"/>
      <c r="K49" s="2404" t="s">
        <v>2360</v>
      </c>
      <c r="L49" s="2405"/>
      <c r="O49" s="2433" t="s">
        <v>2389</v>
      </c>
      <c r="P49" s="2434" t="s">
        <v>2414</v>
      </c>
      <c r="Q49" s="2435" t="e">
        <f ca="1">J60</f>
        <v>#DIV/0!</v>
      </c>
      <c r="R49" s="2434" t="s">
        <v>2390</v>
      </c>
    </row>
    <row r="50" spans="1:18" s="2066" customFormat="1" ht="18" customHeight="1" thickBot="1">
      <c r="A50" s="789"/>
      <c r="B50" s="790"/>
      <c r="C50" s="791"/>
      <c r="D50" s="792"/>
      <c r="E50" s="787" t="s">
        <v>1744</v>
      </c>
      <c r="F50" s="788">
        <f ca="1">F8</f>
        <v>0</v>
      </c>
      <c r="G50" s="2105"/>
      <c r="H50" s="2100"/>
      <c r="I50" s="2393" t="s">
        <v>2354</v>
      </c>
      <c r="J50" s="2406">
        <f>SUMPRODUCT((I63:I65=J47)*(J62:L62=J48)*(J63:L65))</f>
        <v>0</v>
      </c>
      <c r="K50" s="2404" t="s">
        <v>2361</v>
      </c>
      <c r="L50" s="2405"/>
      <c r="O50" s="2436" t="s">
        <v>2391</v>
      </c>
      <c r="P50" s="2434" t="s">
        <v>2415</v>
      </c>
      <c r="Q50" s="2435">
        <f ca="1">C29</f>
        <v>0</v>
      </c>
      <c r="R50" s="2434" t="s">
        <v>2388</v>
      </c>
    </row>
    <row r="51" spans="1:18" s="2066" customFormat="1" ht="18" customHeight="1" thickBot="1">
      <c r="A51" s="789"/>
      <c r="B51" s="790"/>
      <c r="C51" s="791"/>
      <c r="D51" s="792"/>
      <c r="E51" s="787" t="s">
        <v>641</v>
      </c>
      <c r="F51" s="2381"/>
      <c r="H51" s="2100"/>
      <c r="I51" s="2394" t="s">
        <v>2355</v>
      </c>
      <c r="J51" s="2407">
        <f>IF(J49="",J50,J49+J50-YEAR('数据-取费表'!B2))</f>
        <v>0</v>
      </c>
      <c r="K51" s="2393" t="s">
        <v>2362</v>
      </c>
      <c r="L51" s="2408">
        <f ca="1">ROUND(-PV(INDIRECT("'数据-取费表'!h"&amp;$G$1),L48,(C39-C13*J35),0),0)</f>
        <v>0</v>
      </c>
      <c r="O51" s="2436" t="s">
        <v>2392</v>
      </c>
      <c r="P51" s="2434" t="s">
        <v>2393</v>
      </c>
      <c r="Q51" s="2437" t="e">
        <f ca="1">J58</f>
        <v>#DIV/0!</v>
      </c>
      <c r="R51" s="2438"/>
    </row>
    <row r="52" spans="1:18" s="2066" customFormat="1" ht="18" customHeight="1" thickBot="1">
      <c r="A52" s="784" t="s">
        <v>2546</v>
      </c>
      <c r="B52" s="2529" t="s">
        <v>2468</v>
      </c>
      <c r="C52" s="802">
        <f ca="1">ROUND(IF(F52="押一",F48*F50*F49/12*F11,IF(F52="押二",F48*F50*F49/12*2*F11,IF(F52="押三",F48*F50*F49/12*3*F11,C53*F11)))/10000,0)</f>
        <v>0</v>
      </c>
      <c r="D52" s="2536" t="s">
        <v>2475</v>
      </c>
      <c r="E52" s="2533" t="s">
        <v>2473</v>
      </c>
      <c r="F52" s="2656"/>
      <c r="I52" s="2395" t="s">
        <v>2429</v>
      </c>
      <c r="J52" s="2409"/>
      <c r="K52" s="2395" t="s">
        <v>2428</v>
      </c>
      <c r="L52" s="2409"/>
      <c r="O52" s="2436" t="s">
        <v>2394</v>
      </c>
      <c r="P52" s="2434" t="s">
        <v>2395</v>
      </c>
      <c r="Q52" s="2437">
        <f>J52</f>
        <v>0</v>
      </c>
      <c r="R52" s="2438"/>
    </row>
    <row r="53" spans="1:18" s="2066" customFormat="1" ht="39.75" customHeight="1" thickBot="1">
      <c r="A53" s="789"/>
      <c r="B53" s="2530" t="s">
        <v>2583</v>
      </c>
      <c r="C53" s="2534"/>
      <c r="D53" s="2536"/>
      <c r="E53" s="2533"/>
      <c r="F53" s="803"/>
      <c r="I53" s="2396" t="s">
        <v>2356</v>
      </c>
      <c r="J53" s="2410">
        <f ca="1">IF(M47="住宅",J51,MIN(J51,L48))</f>
        <v>0</v>
      </c>
      <c r="K53" s="34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1"/>
      <c r="O53" s="2436" t="s">
        <v>2396</v>
      </c>
      <c r="P53" s="2434" t="s">
        <v>2397</v>
      </c>
      <c r="Q53" s="2435">
        <f ca="1">J53</f>
        <v>0</v>
      </c>
      <c r="R53" s="2434" t="s">
        <v>2398</v>
      </c>
    </row>
    <row r="54" spans="1:18" s="2066" customFormat="1" ht="18" customHeight="1" thickBot="1">
      <c r="A54" s="2572" t="s">
        <v>2477</v>
      </c>
      <c r="B54" s="2573" t="s">
        <v>2469</v>
      </c>
      <c r="C54" s="2574"/>
      <c r="D54" s="2536"/>
      <c r="E54" s="2533"/>
      <c r="F54" s="803"/>
      <c r="K54" s="2093"/>
      <c r="O54" s="2433" t="s">
        <v>2399</v>
      </c>
      <c r="P54" s="2434" t="s">
        <v>2416</v>
      </c>
      <c r="Q54" s="2435" t="e">
        <f ca="1">Q48+Q49</f>
        <v>#DIV/0!</v>
      </c>
      <c r="R54" s="2438" t="s">
        <v>2400</v>
      </c>
    </row>
    <row r="55" spans="1:18" s="2066" customFormat="1" ht="18" customHeight="1" thickTop="1" thickBot="1">
      <c r="A55" s="800">
        <v>2</v>
      </c>
      <c r="B55" s="801" t="s">
        <v>645</v>
      </c>
      <c r="C55" s="802">
        <f ca="1">C13</f>
        <v>0</v>
      </c>
      <c r="D55" s="798"/>
      <c r="E55" s="798"/>
      <c r="F55" s="803"/>
      <c r="I55" s="3142" t="s">
        <v>2363</v>
      </c>
      <c r="J55" s="3141" t="e">
        <f ca="1">ROUND(IF(J47="钢混",J57/J50,1-(1-2%)*(J50-J57)/J50),3)</f>
        <v>#DIV/0!</v>
      </c>
      <c r="K55" s="2411" t="s">
        <v>2364</v>
      </c>
      <c r="L55" s="2412"/>
      <c r="O55" s="2439" t="s">
        <v>2419</v>
      </c>
      <c r="P55" s="1597"/>
      <c r="Q55" s="1609"/>
      <c r="R55" s="1597"/>
    </row>
    <row r="56" spans="1:18" s="2066" customFormat="1" ht="42.75" customHeight="1" thickBot="1">
      <c r="A56" s="1655"/>
      <c r="B56" s="2241" t="s">
        <v>2309</v>
      </c>
      <c r="C56" s="53">
        <f ca="1">C29</f>
        <v>0</v>
      </c>
      <c r="D56" s="2675"/>
      <c r="E56" s="787"/>
      <c r="F56" s="812"/>
      <c r="I56" s="2413" t="s">
        <v>2365</v>
      </c>
      <c r="J56" s="2421"/>
      <c r="K56" s="2393" t="s">
        <v>2370</v>
      </c>
      <c r="L56" s="2402">
        <f ca="1">IF(L48&lt;J51,"——",L48-J51)</f>
        <v>0</v>
      </c>
      <c r="O56" s="2430" t="s">
        <v>2383</v>
      </c>
      <c r="P56" s="2431" t="s">
        <v>2384</v>
      </c>
      <c r="Q56" s="2432" t="s">
        <v>2385</v>
      </c>
      <c r="R56" s="2431" t="s">
        <v>2386</v>
      </c>
    </row>
    <row r="57" spans="1:18" s="2066" customFormat="1" ht="28.5" customHeight="1" thickBot="1">
      <c r="A57" s="800" t="s">
        <v>1752</v>
      </c>
      <c r="B57" s="801" t="s">
        <v>652</v>
      </c>
      <c r="C57" s="802">
        <f ca="1">ROUND(C58+C63+C64+C65,0)</f>
        <v>0</v>
      </c>
      <c r="D57" s="26" t="s">
        <v>1754</v>
      </c>
      <c r="E57" s="2676"/>
      <c r="F57" s="56"/>
      <c r="I57" s="2414" t="s">
        <v>2366</v>
      </c>
      <c r="J57" s="2416">
        <f ca="1">IF(OR(M47="住宅",J51&lt;L48,J56="是"),"——",J51-L48)</f>
        <v>0</v>
      </c>
      <c r="K57" s="2393" t="s">
        <v>2371</v>
      </c>
      <c r="L57" s="2402">
        <f ca="1">IF(L48&lt;J51,"——",IF(L55="比较法",L49,IF(L55="基准地价",L50,L51)))</f>
        <v>0</v>
      </c>
      <c r="O57" s="2433" t="s">
        <v>2387</v>
      </c>
      <c r="P57" s="2434" t="s">
        <v>2417</v>
      </c>
      <c r="Q57" s="2435" t="e">
        <f ca="1">C40+J29</f>
        <v>#DIV/0!</v>
      </c>
      <c r="R57" s="2434" t="s">
        <v>2388</v>
      </c>
    </row>
    <row r="58" spans="1:18" s="2066" customFormat="1" ht="28.5" customHeight="1" thickBot="1">
      <c r="A58" s="1654" t="s">
        <v>1829</v>
      </c>
      <c r="B58" s="787" t="s">
        <v>657</v>
      </c>
      <c r="C58" s="53">
        <f ca="1">ROUND(IF(项目基本情况!B11="自然人",C47*F58,C59+C60+C61),1)</f>
        <v>0</v>
      </c>
      <c r="D58" s="2674" t="s">
        <v>658</v>
      </c>
      <c r="E58" s="2675" t="s">
        <v>691</v>
      </c>
      <c r="F58" s="813">
        <f ca="1">IF(项目基本情况!B11="企业","",IF(INDIRECT("'数据-取费表'!c"&amp;$G$1)="住宅",5%,IF(F48*F49*F50/12/(1+'数据-取费表'!C42)&gt;20000,12%,7%)))</f>
        <v>7.0000000000000007E-2</v>
      </c>
      <c r="I58" s="2414" t="s">
        <v>2367</v>
      </c>
      <c r="J58" s="3143" t="e">
        <f ca="1">IF(J55&lt;0.4,0.4,J55)</f>
        <v>#DIV/0!</v>
      </c>
      <c r="K58" s="2393" t="s">
        <v>2372</v>
      </c>
      <c r="L58" s="2402">
        <f ca="1">IF(ISERROR(POWER(1+L52,L47-L48)*(POWER(1+L52,L48)-1)/(POWER(1+L52,L47)-1)),0,POWER(1+L52,L47-L48)*(POWER(1+L52,L48)-1)/(POWER(1+L52,L47)-1))</f>
        <v>0</v>
      </c>
      <c r="O58" s="2433" t="s">
        <v>2389</v>
      </c>
      <c r="P58" s="2434" t="s">
        <v>2420</v>
      </c>
      <c r="Q58" s="2435" t="e">
        <f ca="1">L60</f>
        <v>#DIV/0!</v>
      </c>
      <c r="R58" s="2438" t="s">
        <v>2422</v>
      </c>
    </row>
    <row r="59" spans="1:18" s="2066" customFormat="1" ht="28.5" customHeight="1" thickBot="1">
      <c r="A59" s="1653" t="s">
        <v>1836</v>
      </c>
      <c r="B59" s="787" t="s">
        <v>661</v>
      </c>
      <c r="C59" s="53">
        <f ca="1">ROUND(C47*F59/1.05,1)</f>
        <v>0</v>
      </c>
      <c r="D59" s="2675" t="s">
        <v>1760</v>
      </c>
      <c r="E59" s="787" t="s">
        <v>1751</v>
      </c>
      <c r="F59" s="812">
        <f t="shared" ref="F59:F65" si="0">F32</f>
        <v>0.05</v>
      </c>
      <c r="I59" s="2414" t="s">
        <v>2368</v>
      </c>
      <c r="J59" s="2416" t="e">
        <f ca="1">IF(OR(M47="住宅",J51&lt;L48,J56="是"),"——",ROUND(C29*J58,0))</f>
        <v>#DIV/0!</v>
      </c>
      <c r="K59" s="2393" t="s">
        <v>2373</v>
      </c>
      <c r="L59" s="2402">
        <f ca="1">IF(ISERROR(POWER(1+L52,L47-J51)*(POWER(1+L52,J51)-1)/(POWER(1+L52,L47)-1)),0,POWER(1+L52,L47-J51)*(POWER(1+L52,J51)-1)/(POWER(1+L52,L47)-1))</f>
        <v>0</v>
      </c>
      <c r="O59" s="2436" t="s">
        <v>2391</v>
      </c>
      <c r="P59" s="2434" t="s">
        <v>2421</v>
      </c>
      <c r="Q59" s="2435">
        <f>IF(L55="比较法",L49,IF(L55="基准地价",L50,0))</f>
        <v>0</v>
      </c>
      <c r="R59" s="2434" t="s">
        <v>2388</v>
      </c>
    </row>
    <row r="60" spans="1:18" s="2066" customFormat="1" ht="18" customHeight="1" thickBot="1">
      <c r="A60" s="1653" t="s">
        <v>1837</v>
      </c>
      <c r="B60" s="787" t="s">
        <v>1762</v>
      </c>
      <c r="C60" s="53">
        <f ca="1">IF(D60="按租金收入计税",ROUND(C47*F60,1),IF(D60="按房产原值计税",ROUND(C56*F60*0.7,1),INDIRECT("'数据-取费表'!Aj"&amp;$G$1)))</f>
        <v>0</v>
      </c>
      <c r="D60" s="2675" t="str">
        <f>D33</f>
        <v>按房产原值计税</v>
      </c>
      <c r="E60" s="787" t="s">
        <v>1751</v>
      </c>
      <c r="F60" s="812">
        <f t="shared" si="0"/>
        <v>1.2E-2</v>
      </c>
      <c r="I60" s="2415" t="s">
        <v>2369</v>
      </c>
      <c r="J60" s="2417" t="e">
        <f ca="1">IF(OR(M47="住宅",J51&lt;L48,J56="是"),"0",ROUND(J59/(1+J52)^J53,0))</f>
        <v>#DIV/0!</v>
      </c>
      <c r="K60" s="2418" t="s">
        <v>2374</v>
      </c>
      <c r="L60" s="2417" t="e">
        <f ca="1">IF(OR(M47="住宅",L48&lt;J51),0,ROUND(L57*(L58/L59-1),0))</f>
        <v>#DIV/0!</v>
      </c>
      <c r="O60" s="2436" t="s">
        <v>2392</v>
      </c>
      <c r="P60" s="2434" t="s">
        <v>2401</v>
      </c>
      <c r="Q60" s="2437">
        <f>L52</f>
        <v>0</v>
      </c>
      <c r="R60" s="2438"/>
    </row>
    <row r="61" spans="1:18" s="2066" customFormat="1" ht="18" customHeight="1" thickBot="1">
      <c r="A61" s="1656" t="s">
        <v>1838</v>
      </c>
      <c r="B61" s="344" t="s">
        <v>669</v>
      </c>
      <c r="C61" s="54">
        <f ca="1">ROUND(F61*F62/10000,1)</f>
        <v>0</v>
      </c>
      <c r="D61" s="817" t="s">
        <v>670</v>
      </c>
      <c r="E61" s="787" t="s">
        <v>671</v>
      </c>
      <c r="F61" s="643">
        <f t="shared" si="0"/>
        <v>0</v>
      </c>
      <c r="K61" s="2093"/>
      <c r="O61" s="2436" t="s">
        <v>2394</v>
      </c>
      <c r="P61" s="2434" t="s">
        <v>2402</v>
      </c>
      <c r="Q61" s="2435">
        <f ca="1">L58</f>
        <v>0</v>
      </c>
      <c r="R61" s="2438" t="s">
        <v>2403</v>
      </c>
    </row>
    <row r="62" spans="1:18" s="2066" customFormat="1" ht="20.25" thickBot="1">
      <c r="A62" s="818"/>
      <c r="B62" s="796"/>
      <c r="C62" s="69"/>
      <c r="D62" s="819"/>
      <c r="E62" s="787" t="s">
        <v>675</v>
      </c>
      <c r="F62" s="788">
        <f t="shared" ca="1" si="0"/>
        <v>0</v>
      </c>
      <c r="I62" s="2419" t="s">
        <v>2375</v>
      </c>
      <c r="J62" s="2420" t="s">
        <v>2376</v>
      </c>
      <c r="K62" s="2420" t="s">
        <v>2377</v>
      </c>
      <c r="L62" s="2420" t="s">
        <v>2358</v>
      </c>
      <c r="M62" s="3144" t="s">
        <v>2959</v>
      </c>
      <c r="O62" s="2436" t="s">
        <v>2396</v>
      </c>
      <c r="P62" s="2434" t="s">
        <v>2404</v>
      </c>
      <c r="Q62" s="2435">
        <f ca="1">L59</f>
        <v>0</v>
      </c>
      <c r="R62" s="2438" t="s">
        <v>2405</v>
      </c>
    </row>
    <row r="63" spans="1:18" s="2066" customFormat="1" ht="15.75" thickBot="1">
      <c r="A63" s="1654" t="s">
        <v>1894</v>
      </c>
      <c r="B63" s="787" t="s">
        <v>677</v>
      </c>
      <c r="C63" s="53">
        <f ca="1">ROUND(C56*F63,1)</f>
        <v>0</v>
      </c>
      <c r="D63" s="2675" t="s">
        <v>1807</v>
      </c>
      <c r="E63" s="787" t="s">
        <v>1751</v>
      </c>
      <c r="F63" s="820">
        <f t="shared" ca="1" si="0"/>
        <v>0</v>
      </c>
      <c r="I63" s="2419" t="s">
        <v>2378</v>
      </c>
      <c r="J63" s="2420">
        <v>70</v>
      </c>
      <c r="K63" s="2420">
        <v>50</v>
      </c>
      <c r="L63" s="2420">
        <v>80</v>
      </c>
      <c r="M63" s="3145">
        <v>0.02</v>
      </c>
      <c r="O63" s="2433" t="s">
        <v>2399</v>
      </c>
      <c r="P63" s="2434" t="s">
        <v>2416</v>
      </c>
      <c r="Q63" s="2435" t="e">
        <f ca="1">Q57+Q58</f>
        <v>#DIV/0!</v>
      </c>
      <c r="R63" s="2438" t="s">
        <v>2400</v>
      </c>
    </row>
    <row r="64" spans="1:18" s="2066" customFormat="1" ht="16.5" thickBot="1">
      <c r="A64" s="1654" t="s">
        <v>1895</v>
      </c>
      <c r="B64" s="787" t="s">
        <v>680</v>
      </c>
      <c r="C64" s="53">
        <f ca="1">ROUND(C55*F64,1)</f>
        <v>0</v>
      </c>
      <c r="D64" s="2675" t="s">
        <v>681</v>
      </c>
      <c r="E64" s="787" t="s">
        <v>1751</v>
      </c>
      <c r="F64" s="821">
        <f t="shared" ca="1" si="0"/>
        <v>0</v>
      </c>
      <c r="I64" s="2419" t="s">
        <v>2379</v>
      </c>
      <c r="J64" s="2420">
        <v>50</v>
      </c>
      <c r="K64" s="2420">
        <v>35</v>
      </c>
      <c r="L64" s="2420">
        <v>60</v>
      </c>
      <c r="M64" s="3146">
        <v>0</v>
      </c>
      <c r="O64" s="2439" t="s">
        <v>2423</v>
      </c>
      <c r="P64" s="1597"/>
      <c r="Q64" s="1609"/>
      <c r="R64" s="1597"/>
    </row>
    <row r="65" spans="1:18" s="2066" customFormat="1" ht="15.75" thickBot="1">
      <c r="A65" s="1654" t="s">
        <v>1896</v>
      </c>
      <c r="B65" s="787" t="s">
        <v>667</v>
      </c>
      <c r="C65" s="53">
        <f ca="1">ROUND(C47*F65,1)</f>
        <v>0</v>
      </c>
      <c r="D65" s="2675" t="s">
        <v>684</v>
      </c>
      <c r="E65" s="787" t="s">
        <v>1751</v>
      </c>
      <c r="F65" s="797">
        <f t="shared" ca="1" si="0"/>
        <v>0</v>
      </c>
      <c r="I65" s="2419" t="s">
        <v>2380</v>
      </c>
      <c r="J65" s="2420">
        <v>40</v>
      </c>
      <c r="K65" s="2420">
        <v>30</v>
      </c>
      <c r="L65" s="2420">
        <v>50</v>
      </c>
      <c r="M65" s="3145">
        <v>0.02</v>
      </c>
      <c r="O65" s="2430" t="s">
        <v>2383</v>
      </c>
      <c r="P65" s="2431" t="s">
        <v>2384</v>
      </c>
      <c r="Q65" s="2432" t="s">
        <v>2385</v>
      </c>
      <c r="R65" s="2431" t="s">
        <v>2386</v>
      </c>
    </row>
    <row r="66" spans="1:18" s="2066" customFormat="1" ht="24.75" thickBot="1">
      <c r="A66" s="800" t="s">
        <v>1780</v>
      </c>
      <c r="B66" s="3050" t="s">
        <v>2835</v>
      </c>
      <c r="C66" s="802">
        <f ca="1">C47-C57</f>
        <v>0</v>
      </c>
      <c r="D66" s="2674" t="s">
        <v>702</v>
      </c>
      <c r="E66" s="2673"/>
      <c r="F66" s="823"/>
      <c r="K66" s="2093"/>
      <c r="O66" s="2433" t="s">
        <v>2387</v>
      </c>
      <c r="P66" s="2434" t="s">
        <v>2417</v>
      </c>
      <c r="Q66" s="2435" t="e">
        <f ca="1">C40+J29</f>
        <v>#DIV/0!</v>
      </c>
      <c r="R66" s="2434" t="s">
        <v>2388</v>
      </c>
    </row>
    <row r="67" spans="1:18" s="2066" customFormat="1" ht="20.25" thickBot="1">
      <c r="A67" s="784" t="s">
        <v>1784</v>
      </c>
      <c r="B67" s="2242" t="s">
        <v>2308</v>
      </c>
      <c r="C67" s="786" t="e">
        <f ca="1">ROUND(C66*(1-((1+F69)/(1+F67))^F68)/(F67-F69),0)</f>
        <v>#DIV/0!</v>
      </c>
      <c r="D67" s="817" t="s">
        <v>706</v>
      </c>
      <c r="E67" s="787" t="s">
        <v>707</v>
      </c>
      <c r="F67" s="797">
        <f ca="1">F40</f>
        <v>0</v>
      </c>
      <c r="K67" s="2093"/>
      <c r="O67" s="2433" t="s">
        <v>2389</v>
      </c>
      <c r="P67" s="2434" t="s">
        <v>2420</v>
      </c>
      <c r="Q67" s="2435" t="e">
        <f ca="1">L60</f>
        <v>#DIV/0!</v>
      </c>
      <c r="R67" s="2438" t="s">
        <v>2422</v>
      </c>
    </row>
    <row r="68" spans="1:18" ht="21.75" thickBot="1">
      <c r="A68" s="789"/>
      <c r="B68" s="790"/>
      <c r="C68" s="791"/>
      <c r="D68" s="824" t="s">
        <v>1812</v>
      </c>
      <c r="E68" s="787" t="s">
        <v>1788</v>
      </c>
      <c r="F68" s="825">
        <f ca="1">F41</f>
        <v>0</v>
      </c>
      <c r="O68" s="2436" t="s">
        <v>2391</v>
      </c>
      <c r="P68" s="2434" t="s">
        <v>2421</v>
      </c>
      <c r="Q68" s="2440">
        <f ca="1">L51</f>
        <v>0</v>
      </c>
      <c r="R68" s="2441" t="s">
        <v>2424</v>
      </c>
    </row>
    <row r="69" spans="1:18" ht="20.25" thickBot="1">
      <c r="A69" s="793"/>
      <c r="B69" s="794"/>
      <c r="C69" s="795"/>
      <c r="D69" s="819"/>
      <c r="E69" s="787" t="s">
        <v>712</v>
      </c>
      <c r="F69" s="2381"/>
      <c r="O69" s="2436" t="s">
        <v>2392</v>
      </c>
      <c r="P69" s="2442" t="s">
        <v>2406</v>
      </c>
      <c r="Q69" s="2435">
        <f ca="1">ROUND(Q70-Q71*Q72,0)</f>
        <v>0</v>
      </c>
      <c r="R69" s="2438"/>
    </row>
    <row r="70" spans="1:18" ht="15.75" thickBot="1">
      <c r="A70" s="826" t="s">
        <v>1791</v>
      </c>
      <c r="B70" s="827" t="s">
        <v>1815</v>
      </c>
      <c r="C70" s="828" t="e">
        <f ca="1">ROUND(C67*10000/F70,0)</f>
        <v>#DIV/0!</v>
      </c>
      <c r="D70" s="829" t="s">
        <v>1816</v>
      </c>
      <c r="E70" s="830" t="s">
        <v>1817</v>
      </c>
      <c r="F70" s="831">
        <f ca="1">F43</f>
        <v>0</v>
      </c>
      <c r="O70" s="2436" t="s">
        <v>2407</v>
      </c>
      <c r="P70" s="2442" t="s">
        <v>2408</v>
      </c>
      <c r="Q70" s="2435">
        <f ca="1">C39</f>
        <v>0</v>
      </c>
      <c r="R70" s="2434" t="s">
        <v>2388</v>
      </c>
    </row>
    <row r="71" spans="1:18" ht="15.75" thickBot="1">
      <c r="O71" s="2436" t="s">
        <v>2409</v>
      </c>
      <c r="P71" s="2442" t="s">
        <v>2410</v>
      </c>
      <c r="Q71" s="2435">
        <f ca="1">C13</f>
        <v>0</v>
      </c>
      <c r="R71" s="2434" t="s">
        <v>2388</v>
      </c>
    </row>
    <row r="72" spans="1:18" ht="15.75" thickBot="1">
      <c r="O72" s="2436" t="s">
        <v>2411</v>
      </c>
      <c r="P72" s="2442" t="s">
        <v>2412</v>
      </c>
      <c r="Q72" s="2437">
        <f ca="1">J36</f>
        <v>0</v>
      </c>
      <c r="R72" s="2438"/>
    </row>
    <row r="73" spans="1:18" ht="15.75" thickBot="1">
      <c r="O73" s="2436" t="s">
        <v>2394</v>
      </c>
      <c r="P73" s="2434" t="s">
        <v>2401</v>
      </c>
      <c r="Q73" s="2437">
        <f>L52</f>
        <v>0</v>
      </c>
      <c r="R73" s="2438"/>
    </row>
    <row r="74" spans="1:18" ht="20.25" thickBot="1">
      <c r="O74" s="2436" t="s">
        <v>2396</v>
      </c>
      <c r="P74" s="2434" t="s">
        <v>2402</v>
      </c>
      <c r="Q74" s="2435">
        <f ca="1">L58</f>
        <v>0</v>
      </c>
      <c r="R74" s="2438" t="s">
        <v>2403</v>
      </c>
    </row>
    <row r="75" spans="1:18" ht="20.25" thickBot="1">
      <c r="O75" s="2436" t="s">
        <v>2425</v>
      </c>
      <c r="P75" s="2434" t="s">
        <v>2404</v>
      </c>
      <c r="Q75" s="2435">
        <f ca="1">L59</f>
        <v>0</v>
      </c>
      <c r="R75" s="2438" t="s">
        <v>2405</v>
      </c>
    </row>
    <row r="76" spans="1:18" ht="15.75" thickBot="1">
      <c r="O76" s="2433" t="s">
        <v>2399</v>
      </c>
      <c r="P76" s="2434" t="s">
        <v>2416</v>
      </c>
      <c r="Q76" s="2435" t="e">
        <f ca="1">Q66+Q67</f>
        <v>#DIV/0!</v>
      </c>
      <c r="R76" s="2438" t="s">
        <v>2400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8" t="s">
        <v>2481</v>
      </c>
      <c r="B1" s="3439"/>
      <c r="C1" s="3440"/>
      <c r="D1" s="3441">
        <f>SUM(I10,I15,I20,I21,I23)</f>
        <v>0</v>
      </c>
      <c r="E1" s="3441"/>
      <c r="F1" s="3441"/>
      <c r="G1" s="3441"/>
      <c r="H1" s="3441"/>
      <c r="I1" s="3442"/>
    </row>
    <row r="2" spans="1:9">
      <c r="A2" s="3428" t="s">
        <v>2482</v>
      </c>
      <c r="B2" s="3429" t="s">
        <v>2483</v>
      </c>
      <c r="C2" s="3429"/>
      <c r="D2" s="2542" t="s">
        <v>2484</v>
      </c>
      <c r="E2" s="2542" t="s">
        <v>2485</v>
      </c>
      <c r="F2" s="2542" t="s">
        <v>2486</v>
      </c>
      <c r="G2" s="2542" t="s">
        <v>2487</v>
      </c>
      <c r="H2" s="2542" t="s">
        <v>2488</v>
      </c>
      <c r="I2" s="2543" t="s">
        <v>2489</v>
      </c>
    </row>
    <row r="3" spans="1:9">
      <c r="A3" s="3428"/>
      <c r="B3" s="3429" t="s">
        <v>2490</v>
      </c>
      <c r="C3" s="3429"/>
      <c r="D3" s="2544"/>
      <c r="E3" s="2542"/>
      <c r="F3" s="2545"/>
      <c r="G3" s="2545"/>
      <c r="H3" s="2546"/>
      <c r="I3" s="2547">
        <f>ROUND(D3*E3*F3*G3*H3/10000,0)</f>
        <v>0</v>
      </c>
    </row>
    <row r="4" spans="1:9">
      <c r="A4" s="3428"/>
      <c r="B4" s="3429" t="s">
        <v>2491</v>
      </c>
      <c r="C4" s="3429"/>
      <c r="D4" s="2544"/>
      <c r="E4" s="2542"/>
      <c r="F4" s="2545"/>
      <c r="G4" s="2545"/>
      <c r="H4" s="2546"/>
      <c r="I4" s="2547">
        <f t="shared" ref="I4:I9" si="0">ROUND(D4*E4*F4*G4*H4/10000,0)</f>
        <v>0</v>
      </c>
    </row>
    <row r="5" spans="1:9">
      <c r="A5" s="3428"/>
      <c r="B5" s="3429" t="s">
        <v>2492</v>
      </c>
      <c r="C5" s="3429"/>
      <c r="D5" s="2544"/>
      <c r="E5" s="2542"/>
      <c r="F5" s="2545"/>
      <c r="G5" s="2545"/>
      <c r="H5" s="2546"/>
      <c r="I5" s="2547">
        <f t="shared" si="0"/>
        <v>0</v>
      </c>
    </row>
    <row r="6" spans="1:9">
      <c r="A6" s="3428"/>
      <c r="B6" s="3429" t="s">
        <v>2493</v>
      </c>
      <c r="C6" s="3429"/>
      <c r="D6" s="2544"/>
      <c r="E6" s="2542"/>
      <c r="F6" s="2545"/>
      <c r="G6" s="2545"/>
      <c r="H6" s="2546"/>
      <c r="I6" s="2547">
        <f t="shared" si="0"/>
        <v>0</v>
      </c>
    </row>
    <row r="7" spans="1:9">
      <c r="A7" s="3428"/>
      <c r="B7" s="3429" t="s">
        <v>2494</v>
      </c>
      <c r="C7" s="3429"/>
      <c r="D7" s="2544"/>
      <c r="E7" s="2542"/>
      <c r="F7" s="2545"/>
      <c r="G7" s="2545"/>
      <c r="H7" s="2546"/>
      <c r="I7" s="2547">
        <f t="shared" si="0"/>
        <v>0</v>
      </c>
    </row>
    <row r="8" spans="1:9">
      <c r="A8" s="3428"/>
      <c r="B8" s="3429" t="s">
        <v>2495</v>
      </c>
      <c r="C8" s="3429"/>
      <c r="D8" s="2544"/>
      <c r="E8" s="2542"/>
      <c r="F8" s="2545"/>
      <c r="G8" s="2545"/>
      <c r="H8" s="2546"/>
      <c r="I8" s="2547">
        <f t="shared" si="0"/>
        <v>0</v>
      </c>
    </row>
    <row r="9" spans="1:9">
      <c r="A9" s="3428"/>
      <c r="B9" s="3429" t="s">
        <v>2496</v>
      </c>
      <c r="C9" s="3429"/>
      <c r="D9" s="2544"/>
      <c r="E9" s="2542"/>
      <c r="F9" s="2545"/>
      <c r="G9" s="2545"/>
      <c r="H9" s="2546"/>
      <c r="I9" s="2547">
        <f t="shared" si="0"/>
        <v>0</v>
      </c>
    </row>
    <row r="10" spans="1:9">
      <c r="A10" s="3428"/>
      <c r="B10" s="3430" t="s">
        <v>2497</v>
      </c>
      <c r="C10" s="3430"/>
      <c r="D10" s="2548">
        <v>527</v>
      </c>
      <c r="E10" s="2548" t="e">
        <f>ROUND(D1*10000/D10/H9,0)</f>
        <v>#DIV/0!</v>
      </c>
      <c r="F10" s="2549"/>
      <c r="G10" s="2549"/>
      <c r="H10" s="2550"/>
      <c r="I10" s="2551">
        <f>SUM(I3:I9)</f>
        <v>0</v>
      </c>
    </row>
    <row r="11" spans="1:9" ht="14.25">
      <c r="A11" s="3428" t="s">
        <v>2498</v>
      </c>
      <c r="B11" s="3429" t="s">
        <v>2499</v>
      </c>
      <c r="C11" s="3429"/>
      <c r="D11" s="2544" t="s">
        <v>2500</v>
      </c>
      <c r="E11" s="2544" t="s">
        <v>2501</v>
      </c>
      <c r="F11" s="2545" t="s">
        <v>2502</v>
      </c>
      <c r="G11" s="2545" t="s">
        <v>2503</v>
      </c>
      <c r="H11" s="2552" t="s">
        <v>2504</v>
      </c>
      <c r="I11" s="2543" t="s">
        <v>2505</v>
      </c>
    </row>
    <row r="12" spans="1:9">
      <c r="A12" s="3428"/>
      <c r="B12" s="3429" t="s">
        <v>2506</v>
      </c>
      <c r="C12" s="3429"/>
      <c r="D12" s="2544"/>
      <c r="E12" s="2544"/>
      <c r="F12" s="2545"/>
      <c r="G12" s="2546"/>
      <c r="H12" s="2553"/>
      <c r="I12" s="2543">
        <f>ROUND(D12*E12*F12*G12/10000,0)</f>
        <v>0</v>
      </c>
    </row>
    <row r="13" spans="1:9">
      <c r="A13" s="3428"/>
      <c r="B13" s="3429" t="s">
        <v>2507</v>
      </c>
      <c r="C13" s="3429"/>
      <c r="D13" s="2544"/>
      <c r="E13" s="2544"/>
      <c r="F13" s="2545"/>
      <c r="G13" s="2546"/>
      <c r="H13" s="2553"/>
      <c r="I13" s="2543">
        <f>ROUND(D13*E13*F13*G13/10000,0)</f>
        <v>0</v>
      </c>
    </row>
    <row r="14" spans="1:9">
      <c r="A14" s="3428"/>
      <c r="B14" s="3429" t="s">
        <v>2508</v>
      </c>
      <c r="C14" s="3429"/>
      <c r="D14" s="2544"/>
      <c r="E14" s="2544"/>
      <c r="F14" s="2545"/>
      <c r="G14" s="2546"/>
      <c r="H14" s="2553"/>
      <c r="I14" s="2543">
        <f>ROUND(D14*E14*F14*G14/10000,0)</f>
        <v>0</v>
      </c>
    </row>
    <row r="15" spans="1:9">
      <c r="A15" s="3428"/>
      <c r="B15" s="3430" t="s">
        <v>2497</v>
      </c>
      <c r="C15" s="3430"/>
      <c r="D15" s="2548"/>
      <c r="E15" s="2548">
        <f>SUM(E12:E14)</f>
        <v>0</v>
      </c>
      <c r="F15" s="2549"/>
      <c r="G15" s="2546"/>
      <c r="H15" s="2553"/>
      <c r="I15" s="2554">
        <f>SUM(I12:I14)</f>
        <v>0</v>
      </c>
    </row>
    <row r="16" spans="1:9" ht="24">
      <c r="A16" s="3428" t="s">
        <v>2509</v>
      </c>
      <c r="B16" s="3429" t="s">
        <v>2510</v>
      </c>
      <c r="C16" s="3429"/>
      <c r="D16" s="2544" t="s">
        <v>2511</v>
      </c>
      <c r="E16" s="2555" t="s">
        <v>2512</v>
      </c>
      <c r="F16" s="2545" t="s">
        <v>2513</v>
      </c>
      <c r="G16" s="2546" t="s">
        <v>2503</v>
      </c>
      <c r="H16" s="2552" t="s">
        <v>2504</v>
      </c>
      <c r="I16" s="2543" t="s">
        <v>2505</v>
      </c>
    </row>
    <row r="17" spans="1:9" ht="14.25">
      <c r="A17" s="3428"/>
      <c r="B17" s="3429" t="s">
        <v>2514</v>
      </c>
      <c r="C17" s="3429"/>
      <c r="D17" s="2544"/>
      <c r="E17" s="2544"/>
      <c r="F17" s="2545"/>
      <c r="G17" s="2546"/>
      <c r="H17" s="2556"/>
      <c r="I17" s="2557">
        <f>ROUND(D17*E17*F17*G17/10000,0)</f>
        <v>0</v>
      </c>
    </row>
    <row r="18" spans="1:9" ht="14.25">
      <c r="A18" s="3428"/>
      <c r="B18" s="3429" t="s">
        <v>2515</v>
      </c>
      <c r="C18" s="3429"/>
      <c r="D18" s="2544"/>
      <c r="E18" s="2544"/>
      <c r="F18" s="2545"/>
      <c r="G18" s="2546"/>
      <c r="H18" s="2556"/>
      <c r="I18" s="2557">
        <f>ROUND(D18*E18*F18*G18/10000,0)</f>
        <v>0</v>
      </c>
    </row>
    <row r="19" spans="1:9" ht="14.25">
      <c r="A19" s="3428"/>
      <c r="B19" s="3429" t="s">
        <v>2516</v>
      </c>
      <c r="C19" s="3429"/>
      <c r="D19" s="2544"/>
      <c r="E19" s="2544"/>
      <c r="F19" s="2545"/>
      <c r="G19" s="2546"/>
      <c r="H19" s="2556"/>
      <c r="I19" s="2557">
        <f>ROUND(D19*E19*F19*G19/10000,0)</f>
        <v>0</v>
      </c>
    </row>
    <row r="20" spans="1:9">
      <c r="A20" s="3428"/>
      <c r="B20" s="3430" t="s">
        <v>2497</v>
      </c>
      <c r="C20" s="3430"/>
      <c r="D20" s="2548">
        <f>SUM(D17:D19)</f>
        <v>0</v>
      </c>
      <c r="E20" s="2548"/>
      <c r="F20" s="2549"/>
      <c r="G20" s="2546"/>
      <c r="H20" s="2553"/>
      <c r="I20" s="2554">
        <f>SUM(I17:I19)</f>
        <v>0</v>
      </c>
    </row>
    <row r="21" spans="1:9">
      <c r="A21" s="3428" t="s">
        <v>2517</v>
      </c>
      <c r="B21" s="3431"/>
      <c r="C21" s="3431"/>
      <c r="D21" s="3431"/>
      <c r="E21" s="3431"/>
      <c r="F21" s="3431"/>
      <c r="G21" s="3431"/>
      <c r="H21" s="2558">
        <v>0.1</v>
      </c>
      <c r="I21" s="2551">
        <f>ROUND(I10*H21,0)</f>
        <v>0</v>
      </c>
    </row>
    <row r="22" spans="1:9" ht="14.25">
      <c r="A22" s="3432" t="s">
        <v>2518</v>
      </c>
      <c r="B22" s="3433"/>
      <c r="C22" s="3434"/>
      <c r="D22" s="2559" t="s">
        <v>2519</v>
      </c>
      <c r="E22" s="2559" t="s">
        <v>2520</v>
      </c>
      <c r="F22" s="2560" t="s">
        <v>2521</v>
      </c>
      <c r="G22" s="2560" t="s">
        <v>2522</v>
      </c>
      <c r="H22" s="2552" t="s">
        <v>2523</v>
      </c>
      <c r="I22" s="2543" t="s">
        <v>2524</v>
      </c>
    </row>
    <row r="23" spans="1:9" ht="14.25" thickBot="1">
      <c r="A23" s="3435"/>
      <c r="B23" s="3436"/>
      <c r="C23" s="3437"/>
      <c r="D23" s="2561"/>
      <c r="E23" s="2561"/>
      <c r="F23" s="2561"/>
      <c r="G23" s="2562"/>
      <c r="H23" s="2563"/>
      <c r="I23" s="2564">
        <f>ROUND(E23*D23*F23*(1-G23)/10000,0)</f>
        <v>0</v>
      </c>
    </row>
    <row r="26" spans="1:9">
      <c r="A26" s="2565" t="s">
        <v>2525</v>
      </c>
      <c r="B26" s="2565"/>
      <c r="C26" s="2565"/>
      <c r="D26" s="2565"/>
      <c r="E26" s="3425">
        <f>C27-C30-C31-C32</f>
        <v>0</v>
      </c>
      <c r="F26" s="3425"/>
      <c r="G26" s="3425"/>
      <c r="H26" s="3083" t="s">
        <v>2856</v>
      </c>
    </row>
    <row r="27" spans="1:9">
      <c r="A27" s="2566">
        <v>1</v>
      </c>
      <c r="B27" s="2567" t="s">
        <v>2526</v>
      </c>
      <c r="C27" s="2567"/>
      <c r="D27" s="2567"/>
      <c r="E27" s="3426"/>
      <c r="F27" s="3426"/>
      <c r="G27" s="3426"/>
    </row>
    <row r="28" spans="1:9">
      <c r="A28" s="2568" t="s">
        <v>2527</v>
      </c>
      <c r="B28" s="2567" t="s">
        <v>2528</v>
      </c>
      <c r="C28" s="2567"/>
      <c r="D28" s="2567"/>
      <c r="E28" s="3426"/>
      <c r="F28" s="3426"/>
      <c r="G28" s="3426"/>
    </row>
    <row r="29" spans="1:9">
      <c r="A29" s="2568" t="s">
        <v>2529</v>
      </c>
      <c r="B29" s="2567" t="s">
        <v>2469</v>
      </c>
      <c r="C29" s="2567"/>
      <c r="D29" s="2567"/>
      <c r="E29" s="2567" t="s">
        <v>2530</v>
      </c>
      <c r="F29" s="2567"/>
      <c r="G29" s="2567"/>
    </row>
    <row r="30" spans="1:9">
      <c r="A30" s="2566">
        <v>2</v>
      </c>
      <c r="B30" s="2567" t="s">
        <v>2531</v>
      </c>
      <c r="C30" s="2567">
        <f>C27*D30</f>
        <v>0</v>
      </c>
      <c r="D30" s="2569">
        <v>0.2</v>
      </c>
      <c r="E30" s="2567" t="s">
        <v>2532</v>
      </c>
      <c r="F30" s="2567"/>
      <c r="G30" s="2567"/>
    </row>
    <row r="31" spans="1:9">
      <c r="A31" s="2566">
        <v>3</v>
      </c>
      <c r="B31" s="2567" t="s">
        <v>2533</v>
      </c>
      <c r="C31" s="2567">
        <f>C25*D31</f>
        <v>0</v>
      </c>
      <c r="D31" s="2569">
        <v>0.15</v>
      </c>
      <c r="E31" s="2567" t="s">
        <v>2534</v>
      </c>
      <c r="F31" s="2567"/>
      <c r="G31" s="2567"/>
    </row>
    <row r="32" spans="1:9">
      <c r="A32" s="2566">
        <v>4</v>
      </c>
      <c r="B32" s="2567" t="s">
        <v>2535</v>
      </c>
      <c r="C32" s="2567">
        <f>C27*D32</f>
        <v>0</v>
      </c>
      <c r="D32" s="2569">
        <v>0.05</v>
      </c>
      <c r="E32" s="3427"/>
      <c r="F32" s="3427"/>
      <c r="G32" s="3427"/>
    </row>
    <row r="33" spans="1:7" hidden="1">
      <c r="A33" s="3422" t="s">
        <v>2536</v>
      </c>
      <c r="B33" s="3423"/>
      <c r="C33" s="3423"/>
      <c r="D33" s="3424"/>
      <c r="E33" s="3425"/>
      <c r="F33" s="3425"/>
      <c r="G33" s="3425"/>
    </row>
    <row r="34" spans="1:7" hidden="1">
      <c r="A34" s="2570">
        <v>1</v>
      </c>
      <c r="B34" s="2567" t="s">
        <v>2537</v>
      </c>
      <c r="C34" s="2567"/>
      <c r="D34" s="2567"/>
      <c r="E34" s="3426"/>
      <c r="F34" s="3426"/>
      <c r="G34" s="3426"/>
    </row>
    <row r="35" spans="1:7" hidden="1">
      <c r="A35" s="2570">
        <v>2</v>
      </c>
      <c r="B35" s="2567" t="s">
        <v>2538</v>
      </c>
      <c r="C35" s="2567"/>
      <c r="D35" s="2567"/>
      <c r="E35" s="3426"/>
      <c r="F35" s="3426"/>
      <c r="G35" s="3426"/>
    </row>
    <row r="36" spans="1:7" hidden="1">
      <c r="A36" s="2570">
        <v>3</v>
      </c>
      <c r="B36" s="2567" t="s">
        <v>2539</v>
      </c>
      <c r="C36" s="2567"/>
      <c r="D36" s="2567"/>
      <c r="E36" s="3426"/>
      <c r="F36" s="3426"/>
      <c r="G36" s="3426"/>
    </row>
    <row r="37" spans="1:7" hidden="1">
      <c r="A37" s="2570">
        <v>4</v>
      </c>
      <c r="B37" s="2567" t="s">
        <v>2540</v>
      </c>
      <c r="C37" s="2567"/>
      <c r="D37" s="2567"/>
      <c r="E37" s="3426"/>
      <c r="F37" s="3426"/>
      <c r="G37" s="3426"/>
    </row>
    <row r="38" spans="1:7" hidden="1">
      <c r="A38" s="3422" t="s">
        <v>2541</v>
      </c>
      <c r="B38" s="3423"/>
      <c r="C38" s="3423"/>
      <c r="D38" s="3424"/>
      <c r="E38" s="3425"/>
      <c r="F38" s="3425"/>
      <c r="G38" s="34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t="e">
        <f ca="1">C23</f>
        <v>#DIV/0!</v>
      </c>
      <c r="C2" s="2118"/>
      <c r="D2" s="2118"/>
      <c r="E2" s="2118"/>
      <c r="F2" s="2118"/>
      <c r="G2" s="2118"/>
    </row>
    <row r="3" spans="1:25" s="2066" customFormat="1" ht="18" customHeight="1">
      <c r="A3" s="1384" t="s">
        <v>1689</v>
      </c>
      <c r="B3" s="428" t="e">
        <f ca="1">ROUND(B2*10000/'数据-汇总表'!E3,0)</f>
        <v>#DIV/0!</v>
      </c>
      <c r="C3" s="2118"/>
      <c r="D3" s="2118"/>
      <c r="E3" s="2118"/>
      <c r="F3" s="2118"/>
      <c r="G3" s="2118"/>
    </row>
    <row r="4" spans="1:25" s="2066" customFormat="1" ht="18" customHeight="1">
      <c r="A4" s="429" t="s">
        <v>468</v>
      </c>
      <c r="B4" s="430" t="e">
        <f ca="1">ROUND(B2*10000/'数据-汇总表'!D3,0)</f>
        <v>#DIV/0!</v>
      </c>
      <c r="C4" s="2068"/>
      <c r="D4" s="2118"/>
      <c r="E4" s="2118"/>
      <c r="F4" s="2118"/>
      <c r="G4" s="2118"/>
    </row>
    <row r="5" spans="1:25" s="2066" customFormat="1" ht="18" customHeight="1" thickBot="1">
      <c r="A5" s="432"/>
      <c r="B5" s="433" t="e">
        <f ca="1">ROUND(B2/('数据-汇总表'!D3/666.67),0)</f>
        <v>#DIV/0!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2448</v>
      </c>
      <c r="B8" s="2507" t="s">
        <v>2450</v>
      </c>
      <c r="C8" s="2508"/>
      <c r="D8" s="752"/>
      <c r="E8" s="753"/>
      <c r="F8" s="753"/>
      <c r="G8" s="754"/>
    </row>
    <row r="9" spans="1:25" s="2193" customFormat="1" ht="13.5" customHeight="1">
      <c r="A9" s="2504" t="s">
        <v>2449</v>
      </c>
      <c r="B9" s="2507" t="s">
        <v>2451</v>
      </c>
      <c r="C9" s="2508"/>
      <c r="D9" s="752"/>
      <c r="E9" s="753"/>
      <c r="F9" s="753"/>
      <c r="G9" s="754"/>
    </row>
    <row r="10" spans="1:25" s="2193" customFormat="1" ht="36">
      <c r="A10" s="2504">
        <v>2</v>
      </c>
      <c r="B10" s="751" t="s">
        <v>614</v>
      </c>
      <c r="C10" s="752">
        <f>C11+C14+C15</f>
        <v>0</v>
      </c>
      <c r="D10" s="763">
        <f>'数据-汇总表'!E3</f>
        <v>0</v>
      </c>
      <c r="E10" s="752">
        <f>'数据-取费表'!B31</f>
        <v>0</v>
      </c>
      <c r="F10" s="764"/>
      <c r="G10" s="762" t="s">
        <v>615</v>
      </c>
    </row>
    <row r="11" spans="1:25" s="2193" customFormat="1" ht="13.5" customHeight="1">
      <c r="A11" s="2504" t="s">
        <v>2448</v>
      </c>
      <c r="B11" s="755" t="s">
        <v>611</v>
      </c>
      <c r="C11" s="756">
        <f>'数据-取费表'!B29</f>
        <v>0</v>
      </c>
      <c r="D11" s="757"/>
      <c r="E11" s="756"/>
      <c r="F11" s="758"/>
      <c r="G11" s="2513" t="s">
        <v>2459</v>
      </c>
    </row>
    <row r="12" spans="1:25" s="2193" customFormat="1" ht="13.5" customHeight="1">
      <c r="A12" s="2511" t="s">
        <v>2456</v>
      </c>
      <c r="B12" s="759" t="s">
        <v>612</v>
      </c>
      <c r="C12" s="760">
        <f>ROUND(D12*E12/10000,0)</f>
        <v>0</v>
      </c>
      <c r="D12" s="761">
        <f>'数据-汇总表'!E5</f>
        <v>0</v>
      </c>
      <c r="E12" s="760">
        <f>'数据-取费表'!B27</f>
        <v>0</v>
      </c>
      <c r="F12" s="758"/>
      <c r="G12" s="762"/>
    </row>
    <row r="13" spans="1:25" s="2193" customFormat="1" ht="13.5" customHeight="1">
      <c r="A13" s="2511" t="s">
        <v>2455</v>
      </c>
      <c r="B13" s="759" t="s">
        <v>613</v>
      </c>
      <c r="C13" s="760">
        <f>ROUND(D13*E13/10000,0)</f>
        <v>0</v>
      </c>
      <c r="D13" s="761">
        <f>'数据-汇总表'!E6</f>
        <v>0</v>
      </c>
      <c r="E13" s="760">
        <f>'数据-取费表'!B28</f>
        <v>0</v>
      </c>
      <c r="F13" s="758"/>
      <c r="G13" s="762"/>
    </row>
    <row r="14" spans="1:25" s="2193" customFormat="1" ht="13.5" customHeight="1">
      <c r="A14" s="2504" t="s">
        <v>2449</v>
      </c>
      <c r="B14" s="2510" t="s">
        <v>2452</v>
      </c>
      <c r="C14" s="2508"/>
      <c r="D14" s="761"/>
      <c r="E14" s="760"/>
      <c r="F14" s="2509"/>
      <c r="G14" s="2512" t="s">
        <v>2457</v>
      </c>
    </row>
    <row r="15" spans="1:25" s="2193" customFormat="1" ht="13.5" customHeight="1">
      <c r="A15" s="2504" t="s">
        <v>2454</v>
      </c>
      <c r="B15" s="2510" t="s">
        <v>2453</v>
      </c>
      <c r="C15" s="2508"/>
      <c r="D15" s="761"/>
      <c r="E15" s="760"/>
      <c r="F15" s="2509"/>
      <c r="G15" s="2512" t="s">
        <v>2458</v>
      </c>
    </row>
    <row r="16" spans="1:25" s="2194" customFormat="1" ht="48">
      <c r="A16" s="2504">
        <v>3</v>
      </c>
      <c r="B16" s="751" t="s">
        <v>616</v>
      </c>
      <c r="C16" s="2508"/>
      <c r="D16" s="763"/>
      <c r="E16" s="752"/>
      <c r="F16" s="764"/>
      <c r="G16" s="762" t="s">
        <v>2460</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t="e">
        <f>ROUND((C7+C10+C16)*F18,0)</f>
        <v>#DIV/0!</v>
      </c>
      <c r="D18" s="765"/>
      <c r="E18" s="766"/>
      <c r="F18" s="764" t="e">
        <f>'数据-取费表'!Q16</f>
        <v>#DIV/0!</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t="e">
        <f ca="1">C7+C10+C16+C17+C18</f>
        <v>#DIV/0!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t="e">
        <f ca="1">ROUND(C19*F20,0)</f>
        <v>#DIV/0!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t="e">
        <f ca="1">C19+C20</f>
        <v>#DIV/0!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t="e">
        <f ca="1">ROUND(C21*F22,0)</f>
        <v>#DIV/0!</v>
      </c>
      <c r="D22" s="763"/>
      <c r="E22" s="752"/>
      <c r="F22" s="769" t="e">
        <f>'数据-取费表'!AP16</f>
        <v>#DIV/0!</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t="e">
        <f ca="1">C22</f>
        <v>#DIV/0!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c r="E1" s="2661"/>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t="e">
        <f>ROUND(B3*D3/10000,0)</f>
        <v>#DIV/0!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t="e">
        <f>C49</f>
        <v>#DIV/0!</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52" t="s">
        <v>523</v>
      </c>
      <c r="D4" s="3353"/>
      <c r="E4" s="3376" t="s">
        <v>524</v>
      </c>
      <c r="F4" s="3377"/>
      <c r="G4" s="3352" t="s">
        <v>525</v>
      </c>
      <c r="H4" s="3353"/>
      <c r="I4" s="3352" t="s">
        <v>526</v>
      </c>
      <c r="J4" s="3353"/>
      <c r="K4" s="856" t="s">
        <v>527</v>
      </c>
      <c r="L4" s="2143"/>
      <c r="M4" s="2144"/>
      <c r="N4" s="2144"/>
      <c r="O4" s="2144"/>
      <c r="P4" s="3354" t="s">
        <v>528</v>
      </c>
      <c r="Q4" s="3355"/>
      <c r="R4" s="3340" t="s">
        <v>524</v>
      </c>
      <c r="S4" s="3341"/>
      <c r="T4" s="3340" t="s">
        <v>525</v>
      </c>
      <c r="U4" s="3341"/>
      <c r="V4" s="3360" t="s">
        <v>526</v>
      </c>
      <c r="W4" s="3360"/>
      <c r="X4" s="1572"/>
      <c r="Y4" s="3340" t="s">
        <v>528</v>
      </c>
      <c r="Z4" s="3341"/>
      <c r="AA4" s="3335" t="s">
        <v>524</v>
      </c>
      <c r="AB4" s="3335" t="s">
        <v>525</v>
      </c>
      <c r="AC4" s="3335" t="s">
        <v>526</v>
      </c>
    </row>
    <row r="5" spans="1:29" ht="15">
      <c r="A5" s="518"/>
      <c r="B5" s="519"/>
      <c r="C5" s="3363" t="s">
        <v>2944</v>
      </c>
      <c r="D5" s="3364"/>
      <c r="E5" s="3378" t="s">
        <v>2945</v>
      </c>
      <c r="F5" s="3379"/>
      <c r="G5" s="3363" t="s">
        <v>2946</v>
      </c>
      <c r="H5" s="3364"/>
      <c r="I5" s="3363" t="s">
        <v>2947</v>
      </c>
      <c r="J5" s="3364"/>
      <c r="K5" s="857"/>
      <c r="L5" s="2143"/>
      <c r="M5" s="2144"/>
      <c r="N5" s="2144"/>
      <c r="O5" s="2144"/>
      <c r="P5" s="3356"/>
      <c r="Q5" s="3357"/>
      <c r="R5" s="3342"/>
      <c r="S5" s="3343"/>
      <c r="T5" s="3342"/>
      <c r="U5" s="3343"/>
      <c r="V5" s="3360"/>
      <c r="W5" s="3360"/>
      <c r="X5" s="1572"/>
      <c r="Y5" s="3342"/>
      <c r="Z5" s="3343"/>
      <c r="AA5" s="3336"/>
      <c r="AB5" s="3336"/>
      <c r="AC5" s="3336"/>
    </row>
    <row r="6" spans="1:29" ht="15.75" thickBot="1">
      <c r="A6" s="520"/>
      <c r="B6" s="521"/>
      <c r="C6" s="3361" t="s">
        <v>2948</v>
      </c>
      <c r="D6" s="3362"/>
      <c r="E6" s="3380" t="s">
        <v>2948</v>
      </c>
      <c r="F6" s="3381"/>
      <c r="G6" s="3361" t="s">
        <v>2948</v>
      </c>
      <c r="H6" s="3362"/>
      <c r="I6" s="3361" t="s">
        <v>2948</v>
      </c>
      <c r="J6" s="3362"/>
      <c r="K6" s="857" t="s">
        <v>529</v>
      </c>
      <c r="L6" s="2143"/>
      <c r="M6" s="2144"/>
      <c r="N6" s="2144"/>
      <c r="O6" s="2144"/>
      <c r="P6" s="3358"/>
      <c r="Q6" s="3359"/>
      <c r="R6" s="3342"/>
      <c r="S6" s="3343"/>
      <c r="T6" s="3344"/>
      <c r="U6" s="3345"/>
      <c r="V6" s="3360"/>
      <c r="W6" s="3360"/>
      <c r="X6" s="1572"/>
      <c r="Y6" s="3344"/>
      <c r="Z6" s="3345"/>
      <c r="AA6" s="3337"/>
      <c r="AB6" s="3337"/>
      <c r="AC6" s="3337"/>
    </row>
    <row r="7" spans="1:29" s="1223" customFormat="1" ht="15.75" thickBot="1">
      <c r="A7" s="2951"/>
      <c r="B7" s="2958" t="s">
        <v>530</v>
      </c>
      <c r="C7" s="522">
        <f>'数据-取费表'!B2</f>
        <v>0</v>
      </c>
      <c r="D7" s="523">
        <v>100</v>
      </c>
      <c r="E7" s="524"/>
      <c r="F7" s="525">
        <f>SUMIF(58:58,YEAR(E7)&amp;"-"&amp;MONTH(E7),59:59)</f>
        <v>100</v>
      </c>
      <c r="G7" s="526"/>
      <c r="H7" s="523">
        <f>SUMIF(58:58,YEAR(G7)&amp;"-"&amp;MONTH(G7),59:59)</f>
        <v>100</v>
      </c>
      <c r="I7" s="526"/>
      <c r="J7" s="523">
        <f>SUMIF(58:58,YEAR(I7)&amp;"-"&amp;MONTH(I7),59:59)</f>
        <v>100</v>
      </c>
      <c r="K7" s="858"/>
      <c r="L7" s="2145"/>
      <c r="M7" s="2146"/>
      <c r="N7" s="2146"/>
      <c r="O7" s="2146"/>
      <c r="P7" s="3338" t="s">
        <v>531</v>
      </c>
      <c r="Q7" s="3347"/>
      <c r="R7" s="1573" t="s">
        <v>13</v>
      </c>
      <c r="S7" s="1574">
        <f t="shared" ref="S7:S15" si="0">F7</f>
        <v>100</v>
      </c>
      <c r="T7" s="1573" t="s">
        <v>13</v>
      </c>
      <c r="U7" s="1574">
        <f t="shared" ref="U7:U15" si="1">H7</f>
        <v>100</v>
      </c>
      <c r="V7" s="1573" t="s">
        <v>13</v>
      </c>
      <c r="W7" s="1574">
        <f t="shared" ref="W7:W15"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38" t="s">
        <v>534</v>
      </c>
      <c r="Q8" s="3339"/>
      <c r="R8" s="1573" t="s">
        <v>13</v>
      </c>
      <c r="S8" s="1574">
        <f t="shared" si="0"/>
        <v>0</v>
      </c>
      <c r="T8" s="1573" t="s">
        <v>13</v>
      </c>
      <c r="U8" s="1574">
        <f t="shared" si="1"/>
        <v>0</v>
      </c>
      <c r="V8" s="1573" t="s">
        <v>13</v>
      </c>
      <c r="W8" s="1574">
        <f t="shared" si="2"/>
        <v>0</v>
      </c>
      <c r="X8" s="1575"/>
      <c r="Y8" s="3338" t="s">
        <v>534</v>
      </c>
      <c r="Z8" s="3339"/>
      <c r="AA8" s="1576" t="e">
        <f t="shared" ref="AA8:AA46" si="3">D8/F8</f>
        <v>#DIV/0!</v>
      </c>
      <c r="AB8" s="1576" t="e">
        <f t="shared" ref="AB8:AB46" si="4">D8/H8</f>
        <v>#DIV/0!</v>
      </c>
      <c r="AC8" s="1576" t="e">
        <f t="shared" ref="AC8:AC46" si="5">D8/J8</f>
        <v>#DIV/0!</v>
      </c>
    </row>
    <row r="9" spans="1:29" s="1223" customFormat="1" ht="15">
      <c r="A9" s="2953"/>
      <c r="B9" s="2960" t="s">
        <v>2769</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46" t="s">
        <v>536</v>
      </c>
      <c r="Q9" s="1154" t="str">
        <f t="shared" ref="Q9:Q15" si="6">B9</f>
        <v>用途</v>
      </c>
      <c r="R9" s="1573" t="s">
        <v>8</v>
      </c>
      <c r="S9" s="1574">
        <f t="shared" si="0"/>
        <v>100</v>
      </c>
      <c r="T9" s="1573" t="s">
        <v>8</v>
      </c>
      <c r="U9" s="1574">
        <f t="shared" si="1"/>
        <v>100</v>
      </c>
      <c r="V9" s="1573" t="s">
        <v>8</v>
      </c>
      <c r="W9" s="1574">
        <f t="shared" si="2"/>
        <v>100</v>
      </c>
      <c r="X9" s="1575"/>
      <c r="Y9" s="3303"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5"/>
      <c r="B11" s="2959" t="s">
        <v>2771</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46"/>
      <c r="Q11" s="1154" t="str">
        <f t="shared" si="6"/>
        <v>容积率</v>
      </c>
      <c r="R11" s="1573" t="s">
        <v>11</v>
      </c>
      <c r="S11" s="1574" t="e">
        <f t="shared" si="0"/>
        <v>#N/A</v>
      </c>
      <c r="T11" s="1573" t="s">
        <v>11</v>
      </c>
      <c r="U11" s="1574" t="e">
        <f t="shared" si="1"/>
        <v>#N/A</v>
      </c>
      <c r="V11" s="1573" t="s">
        <v>11</v>
      </c>
      <c r="W11" s="1574" t="e">
        <f t="shared" si="2"/>
        <v>#N/A</v>
      </c>
      <c r="X11" s="1575"/>
      <c r="Y11" s="330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46"/>
      <c r="Q12" s="1154">
        <f t="shared" si="6"/>
        <v>111</v>
      </c>
      <c r="R12" s="1573" t="s">
        <v>11</v>
      </c>
      <c r="S12" s="1574">
        <f t="shared" si="0"/>
        <v>100</v>
      </c>
      <c r="T12" s="1573" t="s">
        <v>11</v>
      </c>
      <c r="U12" s="1574">
        <f t="shared" si="1"/>
        <v>100</v>
      </c>
      <c r="V12" s="1573" t="s">
        <v>11</v>
      </c>
      <c r="W12" s="1574">
        <f t="shared" si="2"/>
        <v>100</v>
      </c>
      <c r="X12" s="1575"/>
      <c r="Y12" s="3303"/>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46"/>
      <c r="Q13" s="1154">
        <f t="shared" si="6"/>
        <v>111</v>
      </c>
      <c r="R13" s="1573" t="s">
        <v>11</v>
      </c>
      <c r="S13" s="1574">
        <f t="shared" si="0"/>
        <v>100</v>
      </c>
      <c r="T13" s="1573" t="s">
        <v>11</v>
      </c>
      <c r="U13" s="1574">
        <f t="shared" si="1"/>
        <v>100</v>
      </c>
      <c r="V13" s="1573" t="s">
        <v>11</v>
      </c>
      <c r="W13" s="1574">
        <f t="shared" si="2"/>
        <v>100</v>
      </c>
      <c r="X13" s="1575"/>
      <c r="Y13" s="3303"/>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46"/>
      <c r="Q14" s="1154">
        <f t="shared" si="6"/>
        <v>111</v>
      </c>
      <c r="R14" s="1573" t="s">
        <v>11</v>
      </c>
      <c r="S14" s="1574">
        <f t="shared" si="0"/>
        <v>100</v>
      </c>
      <c r="T14" s="1573" t="s">
        <v>11</v>
      </c>
      <c r="U14" s="1574">
        <f t="shared" si="1"/>
        <v>100</v>
      </c>
      <c r="V14" s="1573" t="s">
        <v>11</v>
      </c>
      <c r="W14" s="1574">
        <f t="shared" si="2"/>
        <v>100</v>
      </c>
      <c r="X14" s="1575"/>
      <c r="Y14" s="3303"/>
      <c r="Z14" s="1153">
        <f t="shared" si="7"/>
        <v>111</v>
      </c>
      <c r="AA14" s="1576">
        <f t="shared" si="3"/>
        <v>1</v>
      </c>
      <c r="AB14" s="1576">
        <f t="shared" si="4"/>
        <v>1</v>
      </c>
      <c r="AC14" s="1576">
        <f t="shared" si="5"/>
        <v>1</v>
      </c>
    </row>
    <row r="15" spans="1:29" ht="99.75">
      <c r="A15" s="2949" t="s">
        <v>2767</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48" t="s">
        <v>541</v>
      </c>
      <c r="Q15" s="1577" t="str">
        <f t="shared" si="6"/>
        <v>居住社区成熟度</v>
      </c>
      <c r="R15" s="1578" t="s">
        <v>11</v>
      </c>
      <c r="S15" s="1579">
        <f t="shared" si="0"/>
        <v>100</v>
      </c>
      <c r="T15" s="1578" t="s">
        <v>11</v>
      </c>
      <c r="U15" s="1579">
        <f t="shared" si="1"/>
        <v>100</v>
      </c>
      <c r="V15" s="1578" t="s">
        <v>11</v>
      </c>
      <c r="W15" s="1579">
        <f t="shared" si="2"/>
        <v>100</v>
      </c>
      <c r="X15" s="1572"/>
      <c r="Y15" s="3348"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49"/>
      <c r="Q17" s="1577" t="str">
        <f>B17</f>
        <v>交通便捷度</v>
      </c>
      <c r="R17" s="1578" t="s">
        <v>11</v>
      </c>
      <c r="S17" s="1579">
        <f>F17</f>
        <v>100</v>
      </c>
      <c r="T17" s="1578" t="s">
        <v>11</v>
      </c>
      <c r="U17" s="1579">
        <f>H17</f>
        <v>100</v>
      </c>
      <c r="V17" s="1578" t="s">
        <v>11</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49"/>
      <c r="Q18" s="1577"/>
      <c r="R18" s="1578"/>
      <c r="S18" s="1579"/>
      <c r="T18" s="1578"/>
      <c r="U18" s="1579"/>
      <c r="V18" s="1578"/>
      <c r="W18" s="1579"/>
      <c r="X18" s="1572"/>
      <c r="Y18" s="3349"/>
      <c r="Z18" s="1580"/>
      <c r="AA18" s="1581">
        <v>1</v>
      </c>
      <c r="AB18" s="1581">
        <v>1</v>
      </c>
      <c r="AC18" s="1581">
        <v>1</v>
      </c>
    </row>
    <row r="19" spans="1:29" ht="42.75">
      <c r="A19" s="535"/>
      <c r="B19" s="2635"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49"/>
      <c r="Q19" s="1577" t="str">
        <f>B19</f>
        <v>公共配套设施</v>
      </c>
      <c r="R19" s="1578" t="s">
        <v>11</v>
      </c>
      <c r="S19" s="1579">
        <f>F19</f>
        <v>100</v>
      </c>
      <c r="T19" s="1578" t="s">
        <v>11</v>
      </c>
      <c r="U19" s="1579">
        <f>H19</f>
        <v>100</v>
      </c>
      <c r="V19" s="1578" t="s">
        <v>11</v>
      </c>
      <c r="W19" s="1579">
        <f>J19</f>
        <v>100</v>
      </c>
      <c r="X19" s="1572"/>
      <c r="Y19" s="334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49"/>
      <c r="Q20" s="1577"/>
      <c r="R20" s="1578"/>
      <c r="S20" s="1579"/>
      <c r="T20" s="1578"/>
      <c r="U20" s="1579"/>
      <c r="V20" s="1578"/>
      <c r="W20" s="1579"/>
      <c r="X20" s="1572"/>
      <c r="Y20" s="3349"/>
      <c r="Z20" s="1580"/>
      <c r="AA20" s="1581">
        <v>1</v>
      </c>
      <c r="AB20" s="1581">
        <v>1</v>
      </c>
      <c r="AC20" s="1581">
        <v>1</v>
      </c>
    </row>
    <row r="21" spans="1:29" ht="28.5">
      <c r="A21" s="535"/>
      <c r="B21" s="2628"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49"/>
      <c r="Q21" s="2614" t="str">
        <f>B21</f>
        <v>基础设施水平</v>
      </c>
      <c r="R21" s="1578" t="s">
        <v>11</v>
      </c>
      <c r="S21" s="1579">
        <f>F21</f>
        <v>100</v>
      </c>
      <c r="T21" s="1578" t="s">
        <v>11</v>
      </c>
      <c r="U21" s="1579">
        <f>H21</f>
        <v>100</v>
      </c>
      <c r="V21" s="1578" t="s">
        <v>11</v>
      </c>
      <c r="W21" s="1579">
        <f>J21</f>
        <v>100</v>
      </c>
      <c r="X21" s="2616"/>
      <c r="Y21" s="3349"/>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49"/>
      <c r="Q22" s="2614"/>
      <c r="R22" s="1578"/>
      <c r="S22" s="1579"/>
      <c r="T22" s="1578"/>
      <c r="U22" s="1579"/>
      <c r="V22" s="1578"/>
      <c r="W22" s="1579"/>
      <c r="X22" s="2616"/>
      <c r="Y22" s="3349"/>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49"/>
      <c r="Q23" s="1577" t="str">
        <f>B23</f>
        <v>自然及人文环境</v>
      </c>
      <c r="R23" s="1578" t="s">
        <v>11</v>
      </c>
      <c r="S23" s="1579">
        <f>F23</f>
        <v>100</v>
      </c>
      <c r="T23" s="1578" t="s">
        <v>11</v>
      </c>
      <c r="U23" s="1579">
        <f>H23</f>
        <v>100</v>
      </c>
      <c r="V23" s="1578" t="s">
        <v>11</v>
      </c>
      <c r="W23" s="1579">
        <f>J23</f>
        <v>100</v>
      </c>
      <c r="X23" s="1572"/>
      <c r="Y23" s="334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2"/>
      <c r="M24" s="2144"/>
      <c r="N24" s="2144"/>
      <c r="O24" s="2151"/>
      <c r="P24" s="3349"/>
      <c r="Q24" s="1577"/>
      <c r="R24" s="1578"/>
      <c r="S24" s="1579"/>
      <c r="T24" s="1578"/>
      <c r="U24" s="1579"/>
      <c r="V24" s="1578"/>
      <c r="W24" s="1579"/>
      <c r="X24" s="1572"/>
      <c r="Y24" s="3349"/>
      <c r="Z24" s="1580"/>
      <c r="AA24" s="1581">
        <v>1</v>
      </c>
      <c r="AB24" s="1581">
        <v>1</v>
      </c>
      <c r="AC24" s="1581">
        <v>1</v>
      </c>
    </row>
    <row r="25" spans="1:29" ht="15">
      <c r="A25" s="535"/>
      <c r="B25" s="1901" t="s">
        <v>2263</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49"/>
      <c r="Q25" s="1577" t="str">
        <f t="shared" ref="Q25:Q46" si="11">B25</f>
        <v>楼层-1</v>
      </c>
      <c r="R25" s="1578" t="s">
        <v>11</v>
      </c>
      <c r="S25" s="1579">
        <f>F25</f>
        <v>100</v>
      </c>
      <c r="T25" s="1578" t="s">
        <v>11</v>
      </c>
      <c r="U25" s="1579">
        <f>H25</f>
        <v>100</v>
      </c>
      <c r="V25" s="1578" t="s">
        <v>11</v>
      </c>
      <c r="W25" s="1579">
        <f>J25</f>
        <v>100</v>
      </c>
      <c r="X25" s="1572"/>
      <c r="Y25" s="3349"/>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49"/>
      <c r="Q26" s="1577" t="str">
        <f t="shared" si="11"/>
        <v>朝向</v>
      </c>
      <c r="R26" s="1578" t="s">
        <v>11</v>
      </c>
      <c r="S26" s="1579">
        <f>F26</f>
        <v>100</v>
      </c>
      <c r="T26" s="1578" t="s">
        <v>11</v>
      </c>
      <c r="U26" s="1579">
        <f>H26</f>
        <v>100</v>
      </c>
      <c r="V26" s="1578" t="s">
        <v>11</v>
      </c>
      <c r="W26" s="1579">
        <f>J26</f>
        <v>100</v>
      </c>
      <c r="X26" s="1572"/>
      <c r="Y26" s="3349"/>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49"/>
      <c r="Q27" s="1154" t="str">
        <f t="shared" si="11"/>
        <v>道路级别</v>
      </c>
      <c r="R27" s="1573" t="s">
        <v>11</v>
      </c>
      <c r="S27" s="1574">
        <f>F27</f>
        <v>100</v>
      </c>
      <c r="T27" s="1573" t="s">
        <v>11</v>
      </c>
      <c r="U27" s="1574">
        <f>H27</f>
        <v>100</v>
      </c>
      <c r="V27" s="1573" t="s">
        <v>11</v>
      </c>
      <c r="W27" s="1574">
        <f>J27</f>
        <v>100</v>
      </c>
      <c r="X27" s="1575"/>
      <c r="Y27" s="3349"/>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49"/>
      <c r="Q28" s="1577">
        <f t="shared" si="11"/>
        <v>111</v>
      </c>
      <c r="R28" s="1578" t="s">
        <v>11</v>
      </c>
      <c r="S28" s="1579">
        <f t="shared" ref="S28:S46" si="12">F28</f>
        <v>100</v>
      </c>
      <c r="T28" s="1578" t="s">
        <v>11</v>
      </c>
      <c r="U28" s="1579">
        <f t="shared" ref="U28:U46" si="13">H28</f>
        <v>100</v>
      </c>
      <c r="V28" s="1578" t="s">
        <v>11</v>
      </c>
      <c r="W28" s="1579">
        <f t="shared" ref="W28:W46" si="14">J28</f>
        <v>100</v>
      </c>
      <c r="X28" s="1572"/>
      <c r="Y28" s="3349"/>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49"/>
      <c r="Q29" s="1577">
        <f t="shared" si="11"/>
        <v>111</v>
      </c>
      <c r="R29" s="1578" t="s">
        <v>11</v>
      </c>
      <c r="S29" s="1579">
        <f t="shared" si="12"/>
        <v>100</v>
      </c>
      <c r="T29" s="1578" t="s">
        <v>11</v>
      </c>
      <c r="U29" s="1579">
        <f t="shared" si="13"/>
        <v>100</v>
      </c>
      <c r="V29" s="1578" t="s">
        <v>11</v>
      </c>
      <c r="W29" s="1579">
        <f t="shared" si="14"/>
        <v>100</v>
      </c>
      <c r="X29" s="1572"/>
      <c r="Y29" s="334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49"/>
      <c r="Q30" s="1577">
        <f t="shared" si="11"/>
        <v>111</v>
      </c>
      <c r="R30" s="1578" t="s">
        <v>11</v>
      </c>
      <c r="S30" s="1579">
        <f t="shared" si="12"/>
        <v>100</v>
      </c>
      <c r="T30" s="1578" t="s">
        <v>11</v>
      </c>
      <c r="U30" s="1579">
        <f t="shared" si="13"/>
        <v>100</v>
      </c>
      <c r="V30" s="1578" t="s">
        <v>11</v>
      </c>
      <c r="W30" s="1579">
        <f t="shared" si="14"/>
        <v>100</v>
      </c>
      <c r="X30" s="1572"/>
      <c r="Y30" s="3349"/>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49"/>
      <c r="Q31" s="1577">
        <f t="shared" si="11"/>
        <v>111</v>
      </c>
      <c r="R31" s="1578" t="s">
        <v>11</v>
      </c>
      <c r="S31" s="1579">
        <f t="shared" si="12"/>
        <v>100</v>
      </c>
      <c r="T31" s="1578" t="s">
        <v>11</v>
      </c>
      <c r="U31" s="1579">
        <f t="shared" si="13"/>
        <v>100</v>
      </c>
      <c r="V31" s="1578" t="s">
        <v>11</v>
      </c>
      <c r="W31" s="1579">
        <f t="shared" si="14"/>
        <v>100</v>
      </c>
      <c r="X31" s="1572"/>
      <c r="Y31" s="3349"/>
      <c r="Z31" s="1580">
        <f t="shared" si="15"/>
        <v>111</v>
      </c>
      <c r="AA31" s="1581">
        <f t="shared" si="3"/>
        <v>1</v>
      </c>
      <c r="AB31" s="1581">
        <f t="shared" si="4"/>
        <v>1</v>
      </c>
      <c r="AC31" s="1581">
        <f t="shared" si="5"/>
        <v>1</v>
      </c>
    </row>
    <row r="32" spans="1:29" ht="15">
      <c r="A32" s="2946" t="s">
        <v>2768</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50" t="s">
        <v>551</v>
      </c>
      <c r="Q32" s="1577" t="str">
        <f t="shared" si="11"/>
        <v>建筑类型</v>
      </c>
      <c r="R32" s="1578" t="s">
        <v>11</v>
      </c>
      <c r="S32" s="1579">
        <f t="shared" si="12"/>
        <v>100</v>
      </c>
      <c r="T32" s="1578" t="s">
        <v>11</v>
      </c>
      <c r="U32" s="1579">
        <f t="shared" si="13"/>
        <v>100</v>
      </c>
      <c r="V32" s="1578" t="s">
        <v>11</v>
      </c>
      <c r="W32" s="1579">
        <f t="shared" si="14"/>
        <v>100</v>
      </c>
      <c r="X32" s="1572"/>
      <c r="Y32" s="3351" t="s">
        <v>551</v>
      </c>
      <c r="Z32" s="1580" t="str">
        <f t="shared" si="15"/>
        <v>建筑类型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51"/>
      <c r="Q33" s="1610" t="str">
        <f t="shared" si="11"/>
        <v>项目建筑规模</v>
      </c>
      <c r="R33" s="1582" t="s">
        <v>11</v>
      </c>
      <c r="S33" s="1583" t="e">
        <f t="shared" si="12"/>
        <v>#N/A</v>
      </c>
      <c r="T33" s="1582" t="s">
        <v>11</v>
      </c>
      <c r="U33" s="1583" t="e">
        <f t="shared" si="13"/>
        <v>#N/A</v>
      </c>
      <c r="V33" s="1582" t="s">
        <v>11</v>
      </c>
      <c r="W33" s="1583" t="e">
        <f t="shared" si="14"/>
        <v>#N/A</v>
      </c>
      <c r="X33" s="1584"/>
      <c r="Y33" s="335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51"/>
      <c r="Q34" s="1577" t="str">
        <f t="shared" si="11"/>
        <v>建筑结构</v>
      </c>
      <c r="R34" s="1578" t="s">
        <v>11</v>
      </c>
      <c r="S34" s="1579">
        <f t="shared" si="12"/>
        <v>100</v>
      </c>
      <c r="T34" s="1578" t="s">
        <v>11</v>
      </c>
      <c r="U34" s="1579">
        <f t="shared" si="13"/>
        <v>100</v>
      </c>
      <c r="V34" s="1578" t="s">
        <v>11</v>
      </c>
      <c r="W34" s="1579">
        <f t="shared" si="14"/>
        <v>100</v>
      </c>
      <c r="X34" s="1572"/>
      <c r="Y34" s="3351"/>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51"/>
      <c r="Q35" s="1577" t="str">
        <f t="shared" si="11"/>
        <v>建筑品质</v>
      </c>
      <c r="R35" s="1578" t="s">
        <v>11</v>
      </c>
      <c r="S35" s="1579">
        <f t="shared" si="12"/>
        <v>100</v>
      </c>
      <c r="T35" s="1578" t="s">
        <v>11</v>
      </c>
      <c r="U35" s="1579">
        <f t="shared" si="13"/>
        <v>100</v>
      </c>
      <c r="V35" s="1578" t="s">
        <v>11</v>
      </c>
      <c r="W35" s="1579">
        <f t="shared" si="14"/>
        <v>100</v>
      </c>
      <c r="X35" s="1572"/>
      <c r="Y35" s="3351"/>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51"/>
      <c r="Q36" s="1577" t="str">
        <f t="shared" si="11"/>
        <v>公共部分装修</v>
      </c>
      <c r="R36" s="1578" t="s">
        <v>11</v>
      </c>
      <c r="S36" s="1579">
        <f t="shared" si="12"/>
        <v>100</v>
      </c>
      <c r="T36" s="1578" t="s">
        <v>11</v>
      </c>
      <c r="U36" s="1579">
        <f t="shared" si="13"/>
        <v>100</v>
      </c>
      <c r="V36" s="1578" t="s">
        <v>11</v>
      </c>
      <c r="W36" s="1579">
        <f t="shared" si="14"/>
        <v>100</v>
      </c>
      <c r="X36" s="1572"/>
      <c r="Y36" s="3351"/>
      <c r="Z36" s="1580" t="str">
        <f t="shared" si="15"/>
        <v>公共部分装修</v>
      </c>
      <c r="AA36" s="1581">
        <f t="shared" si="3"/>
        <v>1</v>
      </c>
      <c r="AB36" s="1581">
        <f t="shared" si="4"/>
        <v>1</v>
      </c>
      <c r="AC36" s="1581">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51"/>
      <c r="Q37" s="1154" t="str">
        <f t="shared" si="11"/>
        <v>成新度</v>
      </c>
      <c r="R37" s="1573" t="s">
        <v>11</v>
      </c>
      <c r="S37" s="1574" t="e">
        <f t="shared" si="12"/>
        <v>#N/A</v>
      </c>
      <c r="T37" s="1573" t="s">
        <v>11</v>
      </c>
      <c r="U37" s="1574" t="e">
        <f t="shared" si="13"/>
        <v>#N/A</v>
      </c>
      <c r="V37" s="1573" t="s">
        <v>11</v>
      </c>
      <c r="W37" s="1574" t="e">
        <f t="shared" si="14"/>
        <v>#N/A</v>
      </c>
      <c r="X37" s="1575"/>
      <c r="Y37" s="3351"/>
      <c r="Z37" s="1153" t="str">
        <f t="shared" si="15"/>
        <v>成新度</v>
      </c>
      <c r="AA37" s="1576" t="e">
        <f t="shared" si="3"/>
        <v>#N/A</v>
      </c>
      <c r="AB37" s="1576" t="e">
        <f t="shared" si="4"/>
        <v>#N/A</v>
      </c>
      <c r="AC37" s="1576"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51" t="s">
        <v>551</v>
      </c>
      <c r="Q38" s="1577" t="str">
        <f t="shared" si="11"/>
        <v>物业管理</v>
      </c>
      <c r="R38" s="1578" t="s">
        <v>11</v>
      </c>
      <c r="S38" s="1579">
        <f t="shared" si="12"/>
        <v>100</v>
      </c>
      <c r="T38" s="1578" t="s">
        <v>11</v>
      </c>
      <c r="U38" s="1579">
        <f t="shared" si="13"/>
        <v>100</v>
      </c>
      <c r="V38" s="1578" t="s">
        <v>11</v>
      </c>
      <c r="W38" s="1579">
        <f t="shared" si="14"/>
        <v>100</v>
      </c>
      <c r="X38" s="1572"/>
      <c r="Y38" s="3351" t="s">
        <v>551</v>
      </c>
      <c r="Z38" s="1580" t="str">
        <f t="shared" si="15"/>
        <v>物业管理</v>
      </c>
      <c r="AA38" s="1581">
        <f t="shared" si="3"/>
        <v>1</v>
      </c>
      <c r="AB38" s="1581">
        <f t="shared" si="4"/>
        <v>1</v>
      </c>
      <c r="AC38" s="1581">
        <f t="shared" si="5"/>
        <v>1</v>
      </c>
    </row>
    <row r="39" spans="1:29" ht="15">
      <c r="A39" s="597"/>
      <c r="B39" s="1901" t="s">
        <v>2574</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51"/>
      <c r="Q39" s="1577" t="str">
        <f t="shared" si="11"/>
        <v>市政基础设施</v>
      </c>
      <c r="R39" s="1578" t="s">
        <v>11</v>
      </c>
      <c r="S39" s="1579">
        <f t="shared" si="12"/>
        <v>100</v>
      </c>
      <c r="T39" s="1578" t="s">
        <v>11</v>
      </c>
      <c r="U39" s="1579">
        <f t="shared" si="13"/>
        <v>100</v>
      </c>
      <c r="V39" s="1578" t="s">
        <v>11</v>
      </c>
      <c r="W39" s="1579">
        <f t="shared" si="14"/>
        <v>100</v>
      </c>
      <c r="X39" s="1572"/>
      <c r="Y39" s="3351"/>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51"/>
      <c r="Q40" s="1577" t="str">
        <f t="shared" si="11"/>
        <v>房型</v>
      </c>
      <c r="R40" s="1578" t="s">
        <v>11</v>
      </c>
      <c r="S40" s="1579">
        <f t="shared" si="12"/>
        <v>100</v>
      </c>
      <c r="T40" s="1578" t="s">
        <v>11</v>
      </c>
      <c r="U40" s="1579">
        <f t="shared" si="13"/>
        <v>100</v>
      </c>
      <c r="V40" s="1578" t="s">
        <v>11</v>
      </c>
      <c r="W40" s="1579">
        <f t="shared" si="14"/>
        <v>100</v>
      </c>
      <c r="X40" s="1572"/>
      <c r="Y40" s="3351"/>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51"/>
      <c r="Q41" s="1610" t="str">
        <f t="shared" si="11"/>
        <v>单套/主力户型建筑面积</v>
      </c>
      <c r="R41" s="1582" t="s">
        <v>11</v>
      </c>
      <c r="S41" s="1583">
        <f t="shared" si="12"/>
        <v>100</v>
      </c>
      <c r="T41" s="1582" t="s">
        <v>11</v>
      </c>
      <c r="U41" s="1583">
        <f t="shared" si="13"/>
        <v>100</v>
      </c>
      <c r="V41" s="1582" t="s">
        <v>11</v>
      </c>
      <c r="W41" s="1583">
        <f t="shared" si="14"/>
        <v>100</v>
      </c>
      <c r="X41" s="1584"/>
      <c r="Y41" s="3351"/>
      <c r="Z41" s="1585" t="str">
        <f t="shared" si="15"/>
        <v>单套/主力户型建筑面积</v>
      </c>
      <c r="AA41" s="1581">
        <f t="shared" si="3"/>
        <v>1</v>
      </c>
      <c r="AB41" s="1581">
        <f t="shared" si="4"/>
        <v>1</v>
      </c>
      <c r="AC41" s="1581">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51"/>
      <c r="Q42" s="1577" t="str">
        <f t="shared" si="11"/>
        <v>内部装修</v>
      </c>
      <c r="R42" s="1578" t="s">
        <v>11</v>
      </c>
      <c r="S42" s="1579">
        <f t="shared" si="12"/>
        <v>100</v>
      </c>
      <c r="T42" s="1578" t="s">
        <v>11</v>
      </c>
      <c r="U42" s="1579">
        <f t="shared" si="13"/>
        <v>100</v>
      </c>
      <c r="V42" s="1578" t="s">
        <v>11</v>
      </c>
      <c r="W42" s="1579">
        <f t="shared" si="14"/>
        <v>100</v>
      </c>
      <c r="X42" s="1572"/>
      <c r="Y42" s="3351"/>
      <c r="Z42" s="1580" t="str">
        <f t="shared" si="15"/>
        <v>内部装修</v>
      </c>
      <c r="AA42" s="1581">
        <f t="shared" si="3"/>
        <v>1</v>
      </c>
      <c r="AB42" s="1581">
        <f t="shared" si="4"/>
        <v>1</v>
      </c>
      <c r="AC42" s="1581">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51"/>
      <c r="Q43" s="1577" t="str">
        <f t="shared" si="11"/>
        <v>内部装修维护情况</v>
      </c>
      <c r="R43" s="1578" t="s">
        <v>11</v>
      </c>
      <c r="S43" s="1579">
        <f t="shared" si="12"/>
        <v>100</v>
      </c>
      <c r="T43" s="1578" t="s">
        <v>11</v>
      </c>
      <c r="U43" s="1579">
        <f t="shared" si="13"/>
        <v>100</v>
      </c>
      <c r="V43" s="1578" t="s">
        <v>11</v>
      </c>
      <c r="W43" s="1579">
        <f t="shared" si="14"/>
        <v>100</v>
      </c>
      <c r="X43" s="1572"/>
      <c r="Y43" s="335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51"/>
      <c r="Q44" s="1154">
        <f t="shared" si="11"/>
        <v>111</v>
      </c>
      <c r="R44" s="1573" t="s">
        <v>11</v>
      </c>
      <c r="S44" s="1574">
        <f t="shared" si="12"/>
        <v>100</v>
      </c>
      <c r="T44" s="1573" t="s">
        <v>11</v>
      </c>
      <c r="U44" s="1574">
        <f t="shared" si="13"/>
        <v>100</v>
      </c>
      <c r="V44" s="1573" t="s">
        <v>11</v>
      </c>
      <c r="W44" s="1574">
        <f t="shared" si="14"/>
        <v>100</v>
      </c>
      <c r="X44" s="1575"/>
      <c r="Y44" s="335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51"/>
      <c r="Q45" s="1577">
        <f t="shared" si="11"/>
        <v>111</v>
      </c>
      <c r="R45" s="1578" t="s">
        <v>11</v>
      </c>
      <c r="S45" s="1579">
        <f t="shared" si="12"/>
        <v>100</v>
      </c>
      <c r="T45" s="1578" t="s">
        <v>11</v>
      </c>
      <c r="U45" s="1579">
        <f t="shared" si="13"/>
        <v>100</v>
      </c>
      <c r="V45" s="1578" t="s">
        <v>11</v>
      </c>
      <c r="W45" s="1579">
        <f t="shared" si="14"/>
        <v>100</v>
      </c>
      <c r="X45" s="1572"/>
      <c r="Y45" s="3351"/>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5"/>
      <c r="Q46" s="1577">
        <f t="shared" si="11"/>
        <v>111</v>
      </c>
      <c r="R46" s="1578" t="s">
        <v>10</v>
      </c>
      <c r="S46" s="1579">
        <f t="shared" si="12"/>
        <v>100</v>
      </c>
      <c r="T46" s="1578" t="s">
        <v>10</v>
      </c>
      <c r="U46" s="1579">
        <f t="shared" si="13"/>
        <v>100</v>
      </c>
      <c r="V46" s="1578" t="s">
        <v>10</v>
      </c>
      <c r="W46" s="1579">
        <f t="shared" si="14"/>
        <v>100</v>
      </c>
      <c r="X46" s="1572"/>
      <c r="Y46" s="3445"/>
      <c r="Z46" s="1580">
        <f t="shared" si="15"/>
        <v>111</v>
      </c>
      <c r="AA46" s="1581">
        <f t="shared" si="3"/>
        <v>1</v>
      </c>
      <c r="AB46" s="1581">
        <f t="shared" si="4"/>
        <v>1</v>
      </c>
      <c r="AC46" s="1581">
        <f t="shared" si="5"/>
        <v>1</v>
      </c>
    </row>
    <row r="47" spans="1:29" ht="15">
      <c r="A47" s="610" t="s">
        <v>739</v>
      </c>
      <c r="B47" s="890"/>
      <c r="C47" s="2662" t="s">
        <v>9</v>
      </c>
      <c r="D47" s="2663"/>
      <c r="E47" s="2664"/>
      <c r="F47" s="2665"/>
      <c r="G47" s="2666"/>
      <c r="H47" s="2667"/>
      <c r="I47" s="2664"/>
      <c r="J47" s="2667"/>
      <c r="K47" s="1611"/>
      <c r="L47" s="2154"/>
      <c r="M47" s="2155"/>
      <c r="N47" s="2144"/>
      <c r="O47" s="2155"/>
      <c r="P47" s="3346" t="str">
        <f>A47</f>
        <v>成交单价（元/平方米）</v>
      </c>
      <c r="Q47" s="3346"/>
      <c r="R47" s="3444">
        <f>E47</f>
        <v>0</v>
      </c>
      <c r="S47" s="3444"/>
      <c r="T47" s="3444">
        <f>G47</f>
        <v>0</v>
      </c>
      <c r="U47" s="3444"/>
      <c r="V47" s="3444">
        <f>I47</f>
        <v>0</v>
      </c>
      <c r="W47" s="3444"/>
      <c r="X47" s="1564"/>
      <c r="Y47" s="1586"/>
      <c r="Z47" s="1564"/>
      <c r="AA47" s="1564"/>
      <c r="AB47" s="1564"/>
      <c r="AC47" s="1564"/>
    </row>
    <row r="48" spans="1:29" ht="15.75" thickBot="1">
      <c r="A48" s="618" t="s">
        <v>2773</v>
      </c>
      <c r="B48" s="891"/>
      <c r="C48" s="2668" t="e">
        <f>R49</f>
        <v>#DIV/0!</v>
      </c>
      <c r="D48" s="2669"/>
      <c r="E48" s="2670" t="e">
        <f>R48</f>
        <v>#DIV/0!</v>
      </c>
      <c r="F48" s="2670"/>
      <c r="G48" s="2668" t="e">
        <f>T48</f>
        <v>#DIV/0!</v>
      </c>
      <c r="H48" s="2669"/>
      <c r="I48" s="2670" t="e">
        <f>V48</f>
        <v>#DIV/0!</v>
      </c>
      <c r="J48" s="2669"/>
      <c r="K48" s="1612"/>
      <c r="L48" s="2154"/>
      <c r="M48" s="2155"/>
      <c r="N48" s="2155"/>
      <c r="O48" s="2155"/>
      <c r="P48" s="3346" t="str">
        <f>A48</f>
        <v>比较价格（元/平方米）</v>
      </c>
      <c r="Q48" s="3346"/>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64"/>
      <c r="Y48" s="1564"/>
      <c r="Z48" s="1564"/>
      <c r="AA48" s="1564"/>
      <c r="AB48" s="1564"/>
      <c r="AC48" s="1564"/>
    </row>
    <row r="49" spans="1:29" ht="15.75" thickBot="1">
      <c r="A49" s="624" t="s">
        <v>2950</v>
      </c>
      <c r="B49" s="625"/>
      <c r="C49" s="2671" t="e">
        <f>R49</f>
        <v>#DIV/0!</v>
      </c>
      <c r="D49" s="2671"/>
      <c r="E49" s="2671"/>
      <c r="F49" s="2671"/>
      <c r="G49" s="2671"/>
      <c r="H49" s="2671"/>
      <c r="I49" s="2671"/>
      <c r="J49" s="2671"/>
      <c r="K49" s="1613"/>
      <c r="L49" s="2154"/>
      <c r="M49" s="2155"/>
      <c r="N49" s="2155"/>
      <c r="O49" s="2155"/>
      <c r="P49" s="3367" t="str">
        <f>A49</f>
        <v>估价对象XX用房的比较价格（楼面单价，元/平方米）</v>
      </c>
      <c r="Q49" s="3368"/>
      <c r="R49" s="3443" t="e">
        <f>IF(F1="售价",ROUND(AVERAGE(R48:V48),0),ROUND(AVERAGE(R48:V48),1))</f>
        <v>#DIV/0!</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1900-1</v>
      </c>
      <c r="D58" s="2843" t="e">
        <f>EDATE(C58,-1)</f>
        <v>#NUM!</v>
      </c>
      <c r="E58" s="2843" t="e">
        <f t="shared" ref="E58:O58" si="16">EDATE(D58,-1)</f>
        <v>#NUM!</v>
      </c>
      <c r="F58" s="2843" t="e">
        <f t="shared" si="16"/>
        <v>#NUM!</v>
      </c>
      <c r="G58" s="2843" t="e">
        <f t="shared" si="16"/>
        <v>#NUM!</v>
      </c>
      <c r="H58" s="2843" t="e">
        <f t="shared" si="16"/>
        <v>#NUM!</v>
      </c>
      <c r="I58" s="2843" t="e">
        <f t="shared" si="16"/>
        <v>#NUM!</v>
      </c>
      <c r="J58" s="2843" t="e">
        <f t="shared" si="16"/>
        <v>#NUM!</v>
      </c>
      <c r="K58" s="2843" t="e">
        <f t="shared" si="16"/>
        <v>#NUM!</v>
      </c>
      <c r="L58" s="2843" t="e">
        <f t="shared" si="16"/>
        <v>#NUM!</v>
      </c>
      <c r="M58" s="2843" t="e">
        <f t="shared" si="16"/>
        <v>#NUM!</v>
      </c>
      <c r="N58" s="2843" t="e">
        <f t="shared" si="16"/>
        <v>#NUM!</v>
      </c>
      <c r="O58" s="2843" t="e">
        <f t="shared" si="16"/>
        <v>#NUM!</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2566</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2265</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2266</v>
      </c>
      <c r="C137" s="1925"/>
      <c r="D137" s="1925"/>
      <c r="E137" s="1925"/>
      <c r="F137" s="1925"/>
      <c r="G137" s="1926"/>
      <c r="H137" s="1927"/>
      <c r="I137" s="1928" t="s">
        <v>2267</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2268</v>
      </c>
      <c r="D138" s="1931" t="s">
        <v>2269</v>
      </c>
      <c r="E138" s="1932" t="s">
        <v>2270</v>
      </c>
      <c r="F138" s="1933" t="s">
        <v>2271</v>
      </c>
      <c r="G138" s="1931" t="s">
        <v>2272</v>
      </c>
      <c r="H138" s="1934" t="s">
        <v>2273</v>
      </c>
      <c r="I138" s="1935"/>
      <c r="J138" s="1931" t="s">
        <v>2274</v>
      </c>
      <c r="K138" s="1934" t="s">
        <v>2275</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2276</v>
      </c>
      <c r="E139" s="1905">
        <v>100</v>
      </c>
      <c r="F139" s="1906">
        <v>102.5</v>
      </c>
      <c r="G139" s="1936" t="s">
        <v>2277</v>
      </c>
      <c r="H139" s="1907">
        <v>105</v>
      </c>
      <c r="I139" s="1937" t="s">
        <v>2278</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2279</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2280</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2281</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2282</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2283</v>
      </c>
      <c r="E144" s="1911">
        <v>102</v>
      </c>
      <c r="F144" s="1917">
        <v>100</v>
      </c>
      <c r="G144" s="1940" t="s">
        <v>2283</v>
      </c>
      <c r="H144" s="1913">
        <v>105</v>
      </c>
      <c r="I144" s="1939" t="s">
        <v>2282</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2284</v>
      </c>
      <c r="C145" s="1918">
        <f>ROUND(MAX(C139:C144)/MIN(C139:C144)-1,3)</f>
        <v>7.2999999999999995E-2</v>
      </c>
      <c r="D145" s="1942"/>
      <c r="E145" s="1942"/>
      <c r="F145" s="1943" t="s">
        <v>2285</v>
      </c>
      <c r="G145" s="1944"/>
      <c r="H145" s="1945"/>
      <c r="I145" s="1946" t="s">
        <v>2282</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2294</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2295</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52" t="s">
        <v>523</v>
      </c>
      <c r="D4" s="3353"/>
      <c r="E4" s="3376" t="s">
        <v>524</v>
      </c>
      <c r="F4" s="3377"/>
      <c r="G4" s="3352" t="s">
        <v>525</v>
      </c>
      <c r="H4" s="3353"/>
      <c r="I4" s="3352" t="s">
        <v>526</v>
      </c>
      <c r="J4" s="3353"/>
      <c r="K4" s="517" t="s">
        <v>527</v>
      </c>
      <c r="L4" s="2143"/>
      <c r="M4" s="2144"/>
      <c r="N4" s="2144"/>
      <c r="O4" s="2144"/>
      <c r="P4" s="3354" t="s">
        <v>528</v>
      </c>
      <c r="Q4" s="3355"/>
      <c r="R4" s="3340" t="s">
        <v>524</v>
      </c>
      <c r="S4" s="3341"/>
      <c r="T4" s="3340" t="s">
        <v>525</v>
      </c>
      <c r="U4" s="3341"/>
      <c r="V4" s="3360" t="s">
        <v>526</v>
      </c>
      <c r="W4" s="3360"/>
      <c r="X4" s="1572"/>
      <c r="Y4" s="3340" t="s">
        <v>528</v>
      </c>
      <c r="Z4" s="3341"/>
      <c r="AA4" s="3335" t="s">
        <v>524</v>
      </c>
      <c r="AB4" s="3360" t="s">
        <v>525</v>
      </c>
      <c r="AC4" s="3335" t="s">
        <v>526</v>
      </c>
    </row>
    <row r="5" spans="1:29" ht="15">
      <c r="A5" s="518"/>
      <c r="B5" s="519"/>
      <c r="C5" s="3363" t="s">
        <v>2944</v>
      </c>
      <c r="D5" s="3364"/>
      <c r="E5" s="3378" t="s">
        <v>2945</v>
      </c>
      <c r="F5" s="3379"/>
      <c r="G5" s="3363" t="s">
        <v>2946</v>
      </c>
      <c r="H5" s="3364"/>
      <c r="I5" s="3363" t="s">
        <v>2947</v>
      </c>
      <c r="J5" s="3364"/>
      <c r="K5" s="517"/>
      <c r="L5" s="2143"/>
      <c r="M5" s="2144"/>
      <c r="N5" s="2144"/>
      <c r="O5" s="2144"/>
      <c r="P5" s="3356"/>
      <c r="Q5" s="3357"/>
      <c r="R5" s="3342"/>
      <c r="S5" s="3343"/>
      <c r="T5" s="3342"/>
      <c r="U5" s="3343"/>
      <c r="V5" s="3360"/>
      <c r="W5" s="3360"/>
      <c r="X5" s="1572"/>
      <c r="Y5" s="3342"/>
      <c r="Z5" s="3343"/>
      <c r="AA5" s="3336"/>
      <c r="AB5" s="3360"/>
      <c r="AC5" s="3336"/>
    </row>
    <row r="6" spans="1:29" ht="15.75" thickBot="1">
      <c r="A6" s="520"/>
      <c r="B6" s="521"/>
      <c r="C6" s="3361" t="s">
        <v>2948</v>
      </c>
      <c r="D6" s="3362"/>
      <c r="E6" s="3380" t="s">
        <v>2948</v>
      </c>
      <c r="F6" s="3381"/>
      <c r="G6" s="3361" t="s">
        <v>2948</v>
      </c>
      <c r="H6" s="3362"/>
      <c r="I6" s="3361" t="s">
        <v>2948</v>
      </c>
      <c r="J6" s="3362"/>
      <c r="K6" s="517" t="s">
        <v>529</v>
      </c>
      <c r="L6" s="2143"/>
      <c r="M6" s="2144"/>
      <c r="N6" s="2144"/>
      <c r="O6" s="2144"/>
      <c r="P6" s="3358"/>
      <c r="Q6" s="3359"/>
      <c r="R6" s="3342"/>
      <c r="S6" s="3343"/>
      <c r="T6" s="3344"/>
      <c r="U6" s="3345"/>
      <c r="V6" s="3360"/>
      <c r="W6" s="3360"/>
      <c r="X6" s="1572"/>
      <c r="Y6" s="3344"/>
      <c r="Z6" s="3345"/>
      <c r="AA6" s="3337"/>
      <c r="AB6" s="3360"/>
      <c r="AC6" s="3337"/>
    </row>
    <row r="7" spans="1:29" s="1223" customFormat="1" ht="15.75" thickBot="1">
      <c r="A7" s="2951"/>
      <c r="B7" s="2958" t="s">
        <v>530</v>
      </c>
      <c r="C7" s="522">
        <f>'数据-取费表'!B2</f>
        <v>0</v>
      </c>
      <c r="D7" s="523">
        <v>100</v>
      </c>
      <c r="E7" s="524"/>
      <c r="F7" s="525">
        <f>SUMIF(58:58,YEAR(E7)&amp;"-"&amp;MONTH(E7),59:59)</f>
        <v>100</v>
      </c>
      <c r="G7" s="524"/>
      <c r="H7" s="523">
        <f>SUMIF(58:58,YEAR(G7)&amp;"-"&amp;MONTH(G7),59:59)</f>
        <v>100</v>
      </c>
      <c r="I7" s="524"/>
      <c r="J7" s="523">
        <f>SUMIF(58:58,YEAR(I7)&amp;"-"&amp;MONTH(I7),59:59)</f>
        <v>100</v>
      </c>
      <c r="K7" s="527"/>
      <c r="L7" s="2145"/>
      <c r="M7" s="2146"/>
      <c r="N7" s="2146"/>
      <c r="O7" s="2146"/>
      <c r="P7" s="3338" t="s">
        <v>531</v>
      </c>
      <c r="Q7" s="3347"/>
      <c r="R7" s="1573" t="s">
        <v>8</v>
      </c>
      <c r="S7" s="1574">
        <f t="shared" ref="S7:S15" si="0">F7</f>
        <v>100</v>
      </c>
      <c r="T7" s="1573" t="s">
        <v>8</v>
      </c>
      <c r="U7" s="1574">
        <f t="shared" ref="U7:U15" si="1">H7</f>
        <v>100</v>
      </c>
      <c r="V7" s="1573" t="s">
        <v>8</v>
      </c>
      <c r="W7" s="1574">
        <f t="shared" ref="W7:W15"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38" t="s">
        <v>534</v>
      </c>
      <c r="Q8" s="3339"/>
      <c r="R8" s="1573" t="s">
        <v>8</v>
      </c>
      <c r="S8" s="1574">
        <f t="shared" si="0"/>
        <v>0</v>
      </c>
      <c r="T8" s="1573" t="s">
        <v>8</v>
      </c>
      <c r="U8" s="1574">
        <f t="shared" si="1"/>
        <v>0</v>
      </c>
      <c r="V8" s="1573" t="s">
        <v>8</v>
      </c>
      <c r="W8" s="1574">
        <f t="shared" si="2"/>
        <v>0</v>
      </c>
      <c r="X8" s="1575"/>
      <c r="Y8" s="3338" t="s">
        <v>534</v>
      </c>
      <c r="Z8" s="3339"/>
      <c r="AA8" s="1576" t="e">
        <f t="shared" ref="AA8:AA46" si="3">D8/F8</f>
        <v>#DIV/0!</v>
      </c>
      <c r="AB8" s="1576" t="e">
        <f t="shared" ref="AB8:AB46" si="4">D8/H8</f>
        <v>#DIV/0!</v>
      </c>
      <c r="AC8" s="1576" t="e">
        <f t="shared" ref="AC8:AC46" si="5">D8/J8</f>
        <v>#DIV/0!</v>
      </c>
    </row>
    <row r="9" spans="1:29" s="1223" customFormat="1" ht="15">
      <c r="A9" s="2953"/>
      <c r="B9" s="2960" t="s">
        <v>2769</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46" t="s">
        <v>536</v>
      </c>
      <c r="Q9" s="1154" t="str">
        <f t="shared" ref="Q9:Q15" si="6">B9</f>
        <v>用途</v>
      </c>
      <c r="R9" s="1573" t="s">
        <v>8</v>
      </c>
      <c r="S9" s="1574">
        <f t="shared" si="0"/>
        <v>100</v>
      </c>
      <c r="T9" s="1573" t="s">
        <v>8</v>
      </c>
      <c r="U9" s="1574">
        <f t="shared" si="1"/>
        <v>100</v>
      </c>
      <c r="V9" s="1573" t="s">
        <v>8</v>
      </c>
      <c r="W9" s="1574">
        <f t="shared" si="2"/>
        <v>100</v>
      </c>
      <c r="X9" s="1575"/>
      <c r="Y9" s="3303"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46"/>
      <c r="Q11" s="1154" t="str">
        <f t="shared" si="6"/>
        <v>容积率</v>
      </c>
      <c r="R11" s="1573" t="s">
        <v>8</v>
      </c>
      <c r="S11" s="1574" t="e">
        <f t="shared" si="0"/>
        <v>#N/A</v>
      </c>
      <c r="T11" s="1573" t="s">
        <v>8</v>
      </c>
      <c r="U11" s="1574" t="e">
        <f t="shared" si="1"/>
        <v>#N/A</v>
      </c>
      <c r="V11" s="1573" t="s">
        <v>8</v>
      </c>
      <c r="W11" s="1574" t="e">
        <f t="shared" si="2"/>
        <v>#N/A</v>
      </c>
      <c r="X11" s="1575"/>
      <c r="Y11" s="330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46"/>
      <c r="Q12" s="1154">
        <f t="shared" si="6"/>
        <v>111</v>
      </c>
      <c r="R12" s="1573" t="s">
        <v>8</v>
      </c>
      <c r="S12" s="1574">
        <f t="shared" si="0"/>
        <v>100</v>
      </c>
      <c r="T12" s="1573" t="s">
        <v>8</v>
      </c>
      <c r="U12" s="1574">
        <f t="shared" si="1"/>
        <v>100</v>
      </c>
      <c r="V12" s="1573" t="s">
        <v>8</v>
      </c>
      <c r="W12" s="1574">
        <f t="shared" si="2"/>
        <v>100</v>
      </c>
      <c r="X12" s="1575"/>
      <c r="Y12" s="3303"/>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46"/>
      <c r="Q13" s="1154">
        <f t="shared" si="6"/>
        <v>111</v>
      </c>
      <c r="R13" s="1573" t="s">
        <v>8</v>
      </c>
      <c r="S13" s="1574">
        <f t="shared" si="0"/>
        <v>100</v>
      </c>
      <c r="T13" s="1573" t="s">
        <v>8</v>
      </c>
      <c r="U13" s="1574">
        <f t="shared" si="1"/>
        <v>100</v>
      </c>
      <c r="V13" s="1573" t="s">
        <v>8</v>
      </c>
      <c r="W13" s="1574">
        <f t="shared" si="2"/>
        <v>100</v>
      </c>
      <c r="X13" s="1575"/>
      <c r="Y13" s="3303"/>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46"/>
      <c r="Q14" s="1154">
        <f t="shared" si="6"/>
        <v>111</v>
      </c>
      <c r="R14" s="1573" t="s">
        <v>8</v>
      </c>
      <c r="S14" s="1574">
        <f t="shared" si="0"/>
        <v>100</v>
      </c>
      <c r="T14" s="1573" t="s">
        <v>8</v>
      </c>
      <c r="U14" s="1574">
        <f t="shared" si="1"/>
        <v>100</v>
      </c>
      <c r="V14" s="1573" t="s">
        <v>8</v>
      </c>
      <c r="W14" s="1574">
        <f t="shared" si="2"/>
        <v>100</v>
      </c>
      <c r="X14" s="1575"/>
      <c r="Y14" s="3303"/>
      <c r="Z14" s="1153">
        <f t="shared" si="7"/>
        <v>111</v>
      </c>
      <c r="AA14" s="1576">
        <f t="shared" si="3"/>
        <v>1</v>
      </c>
      <c r="AB14" s="1576">
        <f t="shared" si="4"/>
        <v>1</v>
      </c>
      <c r="AC14" s="1576">
        <f t="shared" si="5"/>
        <v>1</v>
      </c>
    </row>
    <row r="15" spans="1:29" ht="71.25">
      <c r="A15" s="2949" t="s">
        <v>2767</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48" t="s">
        <v>541</v>
      </c>
      <c r="Q15" s="1577" t="str">
        <f t="shared" si="6"/>
        <v>商业繁华度</v>
      </c>
      <c r="R15" s="1578" t="s">
        <v>8</v>
      </c>
      <c r="S15" s="1579">
        <f t="shared" si="0"/>
        <v>100</v>
      </c>
      <c r="T15" s="1578" t="s">
        <v>8</v>
      </c>
      <c r="U15" s="1579">
        <f t="shared" si="1"/>
        <v>100</v>
      </c>
      <c r="V15" s="1578" t="s">
        <v>8</v>
      </c>
      <c r="W15" s="1579">
        <f t="shared" si="2"/>
        <v>100</v>
      </c>
      <c r="X15" s="1572"/>
      <c r="Y15" s="3348"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49"/>
      <c r="Q18" s="1577"/>
      <c r="R18" s="1578"/>
      <c r="S18" s="1579"/>
      <c r="T18" s="1578"/>
      <c r="U18" s="1579"/>
      <c r="V18" s="1578"/>
      <c r="W18" s="1579"/>
      <c r="X18" s="1572"/>
      <c r="Y18" s="3349"/>
      <c r="Z18" s="1580"/>
      <c r="AA18" s="1581">
        <v>1</v>
      </c>
      <c r="AB18" s="1581">
        <v>1</v>
      </c>
      <c r="AC18" s="1581">
        <v>1</v>
      </c>
    </row>
    <row r="19" spans="1:29" ht="42.75">
      <c r="A19" s="535"/>
      <c r="B19" s="2635"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49"/>
      <c r="Q20" s="1577"/>
      <c r="R20" s="1578"/>
      <c r="S20" s="1579"/>
      <c r="T20" s="1578"/>
      <c r="U20" s="1579"/>
      <c r="V20" s="1578"/>
      <c r="W20" s="1579"/>
      <c r="X20" s="1572"/>
      <c r="Y20" s="3349"/>
      <c r="Z20" s="1580"/>
      <c r="AA20" s="1581">
        <v>1</v>
      </c>
      <c r="AB20" s="1581">
        <v>1</v>
      </c>
      <c r="AC20" s="1581">
        <v>1</v>
      </c>
    </row>
    <row r="21" spans="1:29" ht="28.5">
      <c r="A21" s="535"/>
      <c r="B21" s="2628"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49"/>
      <c r="Q21" s="2614" t="str">
        <f>B21</f>
        <v>基础设施水平</v>
      </c>
      <c r="R21" s="1578" t="s">
        <v>8</v>
      </c>
      <c r="S21" s="1579">
        <f>F21</f>
        <v>100</v>
      </c>
      <c r="T21" s="1578" t="s">
        <v>8</v>
      </c>
      <c r="U21" s="1579">
        <f>H21</f>
        <v>100</v>
      </c>
      <c r="V21" s="1578" t="s">
        <v>8</v>
      </c>
      <c r="W21" s="1579">
        <f>J21</f>
        <v>100</v>
      </c>
      <c r="X21" s="2616"/>
      <c r="Y21" s="3349"/>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49"/>
      <c r="Q22" s="2614"/>
      <c r="R22" s="1578"/>
      <c r="S22" s="1579"/>
      <c r="T22" s="1578"/>
      <c r="U22" s="1579"/>
      <c r="V22" s="1578"/>
      <c r="W22" s="1579"/>
      <c r="X22" s="2616"/>
      <c r="Y22" s="3349"/>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49"/>
      <c r="Q23" s="1577" t="str">
        <f>B23</f>
        <v>自然及人文环境</v>
      </c>
      <c r="R23" s="1578" t="s">
        <v>8</v>
      </c>
      <c r="S23" s="1579">
        <f>F23</f>
        <v>100</v>
      </c>
      <c r="T23" s="1578" t="s">
        <v>8</v>
      </c>
      <c r="U23" s="1579">
        <f>H23</f>
        <v>100</v>
      </c>
      <c r="V23" s="1578" t="s">
        <v>8</v>
      </c>
      <c r="W23" s="1579">
        <f>J23</f>
        <v>100</v>
      </c>
      <c r="X23" s="1572"/>
      <c r="Y23" s="334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49"/>
      <c r="Q24" s="1577"/>
      <c r="R24" s="1578"/>
      <c r="S24" s="1579"/>
      <c r="T24" s="1578"/>
      <c r="U24" s="1579"/>
      <c r="V24" s="1578"/>
      <c r="W24" s="1579"/>
      <c r="X24" s="1572"/>
      <c r="Y24" s="3349"/>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49"/>
      <c r="Q25" s="1577" t="str">
        <f t="shared" ref="Q25:Q46" si="11">B25</f>
        <v>临街状况</v>
      </c>
      <c r="R25" s="1578" t="s">
        <v>8</v>
      </c>
      <c r="S25" s="1579">
        <f>F25</f>
        <v>100</v>
      </c>
      <c r="T25" s="1578" t="s">
        <v>8</v>
      </c>
      <c r="U25" s="1579">
        <f>H25</f>
        <v>100</v>
      </c>
      <c r="V25" s="1578" t="s">
        <v>8</v>
      </c>
      <c r="W25" s="1579">
        <f>J25</f>
        <v>100</v>
      </c>
      <c r="X25" s="1572"/>
      <c r="Y25" s="3349"/>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49"/>
      <c r="Q26" s="1577" t="str">
        <f t="shared" si="11"/>
        <v>平面位置/可视性</v>
      </c>
      <c r="R26" s="1578" t="s">
        <v>8</v>
      </c>
      <c r="S26" s="1579">
        <f>F26</f>
        <v>100</v>
      </c>
      <c r="T26" s="1578" t="s">
        <v>8</v>
      </c>
      <c r="U26" s="1579">
        <f>H26</f>
        <v>100</v>
      </c>
      <c r="V26" s="1578" t="s">
        <v>8</v>
      </c>
      <c r="W26" s="1579">
        <f>J26</f>
        <v>100</v>
      </c>
      <c r="X26" s="1572"/>
      <c r="Y26" s="3349"/>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49"/>
      <c r="Q27" s="1154" t="str">
        <f t="shared" si="11"/>
        <v>人流量</v>
      </c>
      <c r="R27" s="1573" t="s">
        <v>8</v>
      </c>
      <c r="S27" s="1574">
        <f>F27</f>
        <v>100</v>
      </c>
      <c r="T27" s="1573" t="s">
        <v>8</v>
      </c>
      <c r="U27" s="1574">
        <f>H27</f>
        <v>100</v>
      </c>
      <c r="V27" s="1573" t="s">
        <v>8</v>
      </c>
      <c r="W27" s="1574">
        <f>J27</f>
        <v>100</v>
      </c>
      <c r="X27" s="1575"/>
      <c r="Y27" s="3349"/>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4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4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49"/>
      <c r="Q29" s="1577">
        <f t="shared" si="11"/>
        <v>111</v>
      </c>
      <c r="R29" s="1578" t="s">
        <v>8</v>
      </c>
      <c r="S29" s="1579">
        <f t="shared" si="12"/>
        <v>100</v>
      </c>
      <c r="T29" s="1578" t="s">
        <v>8</v>
      </c>
      <c r="U29" s="1579">
        <f t="shared" si="13"/>
        <v>100</v>
      </c>
      <c r="V29" s="1578" t="s">
        <v>8</v>
      </c>
      <c r="W29" s="1579">
        <f t="shared" si="14"/>
        <v>100</v>
      </c>
      <c r="X29" s="1572"/>
      <c r="Y29" s="334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49"/>
      <c r="Q30" s="1577">
        <f t="shared" si="11"/>
        <v>111</v>
      </c>
      <c r="R30" s="1578" t="s">
        <v>8</v>
      </c>
      <c r="S30" s="1579">
        <f t="shared" si="12"/>
        <v>100</v>
      </c>
      <c r="T30" s="1578" t="s">
        <v>8</v>
      </c>
      <c r="U30" s="1579">
        <f t="shared" si="13"/>
        <v>100</v>
      </c>
      <c r="V30" s="1578" t="s">
        <v>8</v>
      </c>
      <c r="W30" s="1579">
        <f t="shared" si="14"/>
        <v>100</v>
      </c>
      <c r="X30" s="1572"/>
      <c r="Y30" s="334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49"/>
      <c r="Q31" s="1577">
        <f t="shared" si="11"/>
        <v>111</v>
      </c>
      <c r="R31" s="1578" t="s">
        <v>8</v>
      </c>
      <c r="S31" s="1579">
        <f t="shared" si="12"/>
        <v>100</v>
      </c>
      <c r="T31" s="1578" t="s">
        <v>8</v>
      </c>
      <c r="U31" s="1579">
        <f t="shared" si="13"/>
        <v>100</v>
      </c>
      <c r="V31" s="1578" t="s">
        <v>8</v>
      </c>
      <c r="W31" s="1579">
        <f t="shared" si="14"/>
        <v>100</v>
      </c>
      <c r="X31" s="1572"/>
      <c r="Y31" s="3349"/>
      <c r="Z31" s="1580">
        <f t="shared" si="15"/>
        <v>111</v>
      </c>
      <c r="AA31" s="1581">
        <f t="shared" si="3"/>
        <v>1</v>
      </c>
      <c r="AB31" s="1581">
        <f t="shared" si="4"/>
        <v>1</v>
      </c>
      <c r="AC31" s="1581">
        <f t="shared" si="5"/>
        <v>1</v>
      </c>
    </row>
    <row r="32" spans="1:29" ht="15">
      <c r="A32" s="2946" t="s">
        <v>2768</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50" t="s">
        <v>551</v>
      </c>
      <c r="Q32" s="1577" t="str">
        <f t="shared" si="11"/>
        <v>商业类型</v>
      </c>
      <c r="R32" s="1578" t="s">
        <v>8</v>
      </c>
      <c r="S32" s="1579">
        <f t="shared" si="12"/>
        <v>100</v>
      </c>
      <c r="T32" s="1578" t="s">
        <v>8</v>
      </c>
      <c r="U32" s="1579">
        <f t="shared" si="13"/>
        <v>100</v>
      </c>
      <c r="V32" s="1578" t="s">
        <v>8</v>
      </c>
      <c r="W32" s="1579">
        <f t="shared" si="14"/>
        <v>100</v>
      </c>
      <c r="X32" s="1572"/>
      <c r="Y32" s="3351"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51"/>
      <c r="Q33" s="1610" t="str">
        <f t="shared" si="11"/>
        <v>项目建筑规模</v>
      </c>
      <c r="R33" s="1582" t="s">
        <v>8</v>
      </c>
      <c r="S33" s="1583" t="e">
        <f t="shared" si="12"/>
        <v>#N/A</v>
      </c>
      <c r="T33" s="1582" t="s">
        <v>8</v>
      </c>
      <c r="U33" s="1583" t="e">
        <f t="shared" si="13"/>
        <v>#N/A</v>
      </c>
      <c r="V33" s="1582" t="s">
        <v>8</v>
      </c>
      <c r="W33" s="1583" t="e">
        <f t="shared" si="14"/>
        <v>#N/A</v>
      </c>
      <c r="X33" s="1584"/>
      <c r="Y33" s="335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51"/>
      <c r="Q34" s="1577" t="str">
        <f t="shared" si="11"/>
        <v>建筑结构</v>
      </c>
      <c r="R34" s="1578" t="s">
        <v>8</v>
      </c>
      <c r="S34" s="1579">
        <f t="shared" si="12"/>
        <v>100</v>
      </c>
      <c r="T34" s="1578" t="s">
        <v>8</v>
      </c>
      <c r="U34" s="1579">
        <f t="shared" si="13"/>
        <v>100</v>
      </c>
      <c r="V34" s="1578" t="s">
        <v>8</v>
      </c>
      <c r="W34" s="1579">
        <f t="shared" si="14"/>
        <v>100</v>
      </c>
      <c r="X34" s="1572"/>
      <c r="Y34" s="3351"/>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51"/>
      <c r="Q35" s="1577" t="str">
        <f t="shared" si="11"/>
        <v>公共部分装修</v>
      </c>
      <c r="R35" s="1578" t="s">
        <v>8</v>
      </c>
      <c r="S35" s="1579">
        <f t="shared" si="12"/>
        <v>100</v>
      </c>
      <c r="T35" s="1578" t="s">
        <v>8</v>
      </c>
      <c r="U35" s="1579">
        <f t="shared" si="13"/>
        <v>100</v>
      </c>
      <c r="V35" s="1578" t="s">
        <v>8</v>
      </c>
      <c r="W35" s="1579">
        <f t="shared" si="14"/>
        <v>100</v>
      </c>
      <c r="X35" s="1572"/>
      <c r="Y35" s="3351"/>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51"/>
      <c r="Q36" s="1577" t="str">
        <f t="shared" si="11"/>
        <v>成新度</v>
      </c>
      <c r="R36" s="1578" t="s">
        <v>8</v>
      </c>
      <c r="S36" s="1579" t="e">
        <f t="shared" si="12"/>
        <v>#N/A</v>
      </c>
      <c r="T36" s="1578" t="s">
        <v>8</v>
      </c>
      <c r="U36" s="1579" t="e">
        <f t="shared" si="13"/>
        <v>#N/A</v>
      </c>
      <c r="V36" s="1578" t="s">
        <v>8</v>
      </c>
      <c r="W36" s="1579" t="e">
        <f t="shared" si="14"/>
        <v>#N/A</v>
      </c>
      <c r="X36" s="1572"/>
      <c r="Y36" s="3351"/>
      <c r="Z36" s="1580" t="str">
        <f t="shared" si="15"/>
        <v>成新度</v>
      </c>
      <c r="AA36" s="1581" t="e">
        <f t="shared" si="3"/>
        <v>#N/A</v>
      </c>
      <c r="AB36" s="1581" t="e">
        <f t="shared" si="4"/>
        <v>#N/A</v>
      </c>
      <c r="AC36" s="1581" t="e">
        <f t="shared" si="5"/>
        <v>#N/A</v>
      </c>
    </row>
    <row r="37" spans="1:29" s="1223" customFormat="1" ht="15">
      <c r="A37" s="603"/>
      <c r="B37" s="1901" t="s">
        <v>2575</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51"/>
      <c r="Q37" s="1154" t="str">
        <f t="shared" si="11"/>
        <v>市政基础设施</v>
      </c>
      <c r="R37" s="1573" t="s">
        <v>8</v>
      </c>
      <c r="S37" s="1574">
        <f t="shared" si="12"/>
        <v>100</v>
      </c>
      <c r="T37" s="1573" t="s">
        <v>8</v>
      </c>
      <c r="U37" s="1574">
        <f t="shared" si="13"/>
        <v>100</v>
      </c>
      <c r="V37" s="1573" t="s">
        <v>8</v>
      </c>
      <c r="W37" s="1574">
        <f t="shared" si="14"/>
        <v>100</v>
      </c>
      <c r="X37" s="1575"/>
      <c r="Y37" s="3351"/>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51" t="s">
        <v>769</v>
      </c>
      <c r="Q38" s="1577" t="str">
        <f t="shared" si="11"/>
        <v>业态</v>
      </c>
      <c r="R38" s="1578" t="s">
        <v>8</v>
      </c>
      <c r="S38" s="1579">
        <f t="shared" si="12"/>
        <v>100</v>
      </c>
      <c r="T38" s="1578" t="s">
        <v>8</v>
      </c>
      <c r="U38" s="1579">
        <f t="shared" si="13"/>
        <v>100</v>
      </c>
      <c r="V38" s="1578" t="s">
        <v>8</v>
      </c>
      <c r="W38" s="1579">
        <f t="shared" si="14"/>
        <v>100</v>
      </c>
      <c r="X38" s="1572"/>
      <c r="Y38" s="3351"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51"/>
      <c r="Q39" s="1577" t="str">
        <f t="shared" si="11"/>
        <v>层高</v>
      </c>
      <c r="R39" s="1578" t="s">
        <v>8</v>
      </c>
      <c r="S39" s="1579">
        <f t="shared" si="12"/>
        <v>100</v>
      </c>
      <c r="T39" s="1578" t="s">
        <v>8</v>
      </c>
      <c r="U39" s="1579">
        <f t="shared" si="13"/>
        <v>100</v>
      </c>
      <c r="V39" s="1578" t="s">
        <v>8</v>
      </c>
      <c r="W39" s="1579">
        <f t="shared" si="14"/>
        <v>100</v>
      </c>
      <c r="X39" s="1572"/>
      <c r="Y39" s="3351"/>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51"/>
      <c r="Q40" s="1577" t="str">
        <f t="shared" si="11"/>
        <v>单套建筑面积</v>
      </c>
      <c r="R40" s="1578" t="s">
        <v>8</v>
      </c>
      <c r="S40" s="1579">
        <f t="shared" si="12"/>
        <v>100</v>
      </c>
      <c r="T40" s="1578" t="s">
        <v>8</v>
      </c>
      <c r="U40" s="1579">
        <f t="shared" si="13"/>
        <v>100</v>
      </c>
      <c r="V40" s="1578" t="s">
        <v>8</v>
      </c>
      <c r="W40" s="1579">
        <f t="shared" si="14"/>
        <v>100</v>
      </c>
      <c r="X40" s="1572"/>
      <c r="Y40" s="3351"/>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51"/>
      <c r="Q41" s="1610" t="str">
        <f t="shared" si="11"/>
        <v>进深比</v>
      </c>
      <c r="R41" s="1582" t="s">
        <v>8</v>
      </c>
      <c r="S41" s="1583">
        <f t="shared" si="12"/>
        <v>100</v>
      </c>
      <c r="T41" s="1582" t="s">
        <v>8</v>
      </c>
      <c r="U41" s="1583">
        <f t="shared" si="13"/>
        <v>100</v>
      </c>
      <c r="V41" s="1582" t="s">
        <v>8</v>
      </c>
      <c r="W41" s="1583">
        <f t="shared" si="14"/>
        <v>100</v>
      </c>
      <c r="X41" s="1584"/>
      <c r="Y41" s="3351"/>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51"/>
      <c r="Q42" s="1577" t="str">
        <f t="shared" si="11"/>
        <v>内部装修</v>
      </c>
      <c r="R42" s="1578" t="s">
        <v>8</v>
      </c>
      <c r="S42" s="1579">
        <f t="shared" si="12"/>
        <v>100</v>
      </c>
      <c r="T42" s="1578" t="s">
        <v>8</v>
      </c>
      <c r="U42" s="1579">
        <f t="shared" si="13"/>
        <v>100</v>
      </c>
      <c r="V42" s="1578" t="s">
        <v>8</v>
      </c>
      <c r="W42" s="1579">
        <f t="shared" si="14"/>
        <v>100</v>
      </c>
      <c r="X42" s="1572"/>
      <c r="Y42" s="3351"/>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51"/>
      <c r="Q43" s="1577" t="str">
        <f t="shared" si="11"/>
        <v>内部装修维护情况</v>
      </c>
      <c r="R43" s="1578" t="s">
        <v>8</v>
      </c>
      <c r="S43" s="1579">
        <f t="shared" si="12"/>
        <v>100</v>
      </c>
      <c r="T43" s="1578" t="s">
        <v>8</v>
      </c>
      <c r="U43" s="1579">
        <f t="shared" si="13"/>
        <v>100</v>
      </c>
      <c r="V43" s="1578" t="s">
        <v>8</v>
      </c>
      <c r="W43" s="1579">
        <f t="shared" si="14"/>
        <v>100</v>
      </c>
      <c r="X43" s="1572"/>
      <c r="Y43" s="335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51"/>
      <c r="Q44" s="1154">
        <f t="shared" si="11"/>
        <v>111</v>
      </c>
      <c r="R44" s="1573" t="s">
        <v>8</v>
      </c>
      <c r="S44" s="1574">
        <f t="shared" si="12"/>
        <v>100</v>
      </c>
      <c r="T44" s="1573" t="s">
        <v>8</v>
      </c>
      <c r="U44" s="1574">
        <f t="shared" si="13"/>
        <v>100</v>
      </c>
      <c r="V44" s="1573" t="s">
        <v>8</v>
      </c>
      <c r="W44" s="1574">
        <f t="shared" si="14"/>
        <v>100</v>
      </c>
      <c r="X44" s="1575"/>
      <c r="Y44" s="335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51"/>
      <c r="Q45" s="1577">
        <f t="shared" si="11"/>
        <v>111</v>
      </c>
      <c r="R45" s="1578" t="s">
        <v>8</v>
      </c>
      <c r="S45" s="1579">
        <f t="shared" si="12"/>
        <v>100</v>
      </c>
      <c r="T45" s="1578" t="s">
        <v>8</v>
      </c>
      <c r="U45" s="1579">
        <f t="shared" si="13"/>
        <v>100</v>
      </c>
      <c r="V45" s="1578" t="s">
        <v>8</v>
      </c>
      <c r="W45" s="1579">
        <f t="shared" si="14"/>
        <v>100</v>
      </c>
      <c r="X45" s="1572"/>
      <c r="Y45" s="335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45"/>
      <c r="Q46" s="1577">
        <f t="shared" si="11"/>
        <v>111</v>
      </c>
      <c r="R46" s="1578" t="s">
        <v>8</v>
      </c>
      <c r="S46" s="1579">
        <f t="shared" si="12"/>
        <v>100</v>
      </c>
      <c r="T46" s="1578" t="s">
        <v>8</v>
      </c>
      <c r="U46" s="1579">
        <f t="shared" si="13"/>
        <v>100</v>
      </c>
      <c r="V46" s="1578" t="s">
        <v>8</v>
      </c>
      <c r="W46" s="1579">
        <f t="shared" si="14"/>
        <v>100</v>
      </c>
      <c r="X46" s="1572"/>
      <c r="Y46" s="3445"/>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46" t="str">
        <f>A47</f>
        <v>成交单价（元/平方米）</v>
      </c>
      <c r="Q47" s="3346"/>
      <c r="R47" s="3444">
        <f>E47</f>
        <v>0</v>
      </c>
      <c r="S47" s="3444"/>
      <c r="T47" s="3444">
        <f>G47</f>
        <v>0</v>
      </c>
      <c r="U47" s="3444"/>
      <c r="V47" s="3444">
        <f>I47</f>
        <v>0</v>
      </c>
      <c r="W47" s="3444"/>
      <c r="X47" s="1564"/>
      <c r="Y47" s="1586"/>
      <c r="Z47" s="1564"/>
      <c r="AA47" s="1564"/>
      <c r="AB47" s="1564"/>
      <c r="AC47" s="1564"/>
    </row>
    <row r="48" spans="1:29" ht="15.75" thickBot="1">
      <c r="A48" s="618" t="s">
        <v>2773</v>
      </c>
      <c r="B48" s="891"/>
      <c r="C48" s="2668" t="e">
        <f>R49</f>
        <v>#DIV/0!</v>
      </c>
      <c r="D48" s="2669"/>
      <c r="E48" s="2670" t="e">
        <f>R48</f>
        <v>#DIV/0!</v>
      </c>
      <c r="F48" s="2670"/>
      <c r="G48" s="2668" t="e">
        <f>T48</f>
        <v>#DIV/0!</v>
      </c>
      <c r="H48" s="2669"/>
      <c r="I48" s="2670" t="e">
        <f>V48</f>
        <v>#DIV/0!</v>
      </c>
      <c r="J48" s="2669"/>
      <c r="K48" s="1617"/>
      <c r="L48" s="2154"/>
      <c r="M48" s="2155"/>
      <c r="N48" s="2144"/>
      <c r="O48" s="2155"/>
      <c r="P48" s="3346" t="str">
        <f>A48</f>
        <v>比较价格（元/平方米）</v>
      </c>
      <c r="Q48" s="3346"/>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1564"/>
      <c r="Y48" s="1564"/>
      <c r="Z48" s="1564"/>
      <c r="AA48" s="1564"/>
      <c r="AB48" s="1564"/>
      <c r="AC48" s="1564"/>
    </row>
    <row r="49" spans="1:29" ht="15.75" thickBot="1">
      <c r="A49" s="624" t="s">
        <v>2950</v>
      </c>
      <c r="B49" s="625"/>
      <c r="C49" s="2671" t="e">
        <f>R49</f>
        <v>#DIV/0!</v>
      </c>
      <c r="D49" s="2671"/>
      <c r="E49" s="2671"/>
      <c r="F49" s="2671"/>
      <c r="G49" s="2671"/>
      <c r="H49" s="2671"/>
      <c r="I49" s="2671"/>
      <c r="J49" s="2671"/>
      <c r="K49" s="1618"/>
      <c r="L49" s="2154"/>
      <c r="M49" s="2155"/>
      <c r="N49" s="2144"/>
      <c r="O49" s="2155"/>
      <c r="P49" s="3367" t="str">
        <f>A49</f>
        <v>估价对象XX用房的比较价格（楼面单价，元/平方米）</v>
      </c>
      <c r="Q49" s="3368"/>
      <c r="R49" s="3443" t="e">
        <f>IF(F1="售价",ROUND(AVERAGE(R48:V48),0),ROUND(AVERAGE(R48:V48),1))</f>
        <v>#DIV/0!</v>
      </c>
      <c r="S49" s="3443"/>
      <c r="T49" s="3443"/>
      <c r="U49" s="3443"/>
      <c r="V49" s="3443"/>
      <c r="W49" s="3443"/>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1900-1</v>
      </c>
      <c r="D58" s="2843" t="e">
        <f>EDATE(C58,-1)</f>
        <v>#NUM!</v>
      </c>
      <c r="E58" s="2843" t="e">
        <f t="shared" ref="E58:O58" si="16">EDATE(D58,-1)</f>
        <v>#NUM!</v>
      </c>
      <c r="F58" s="2843" t="e">
        <f t="shared" si="16"/>
        <v>#NUM!</v>
      </c>
      <c r="G58" s="2843" t="e">
        <f t="shared" si="16"/>
        <v>#NUM!</v>
      </c>
      <c r="H58" s="2843" t="e">
        <f t="shared" si="16"/>
        <v>#NUM!</v>
      </c>
      <c r="I58" s="2843" t="e">
        <f t="shared" si="16"/>
        <v>#NUM!</v>
      </c>
      <c r="J58" s="2843" t="e">
        <f t="shared" si="16"/>
        <v>#NUM!</v>
      </c>
      <c r="K58" s="2843" t="e">
        <f t="shared" si="16"/>
        <v>#NUM!</v>
      </c>
      <c r="L58" s="2843" t="e">
        <f t="shared" si="16"/>
        <v>#NUM!</v>
      </c>
      <c r="M58" s="2843" t="e">
        <f t="shared" si="16"/>
        <v>#NUM!</v>
      </c>
      <c r="N58" s="2843" t="e">
        <f t="shared" si="16"/>
        <v>#NUM!</v>
      </c>
      <c r="O58" s="2843" t="e">
        <f t="shared" si="16"/>
        <v>#NUM!</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2566</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52" t="s">
        <v>523</v>
      </c>
      <c r="D4" s="3353"/>
      <c r="E4" s="3376" t="s">
        <v>524</v>
      </c>
      <c r="F4" s="3377"/>
      <c r="G4" s="3352" t="s">
        <v>525</v>
      </c>
      <c r="H4" s="3353"/>
      <c r="I4" s="3352" t="s">
        <v>526</v>
      </c>
      <c r="J4" s="3353"/>
      <c r="K4" s="517" t="s">
        <v>527</v>
      </c>
      <c r="L4" s="2143"/>
      <c r="M4" s="2144"/>
      <c r="N4" s="2144"/>
      <c r="O4" s="2144"/>
      <c r="P4" s="3446" t="s">
        <v>528</v>
      </c>
      <c r="Q4" s="3355"/>
      <c r="R4" s="3340" t="s">
        <v>524</v>
      </c>
      <c r="S4" s="3341"/>
      <c r="T4" s="3340" t="s">
        <v>525</v>
      </c>
      <c r="U4" s="3341"/>
      <c r="V4" s="3360" t="s">
        <v>526</v>
      </c>
      <c r="W4" s="3360"/>
      <c r="X4" s="1572"/>
      <c r="Y4" s="3340" t="s">
        <v>528</v>
      </c>
      <c r="Z4" s="3341"/>
      <c r="AA4" s="3335" t="s">
        <v>524</v>
      </c>
      <c r="AB4" s="3335" t="s">
        <v>525</v>
      </c>
      <c r="AC4" s="3335" t="s">
        <v>526</v>
      </c>
    </row>
    <row r="5" spans="1:29" ht="15">
      <c r="A5" s="518"/>
      <c r="B5" s="519"/>
      <c r="C5" s="3363" t="s">
        <v>2944</v>
      </c>
      <c r="D5" s="3364"/>
      <c r="E5" s="3378" t="s">
        <v>2945</v>
      </c>
      <c r="F5" s="3379"/>
      <c r="G5" s="3363" t="s">
        <v>2946</v>
      </c>
      <c r="H5" s="3364"/>
      <c r="I5" s="3363" t="s">
        <v>2947</v>
      </c>
      <c r="J5" s="3364"/>
      <c r="K5" s="517"/>
      <c r="L5" s="2143"/>
      <c r="M5" s="2144"/>
      <c r="N5" s="2144"/>
      <c r="O5" s="2144"/>
      <c r="P5" s="3447"/>
      <c r="Q5" s="3357"/>
      <c r="R5" s="3342"/>
      <c r="S5" s="3343"/>
      <c r="T5" s="3342"/>
      <c r="U5" s="3343"/>
      <c r="V5" s="3360"/>
      <c r="W5" s="3360"/>
      <c r="X5" s="1572"/>
      <c r="Y5" s="3342"/>
      <c r="Z5" s="3343"/>
      <c r="AA5" s="3336"/>
      <c r="AB5" s="3336"/>
      <c r="AC5" s="3336"/>
    </row>
    <row r="6" spans="1:29" ht="15.75" thickBot="1">
      <c r="A6" s="520"/>
      <c r="B6" s="521"/>
      <c r="C6" s="3361" t="s">
        <v>2948</v>
      </c>
      <c r="D6" s="3362"/>
      <c r="E6" s="3380" t="s">
        <v>2948</v>
      </c>
      <c r="F6" s="3381"/>
      <c r="G6" s="3361" t="s">
        <v>2948</v>
      </c>
      <c r="H6" s="3362"/>
      <c r="I6" s="3361" t="s">
        <v>2948</v>
      </c>
      <c r="J6" s="3362"/>
      <c r="K6" s="517" t="s">
        <v>529</v>
      </c>
      <c r="L6" s="2143"/>
      <c r="M6" s="2144"/>
      <c r="N6" s="2144"/>
      <c r="O6" s="2144"/>
      <c r="P6" s="3448"/>
      <c r="Q6" s="3359"/>
      <c r="R6" s="3342"/>
      <c r="S6" s="3343"/>
      <c r="T6" s="3344"/>
      <c r="U6" s="3345"/>
      <c r="V6" s="3360"/>
      <c r="W6" s="3360"/>
      <c r="X6" s="1572"/>
      <c r="Y6" s="3344"/>
      <c r="Z6" s="3345"/>
      <c r="AA6" s="3337"/>
      <c r="AB6" s="3337"/>
      <c r="AC6" s="3337"/>
    </row>
    <row r="7" spans="1:29" s="1223" customFormat="1" ht="15.75" thickBot="1">
      <c r="A7" s="2951"/>
      <c r="B7" s="2958" t="s">
        <v>530</v>
      </c>
      <c r="C7" s="522">
        <f>'数据-取费表'!B2</f>
        <v>0</v>
      </c>
      <c r="D7" s="523">
        <v>100</v>
      </c>
      <c r="E7" s="524"/>
      <c r="F7" s="525">
        <f>SUMIF(59:59,YEAR(E7)&amp;"-"&amp;MONTH(E7),60:60)</f>
        <v>100</v>
      </c>
      <c r="G7" s="524"/>
      <c r="H7" s="523">
        <f>SUMIF(59:59,YEAR(G7)&amp;"-"&amp;MONTH(G7),60:60)</f>
        <v>100</v>
      </c>
      <c r="I7" s="524"/>
      <c r="J7" s="523">
        <f>SUMIF(59:59,YEAR(I7)&amp;"-"&amp;MONTH(I7),60:60)</f>
        <v>100</v>
      </c>
      <c r="K7" s="527"/>
      <c r="L7" s="2145"/>
      <c r="M7" s="2146"/>
      <c r="N7" s="2146"/>
      <c r="O7" s="2146"/>
      <c r="P7" s="3347" t="s">
        <v>531</v>
      </c>
      <c r="Q7" s="3347"/>
      <c r="R7" s="1573" t="s">
        <v>8</v>
      </c>
      <c r="S7" s="1574">
        <f t="shared" ref="S7:S15" si="0">F7</f>
        <v>100</v>
      </c>
      <c r="T7" s="1573" t="s">
        <v>8</v>
      </c>
      <c r="U7" s="1574">
        <f t="shared" ref="U7:U15" si="1">H7</f>
        <v>100</v>
      </c>
      <c r="V7" s="1573" t="s">
        <v>8</v>
      </c>
      <c r="W7" s="1574">
        <f t="shared" ref="W7:W15"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47" t="s">
        <v>534</v>
      </c>
      <c r="Q8" s="3339"/>
      <c r="R8" s="1573" t="s">
        <v>8</v>
      </c>
      <c r="S8" s="1574">
        <f t="shared" si="0"/>
        <v>0</v>
      </c>
      <c r="T8" s="1573" t="s">
        <v>8</v>
      </c>
      <c r="U8" s="1574">
        <f t="shared" si="1"/>
        <v>0</v>
      </c>
      <c r="V8" s="1573" t="s">
        <v>8</v>
      </c>
      <c r="W8" s="1574">
        <f t="shared" si="2"/>
        <v>0</v>
      </c>
      <c r="X8" s="1575"/>
      <c r="Y8" s="3338" t="s">
        <v>534</v>
      </c>
      <c r="Z8" s="3339"/>
      <c r="AA8" s="1576" t="e">
        <f t="shared" ref="AA8:AA47" si="3">D8/F8</f>
        <v>#DIV/0!</v>
      </c>
      <c r="AB8" s="1576" t="e">
        <f t="shared" ref="AB8:AB47" si="4">D8/H8</f>
        <v>#DIV/0!</v>
      </c>
      <c r="AC8" s="1576" t="e">
        <f t="shared" ref="AC8:AC47" si="5">D8/J8</f>
        <v>#DIV/0!</v>
      </c>
    </row>
    <row r="9" spans="1:29" s="1223" customFormat="1" ht="15">
      <c r="A9" s="2953"/>
      <c r="B9" s="2960" t="s">
        <v>2769</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46" t="s">
        <v>536</v>
      </c>
      <c r="Q9" s="1154" t="str">
        <f t="shared" ref="Q9:Q15" si="6">B9</f>
        <v>用途</v>
      </c>
      <c r="R9" s="1573" t="s">
        <v>8</v>
      </c>
      <c r="S9" s="1574">
        <f t="shared" si="0"/>
        <v>100</v>
      </c>
      <c r="T9" s="1573" t="s">
        <v>8</v>
      </c>
      <c r="U9" s="1574">
        <f t="shared" si="1"/>
        <v>100</v>
      </c>
      <c r="V9" s="1573" t="s">
        <v>8</v>
      </c>
      <c r="W9" s="1574">
        <f t="shared" si="2"/>
        <v>100</v>
      </c>
      <c r="X9" s="1575"/>
      <c r="Y9" s="3303"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46"/>
      <c r="Q11" s="1154" t="str">
        <f t="shared" si="6"/>
        <v>容积率</v>
      </c>
      <c r="R11" s="1573" t="s">
        <v>8</v>
      </c>
      <c r="S11" s="1574" t="e">
        <f t="shared" si="0"/>
        <v>#N/A</v>
      </c>
      <c r="T11" s="1573" t="s">
        <v>8</v>
      </c>
      <c r="U11" s="1574" t="e">
        <f t="shared" si="1"/>
        <v>#N/A</v>
      </c>
      <c r="V11" s="1573" t="s">
        <v>8</v>
      </c>
      <c r="W11" s="1574" t="e">
        <f t="shared" si="2"/>
        <v>#N/A</v>
      </c>
      <c r="X11" s="1575"/>
      <c r="Y11" s="330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46"/>
      <c r="Q12" s="1154">
        <f t="shared" si="6"/>
        <v>111</v>
      </c>
      <c r="R12" s="1573" t="s">
        <v>8</v>
      </c>
      <c r="S12" s="1574">
        <f t="shared" si="0"/>
        <v>100</v>
      </c>
      <c r="T12" s="1573" t="s">
        <v>8</v>
      </c>
      <c r="U12" s="1574">
        <f t="shared" si="1"/>
        <v>100</v>
      </c>
      <c r="V12" s="1573" t="s">
        <v>8</v>
      </c>
      <c r="W12" s="1574">
        <f t="shared" si="2"/>
        <v>100</v>
      </c>
      <c r="X12" s="1575"/>
      <c r="Y12" s="3303"/>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46"/>
      <c r="Q13" s="1154">
        <f t="shared" si="6"/>
        <v>111</v>
      </c>
      <c r="R13" s="1573" t="s">
        <v>8</v>
      </c>
      <c r="S13" s="1574">
        <f t="shared" si="0"/>
        <v>100</v>
      </c>
      <c r="T13" s="1573" t="s">
        <v>8</v>
      </c>
      <c r="U13" s="1574">
        <f t="shared" si="1"/>
        <v>100</v>
      </c>
      <c r="V13" s="1573" t="s">
        <v>8</v>
      </c>
      <c r="W13" s="1574">
        <f t="shared" si="2"/>
        <v>100</v>
      </c>
      <c r="X13" s="1575"/>
      <c r="Y13" s="3303"/>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46"/>
      <c r="Q14" s="1154">
        <f t="shared" si="6"/>
        <v>111</v>
      </c>
      <c r="R14" s="1573" t="s">
        <v>8</v>
      </c>
      <c r="S14" s="1574">
        <f t="shared" si="0"/>
        <v>100</v>
      </c>
      <c r="T14" s="1573" t="s">
        <v>8</v>
      </c>
      <c r="U14" s="1574">
        <f t="shared" si="1"/>
        <v>100</v>
      </c>
      <c r="V14" s="1573" t="s">
        <v>8</v>
      </c>
      <c r="W14" s="1574">
        <f t="shared" si="2"/>
        <v>100</v>
      </c>
      <c r="X14" s="1575"/>
      <c r="Y14" s="3303"/>
      <c r="Z14" s="1153">
        <f t="shared" si="7"/>
        <v>111</v>
      </c>
      <c r="AA14" s="1576">
        <f t="shared" si="3"/>
        <v>1</v>
      </c>
      <c r="AB14" s="1576">
        <f t="shared" si="4"/>
        <v>1</v>
      </c>
      <c r="AC14" s="1576">
        <f t="shared" si="5"/>
        <v>1</v>
      </c>
    </row>
    <row r="15" spans="1:29" ht="71.25">
      <c r="A15" s="2949" t="s">
        <v>2767</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48" t="s">
        <v>541</v>
      </c>
      <c r="Q15" s="1577" t="str">
        <f t="shared" si="6"/>
        <v>办公集聚程度</v>
      </c>
      <c r="R15" s="1578" t="s">
        <v>8</v>
      </c>
      <c r="S15" s="1579">
        <f t="shared" si="0"/>
        <v>100</v>
      </c>
      <c r="T15" s="1578" t="s">
        <v>8</v>
      </c>
      <c r="U15" s="1579">
        <f t="shared" si="1"/>
        <v>100</v>
      </c>
      <c r="V15" s="1578" t="s">
        <v>8</v>
      </c>
      <c r="W15" s="1579">
        <f t="shared" si="2"/>
        <v>100</v>
      </c>
      <c r="X15" s="1572"/>
      <c r="Y15" s="3348"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49"/>
      <c r="Q16" s="1577"/>
      <c r="R16" s="1578"/>
      <c r="S16" s="1579"/>
      <c r="T16" s="1578"/>
      <c r="U16" s="1579"/>
      <c r="V16" s="1578"/>
      <c r="W16" s="1579"/>
      <c r="X16" s="1572"/>
      <c r="Y16" s="3349"/>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49"/>
      <c r="Q18" s="1577"/>
      <c r="R18" s="1578"/>
      <c r="S18" s="1579"/>
      <c r="T18" s="1578"/>
      <c r="U18" s="1579"/>
      <c r="V18" s="1578"/>
      <c r="W18" s="1579"/>
      <c r="X18" s="1572"/>
      <c r="Y18" s="3349"/>
      <c r="Z18" s="1580"/>
      <c r="AA18" s="1581">
        <v>1</v>
      </c>
      <c r="AB18" s="1581">
        <v>1</v>
      </c>
      <c r="AC18" s="1581">
        <v>1</v>
      </c>
    </row>
    <row r="19" spans="1:29" ht="42.75">
      <c r="A19" s="535"/>
      <c r="B19" s="2638" t="s">
        <v>2556</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49"/>
      <c r="Q20" s="1577"/>
      <c r="R20" s="1578"/>
      <c r="S20" s="1579"/>
      <c r="T20" s="1578"/>
      <c r="U20" s="1579"/>
      <c r="V20" s="1578"/>
      <c r="W20" s="1579"/>
      <c r="X20" s="1572"/>
      <c r="Y20" s="3349"/>
      <c r="Z20" s="1580"/>
      <c r="AA20" s="1581">
        <v>1</v>
      </c>
      <c r="AB20" s="1581">
        <v>1</v>
      </c>
      <c r="AC20" s="1581">
        <v>1</v>
      </c>
    </row>
    <row r="21" spans="1:29" ht="28.5">
      <c r="A21" s="535"/>
      <c r="B21" s="2626" t="s">
        <v>2568</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49"/>
      <c r="Q21" s="2614" t="str">
        <f>B21</f>
        <v>基础设施水平</v>
      </c>
      <c r="R21" s="1578" t="s">
        <v>8</v>
      </c>
      <c r="S21" s="1579">
        <f>F21</f>
        <v>100</v>
      </c>
      <c r="T21" s="1578" t="s">
        <v>8</v>
      </c>
      <c r="U21" s="1579">
        <f>H21</f>
        <v>100</v>
      </c>
      <c r="V21" s="1578" t="s">
        <v>8</v>
      </c>
      <c r="W21" s="1579">
        <f>J21</f>
        <v>100</v>
      </c>
      <c r="X21" s="2616"/>
      <c r="Y21" s="3349"/>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49"/>
      <c r="Q22" s="2614"/>
      <c r="R22" s="1578"/>
      <c r="S22" s="1579"/>
      <c r="T22" s="1578"/>
      <c r="U22" s="1579"/>
      <c r="V22" s="1578"/>
      <c r="W22" s="1579"/>
      <c r="X22" s="2616"/>
      <c r="Y22" s="3349"/>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49"/>
      <c r="Q23" s="1577" t="str">
        <f>B23</f>
        <v>环境质量</v>
      </c>
      <c r="R23" s="1578" t="s">
        <v>8</v>
      </c>
      <c r="S23" s="1579">
        <f>F23</f>
        <v>100</v>
      </c>
      <c r="T23" s="1578" t="s">
        <v>8</v>
      </c>
      <c r="U23" s="1579">
        <f>H23</f>
        <v>100</v>
      </c>
      <c r="V23" s="1578" t="s">
        <v>8</v>
      </c>
      <c r="W23" s="1579">
        <f>J23</f>
        <v>100</v>
      </c>
      <c r="X23" s="1572"/>
      <c r="Y23" s="334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49"/>
      <c r="Q24" s="1577"/>
      <c r="R24" s="1578"/>
      <c r="S24" s="1579"/>
      <c r="T24" s="1578"/>
      <c r="U24" s="1579"/>
      <c r="V24" s="1578"/>
      <c r="W24" s="1579"/>
      <c r="X24" s="1572"/>
      <c r="Y24" s="3349"/>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49"/>
      <c r="Q25" s="1577" t="str">
        <f>B25</f>
        <v>毗邻道路的类型与等级</v>
      </c>
      <c r="R25" s="1578" t="s">
        <v>8</v>
      </c>
      <c r="S25" s="1579">
        <f>F25</f>
        <v>100</v>
      </c>
      <c r="T25" s="1578" t="s">
        <v>8</v>
      </c>
      <c r="U25" s="1579">
        <f>H25</f>
        <v>100</v>
      </c>
      <c r="V25" s="1578" t="s">
        <v>8</v>
      </c>
      <c r="W25" s="1579">
        <f>J25</f>
        <v>100</v>
      </c>
      <c r="X25" s="1572"/>
      <c r="Y25" s="334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49"/>
      <c r="Q26" s="1577"/>
      <c r="R26" s="1578"/>
      <c r="S26" s="1579"/>
      <c r="T26" s="1578"/>
      <c r="U26" s="1579"/>
      <c r="V26" s="1578"/>
      <c r="W26" s="1579"/>
      <c r="X26" s="1572"/>
      <c r="Y26" s="3349"/>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49"/>
      <c r="Q27" s="1577" t="str">
        <f t="shared" ref="Q27:Q47" si="11">B27</f>
        <v>楼层</v>
      </c>
      <c r="R27" s="1578" t="s">
        <v>8</v>
      </c>
      <c r="S27" s="1579">
        <f>F27</f>
        <v>100</v>
      </c>
      <c r="T27" s="1578" t="s">
        <v>8</v>
      </c>
      <c r="U27" s="1579">
        <f>H27</f>
        <v>100</v>
      </c>
      <c r="V27" s="1578" t="s">
        <v>8</v>
      </c>
      <c r="W27" s="1579">
        <f>J27</f>
        <v>100</v>
      </c>
      <c r="X27" s="1572"/>
      <c r="Y27" s="3349"/>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49"/>
      <c r="Q28" s="1154" t="str">
        <f t="shared" si="11"/>
        <v>朝向</v>
      </c>
      <c r="R28" s="1573" t="s">
        <v>8</v>
      </c>
      <c r="S28" s="1574">
        <f>F28</f>
        <v>100</v>
      </c>
      <c r="T28" s="1573" t="s">
        <v>8</v>
      </c>
      <c r="U28" s="1574">
        <f>H28</f>
        <v>100</v>
      </c>
      <c r="V28" s="1573" t="s">
        <v>8</v>
      </c>
      <c r="W28" s="1574">
        <f>J28</f>
        <v>100</v>
      </c>
      <c r="X28" s="1575"/>
      <c r="Y28" s="334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49"/>
      <c r="Q29" s="1577">
        <f t="shared" si="11"/>
        <v>111</v>
      </c>
      <c r="R29" s="1578" t="s">
        <v>8</v>
      </c>
      <c r="S29" s="1579">
        <f t="shared" ref="S29:S47" si="12">F29</f>
        <v>100</v>
      </c>
      <c r="T29" s="1578" t="s">
        <v>8</v>
      </c>
      <c r="U29" s="1579">
        <f t="shared" ref="U29:U47" si="13">H29</f>
        <v>100</v>
      </c>
      <c r="V29" s="1578" t="s">
        <v>8</v>
      </c>
      <c r="W29" s="1579">
        <f t="shared" ref="W29:W47" si="14">J29</f>
        <v>100</v>
      </c>
      <c r="X29" s="1572"/>
      <c r="Y29" s="334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49"/>
      <c r="Q30" s="1577">
        <f t="shared" si="11"/>
        <v>111</v>
      </c>
      <c r="R30" s="1578" t="s">
        <v>8</v>
      </c>
      <c r="S30" s="1579">
        <f t="shared" si="12"/>
        <v>100</v>
      </c>
      <c r="T30" s="1578" t="s">
        <v>8</v>
      </c>
      <c r="U30" s="1579">
        <f t="shared" si="13"/>
        <v>100</v>
      </c>
      <c r="V30" s="1578" t="s">
        <v>8</v>
      </c>
      <c r="W30" s="1579">
        <f t="shared" si="14"/>
        <v>100</v>
      </c>
      <c r="X30" s="1572"/>
      <c r="Y30" s="334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49"/>
      <c r="Q31" s="1577">
        <f t="shared" si="11"/>
        <v>111</v>
      </c>
      <c r="R31" s="1578" t="s">
        <v>8</v>
      </c>
      <c r="S31" s="1579">
        <f t="shared" si="12"/>
        <v>100</v>
      </c>
      <c r="T31" s="1578" t="s">
        <v>8</v>
      </c>
      <c r="U31" s="1579">
        <f t="shared" si="13"/>
        <v>100</v>
      </c>
      <c r="V31" s="1578" t="s">
        <v>8</v>
      </c>
      <c r="W31" s="1579">
        <f t="shared" si="14"/>
        <v>100</v>
      </c>
      <c r="X31" s="1572"/>
      <c r="Y31" s="334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49"/>
      <c r="Q32" s="1577">
        <f t="shared" si="11"/>
        <v>111</v>
      </c>
      <c r="R32" s="1578" t="s">
        <v>8</v>
      </c>
      <c r="S32" s="1579">
        <f t="shared" si="12"/>
        <v>100</v>
      </c>
      <c r="T32" s="1578" t="s">
        <v>8</v>
      </c>
      <c r="U32" s="1579">
        <f t="shared" si="13"/>
        <v>100</v>
      </c>
      <c r="V32" s="1578" t="s">
        <v>8</v>
      </c>
      <c r="W32" s="1579">
        <f t="shared" si="14"/>
        <v>100</v>
      </c>
      <c r="X32" s="1572"/>
      <c r="Y32" s="3349"/>
      <c r="Z32" s="1580">
        <f t="shared" si="15"/>
        <v>111</v>
      </c>
      <c r="AA32" s="1581">
        <f t="shared" si="3"/>
        <v>1</v>
      </c>
      <c r="AB32" s="1581">
        <f t="shared" si="4"/>
        <v>1</v>
      </c>
      <c r="AC32" s="1581">
        <f t="shared" si="5"/>
        <v>1</v>
      </c>
    </row>
    <row r="33" spans="1:29" ht="15">
      <c r="A33" s="2946" t="s">
        <v>2768</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50" t="s">
        <v>551</v>
      </c>
      <c r="Q33" s="1577" t="str">
        <f t="shared" si="11"/>
        <v>建筑类型</v>
      </c>
      <c r="R33" s="1578" t="s">
        <v>8</v>
      </c>
      <c r="S33" s="1579">
        <f t="shared" si="12"/>
        <v>100</v>
      </c>
      <c r="T33" s="1578" t="s">
        <v>8</v>
      </c>
      <c r="U33" s="1579">
        <f t="shared" si="13"/>
        <v>100</v>
      </c>
      <c r="V33" s="1578" t="s">
        <v>8</v>
      </c>
      <c r="W33" s="1579">
        <f t="shared" si="14"/>
        <v>100</v>
      </c>
      <c r="X33" s="1572"/>
      <c r="Y33" s="3351"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51"/>
      <c r="Q34" s="1610" t="str">
        <f t="shared" si="11"/>
        <v>项目建筑规模</v>
      </c>
      <c r="R34" s="1582" t="s">
        <v>8</v>
      </c>
      <c r="S34" s="1583" t="e">
        <f t="shared" si="12"/>
        <v>#N/A</v>
      </c>
      <c r="T34" s="1582" t="s">
        <v>8</v>
      </c>
      <c r="U34" s="1583" t="e">
        <f t="shared" si="13"/>
        <v>#N/A</v>
      </c>
      <c r="V34" s="1582" t="s">
        <v>8</v>
      </c>
      <c r="W34" s="1583" t="e">
        <f t="shared" si="14"/>
        <v>#N/A</v>
      </c>
      <c r="X34" s="1584"/>
      <c r="Y34" s="3351"/>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51"/>
      <c r="Q35" s="1577" t="str">
        <f t="shared" si="11"/>
        <v>建筑结构</v>
      </c>
      <c r="R35" s="1578" t="s">
        <v>8</v>
      </c>
      <c r="S35" s="1579">
        <f t="shared" si="12"/>
        <v>100</v>
      </c>
      <c r="T35" s="1578" t="s">
        <v>8</v>
      </c>
      <c r="U35" s="1579">
        <f t="shared" si="13"/>
        <v>100</v>
      </c>
      <c r="V35" s="1578" t="s">
        <v>8</v>
      </c>
      <c r="W35" s="1579">
        <f t="shared" si="14"/>
        <v>100</v>
      </c>
      <c r="X35" s="1572"/>
      <c r="Y35" s="3351"/>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51"/>
      <c r="Q36" s="1577" t="str">
        <f t="shared" si="11"/>
        <v>公共部分装修</v>
      </c>
      <c r="R36" s="1578" t="s">
        <v>8</v>
      </c>
      <c r="S36" s="1579">
        <f t="shared" si="12"/>
        <v>100</v>
      </c>
      <c r="T36" s="1578" t="s">
        <v>8</v>
      </c>
      <c r="U36" s="1579">
        <f t="shared" si="13"/>
        <v>100</v>
      </c>
      <c r="V36" s="1578" t="s">
        <v>8</v>
      </c>
      <c r="W36" s="1579">
        <f t="shared" si="14"/>
        <v>100</v>
      </c>
      <c r="X36" s="1572"/>
      <c r="Y36" s="3351"/>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51"/>
      <c r="Q37" s="1577" t="str">
        <f t="shared" si="11"/>
        <v>成新度</v>
      </c>
      <c r="R37" s="1578" t="s">
        <v>8</v>
      </c>
      <c r="S37" s="1579" t="e">
        <f t="shared" si="12"/>
        <v>#N/A</v>
      </c>
      <c r="T37" s="1578" t="s">
        <v>8</v>
      </c>
      <c r="U37" s="1579" t="e">
        <f t="shared" si="13"/>
        <v>#N/A</v>
      </c>
      <c r="V37" s="1578" t="s">
        <v>8</v>
      </c>
      <c r="W37" s="1579" t="e">
        <f t="shared" si="14"/>
        <v>#N/A</v>
      </c>
      <c r="X37" s="1572"/>
      <c r="Y37" s="3351"/>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51"/>
      <c r="Q38" s="1154" t="str">
        <f t="shared" si="11"/>
        <v>写字楼等级</v>
      </c>
      <c r="R38" s="1573" t="s">
        <v>8</v>
      </c>
      <c r="S38" s="1574">
        <f t="shared" si="12"/>
        <v>100</v>
      </c>
      <c r="T38" s="1573" t="s">
        <v>8</v>
      </c>
      <c r="U38" s="1574">
        <f t="shared" si="13"/>
        <v>100</v>
      </c>
      <c r="V38" s="1573" t="s">
        <v>8</v>
      </c>
      <c r="W38" s="1574">
        <f t="shared" si="14"/>
        <v>100</v>
      </c>
      <c r="X38" s="1575"/>
      <c r="Y38" s="3351"/>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51" t="s">
        <v>551</v>
      </c>
      <c r="Q39" s="1577" t="str">
        <f t="shared" si="11"/>
        <v>物业管理</v>
      </c>
      <c r="R39" s="1578" t="s">
        <v>8</v>
      </c>
      <c r="S39" s="1579">
        <f t="shared" si="12"/>
        <v>100</v>
      </c>
      <c r="T39" s="1578" t="s">
        <v>8</v>
      </c>
      <c r="U39" s="1579">
        <f t="shared" si="13"/>
        <v>100</v>
      </c>
      <c r="V39" s="1578" t="s">
        <v>8</v>
      </c>
      <c r="W39" s="1579">
        <f t="shared" si="14"/>
        <v>100</v>
      </c>
      <c r="X39" s="1572"/>
      <c r="Y39" s="3351" t="s">
        <v>551</v>
      </c>
      <c r="Z39" s="1580" t="str">
        <f t="shared" si="15"/>
        <v>物业管理</v>
      </c>
      <c r="AA39" s="1581">
        <f t="shared" si="3"/>
        <v>1</v>
      </c>
      <c r="AB39" s="1581">
        <f t="shared" si="4"/>
        <v>1</v>
      </c>
      <c r="AC39" s="1581">
        <f t="shared" si="5"/>
        <v>1</v>
      </c>
    </row>
    <row r="40" spans="1:29" ht="15">
      <c r="A40" s="597"/>
      <c r="B40" s="1901" t="s">
        <v>2575</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51"/>
      <c r="Q40" s="1577" t="str">
        <f t="shared" si="11"/>
        <v>市政基础设施</v>
      </c>
      <c r="R40" s="1578" t="s">
        <v>8</v>
      </c>
      <c r="S40" s="1579">
        <f t="shared" si="12"/>
        <v>100</v>
      </c>
      <c r="T40" s="1578" t="s">
        <v>8</v>
      </c>
      <c r="U40" s="1579">
        <f t="shared" si="13"/>
        <v>100</v>
      </c>
      <c r="V40" s="1578" t="s">
        <v>8</v>
      </c>
      <c r="W40" s="1579">
        <f t="shared" si="14"/>
        <v>100</v>
      </c>
      <c r="X40" s="1572"/>
      <c r="Y40" s="3351"/>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51"/>
      <c r="Q41" s="1577" t="str">
        <f t="shared" si="11"/>
        <v>层高</v>
      </c>
      <c r="R41" s="1578" t="s">
        <v>8</v>
      </c>
      <c r="S41" s="1579">
        <f t="shared" si="12"/>
        <v>100</v>
      </c>
      <c r="T41" s="1578" t="s">
        <v>8</v>
      </c>
      <c r="U41" s="1579">
        <f t="shared" si="13"/>
        <v>100</v>
      </c>
      <c r="V41" s="1578" t="s">
        <v>8</v>
      </c>
      <c r="W41" s="1579">
        <f t="shared" si="14"/>
        <v>100</v>
      </c>
      <c r="X41" s="1572"/>
      <c r="Y41" s="3351"/>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51"/>
      <c r="Q42" s="1610" t="str">
        <f t="shared" si="11"/>
        <v>单套建筑面积</v>
      </c>
      <c r="R42" s="1582" t="s">
        <v>8</v>
      </c>
      <c r="S42" s="1583">
        <f t="shared" si="12"/>
        <v>100</v>
      </c>
      <c r="T42" s="1582" t="s">
        <v>8</v>
      </c>
      <c r="U42" s="1583">
        <f t="shared" si="13"/>
        <v>100</v>
      </c>
      <c r="V42" s="1582" t="s">
        <v>8</v>
      </c>
      <c r="W42" s="1583">
        <f t="shared" si="14"/>
        <v>100</v>
      </c>
      <c r="X42" s="1584"/>
      <c r="Y42" s="3351"/>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51"/>
      <c r="Q43" s="1577" t="str">
        <f t="shared" si="11"/>
        <v>内部装修</v>
      </c>
      <c r="R43" s="1578" t="s">
        <v>8</v>
      </c>
      <c r="S43" s="1579">
        <f t="shared" si="12"/>
        <v>100</v>
      </c>
      <c r="T43" s="1578" t="s">
        <v>8</v>
      </c>
      <c r="U43" s="1579">
        <f t="shared" si="13"/>
        <v>100</v>
      </c>
      <c r="V43" s="1578" t="s">
        <v>8</v>
      </c>
      <c r="W43" s="1579">
        <f t="shared" si="14"/>
        <v>100</v>
      </c>
      <c r="X43" s="1572"/>
      <c r="Y43" s="3351"/>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51"/>
      <c r="Q44" s="1577" t="str">
        <f t="shared" si="11"/>
        <v>内部装修维护情况</v>
      </c>
      <c r="R44" s="1578" t="s">
        <v>8</v>
      </c>
      <c r="S44" s="1579">
        <f t="shared" si="12"/>
        <v>100</v>
      </c>
      <c r="T44" s="1578" t="s">
        <v>8</v>
      </c>
      <c r="U44" s="1579">
        <f t="shared" si="13"/>
        <v>100</v>
      </c>
      <c r="V44" s="1578" t="s">
        <v>8</v>
      </c>
      <c r="W44" s="1579">
        <f t="shared" si="14"/>
        <v>100</v>
      </c>
      <c r="X44" s="1572"/>
      <c r="Y44" s="335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51"/>
      <c r="Q45" s="1154">
        <f t="shared" si="11"/>
        <v>111</v>
      </c>
      <c r="R45" s="1573" t="s">
        <v>8</v>
      </c>
      <c r="S45" s="1574">
        <f t="shared" si="12"/>
        <v>100</v>
      </c>
      <c r="T45" s="1573" t="s">
        <v>8</v>
      </c>
      <c r="U45" s="1574">
        <f t="shared" si="13"/>
        <v>100</v>
      </c>
      <c r="V45" s="1573" t="s">
        <v>8</v>
      </c>
      <c r="W45" s="1574">
        <f t="shared" si="14"/>
        <v>100</v>
      </c>
      <c r="X45" s="1575"/>
      <c r="Y45" s="335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51"/>
      <c r="Q46" s="1577">
        <f t="shared" si="11"/>
        <v>111</v>
      </c>
      <c r="R46" s="1578" t="s">
        <v>8</v>
      </c>
      <c r="S46" s="1579">
        <f t="shared" si="12"/>
        <v>100</v>
      </c>
      <c r="T46" s="1578" t="s">
        <v>8</v>
      </c>
      <c r="U46" s="1579">
        <f t="shared" si="13"/>
        <v>100</v>
      </c>
      <c r="V46" s="1578" t="s">
        <v>8</v>
      </c>
      <c r="W46" s="1579">
        <f t="shared" si="14"/>
        <v>100</v>
      </c>
      <c r="X46" s="1572"/>
      <c r="Y46" s="335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45"/>
      <c r="Q47" s="1577">
        <f t="shared" si="11"/>
        <v>111</v>
      </c>
      <c r="R47" s="1578" t="s">
        <v>8</v>
      </c>
      <c r="S47" s="1579">
        <f t="shared" si="12"/>
        <v>100</v>
      </c>
      <c r="T47" s="1578" t="s">
        <v>8</v>
      </c>
      <c r="U47" s="1579">
        <f t="shared" si="13"/>
        <v>100</v>
      </c>
      <c r="V47" s="1578" t="s">
        <v>8</v>
      </c>
      <c r="W47" s="1579">
        <f t="shared" si="14"/>
        <v>100</v>
      </c>
      <c r="X47" s="1572"/>
      <c r="Y47" s="3445"/>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68" t="str">
        <f>A48</f>
        <v>成交单价（元/平方米）</v>
      </c>
      <c r="Q48" s="3346"/>
      <c r="R48" s="3444">
        <f>E48</f>
        <v>0</v>
      </c>
      <c r="S48" s="3444"/>
      <c r="T48" s="3444">
        <f>G48</f>
        <v>0</v>
      </c>
      <c r="U48" s="3444"/>
      <c r="V48" s="3444">
        <f>I48</f>
        <v>0</v>
      </c>
      <c r="W48" s="3444"/>
      <c r="X48" s="1564"/>
      <c r="Y48" s="1586"/>
      <c r="Z48" s="1564"/>
      <c r="AA48" s="1564"/>
      <c r="AB48" s="1564"/>
      <c r="AC48" s="1564"/>
    </row>
    <row r="49" spans="1:29" ht="15.75" thickBot="1">
      <c r="A49" s="618" t="s">
        <v>2773</v>
      </c>
      <c r="B49" s="891"/>
      <c r="C49" s="2668" t="e">
        <f>R50</f>
        <v>#DIV/0!</v>
      </c>
      <c r="D49" s="2669"/>
      <c r="E49" s="2670" t="e">
        <f>R49</f>
        <v>#DIV/0!</v>
      </c>
      <c r="F49" s="2670"/>
      <c r="G49" s="2668" t="e">
        <f>T49</f>
        <v>#DIV/0!</v>
      </c>
      <c r="H49" s="2669"/>
      <c r="I49" s="2670" t="e">
        <f>V49</f>
        <v>#DIV/0!</v>
      </c>
      <c r="J49" s="2669"/>
      <c r="K49" s="1617"/>
      <c r="L49" s="2154"/>
      <c r="M49" s="2144"/>
      <c r="N49" s="2144"/>
      <c r="O49" s="2144"/>
      <c r="P49" s="3368" t="str">
        <f>A49</f>
        <v>比较价格（元/平方米）</v>
      </c>
      <c r="Q49" s="3346"/>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1564"/>
      <c r="Y49" s="1564"/>
      <c r="Z49" s="1564"/>
      <c r="AA49" s="1564"/>
      <c r="AB49" s="1564"/>
      <c r="AC49" s="1564"/>
    </row>
    <row r="50" spans="1:29" ht="15.75" thickBot="1">
      <c r="A50" s="624" t="s">
        <v>2950</v>
      </c>
      <c r="B50" s="625"/>
      <c r="C50" s="2671" t="e">
        <f>R50</f>
        <v>#DIV/0!</v>
      </c>
      <c r="D50" s="2671"/>
      <c r="E50" s="2671"/>
      <c r="F50" s="2671"/>
      <c r="G50" s="2671"/>
      <c r="H50" s="2671"/>
      <c r="I50" s="2671"/>
      <c r="J50" s="2671"/>
      <c r="K50" s="1618"/>
      <c r="L50" s="2154"/>
      <c r="M50" s="2144"/>
      <c r="N50" s="2144"/>
      <c r="O50" s="2144"/>
      <c r="P50" s="3449" t="str">
        <f>A50</f>
        <v>估价对象XX用房的比较价格（楼面单价，元/平方米）</v>
      </c>
      <c r="Q50" s="3368"/>
      <c r="R50" s="3443" t="e">
        <f>IF(F1="售价",ROUND(AVERAGE(R49:V49),0),ROUND(AVERAGE(R49:V49),1))</f>
        <v>#DIV/0!</v>
      </c>
      <c r="S50" s="3443"/>
      <c r="T50" s="3443"/>
      <c r="U50" s="3443"/>
      <c r="V50" s="3443"/>
      <c r="W50" s="3443"/>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1900-1</v>
      </c>
      <c r="D59" s="2843" t="e">
        <f>EDATE(C59,-1)</f>
        <v>#NUM!</v>
      </c>
      <c r="E59" s="2843" t="e">
        <f t="shared" ref="E59:O59" si="16">EDATE(D59,-1)</f>
        <v>#NUM!</v>
      </c>
      <c r="F59" s="2843" t="e">
        <f t="shared" si="16"/>
        <v>#NUM!</v>
      </c>
      <c r="G59" s="2843" t="e">
        <f t="shared" si="16"/>
        <v>#NUM!</v>
      </c>
      <c r="H59" s="2843" t="e">
        <f t="shared" si="16"/>
        <v>#NUM!</v>
      </c>
      <c r="I59" s="2843" t="e">
        <f t="shared" si="16"/>
        <v>#NUM!</v>
      </c>
      <c r="J59" s="2843" t="e">
        <f t="shared" si="16"/>
        <v>#NUM!</v>
      </c>
      <c r="K59" s="2843" t="e">
        <f t="shared" si="16"/>
        <v>#NUM!</v>
      </c>
      <c r="L59" s="2843" t="e">
        <f t="shared" si="16"/>
        <v>#NUM!</v>
      </c>
      <c r="M59" s="2843" t="e">
        <f t="shared" si="16"/>
        <v>#NUM!</v>
      </c>
      <c r="N59" s="2843" t="e">
        <f t="shared" si="16"/>
        <v>#NUM!</v>
      </c>
      <c r="O59" s="2843" t="e">
        <f t="shared" si="16"/>
        <v>#NUM!</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2567</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2568</v>
      </c>
      <c r="C83" s="2633" t="s">
        <v>2569</v>
      </c>
      <c r="D83" s="2633" t="s">
        <v>2570</v>
      </c>
      <c r="E83" s="2633" t="s">
        <v>2571</v>
      </c>
      <c r="F83" s="2633" t="s">
        <v>2572</v>
      </c>
      <c r="G83" s="2633" t="s">
        <v>2573</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2566</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52" t="s">
        <v>523</v>
      </c>
      <c r="D4" s="3353"/>
      <c r="E4" s="3376" t="s">
        <v>524</v>
      </c>
      <c r="F4" s="3377"/>
      <c r="G4" s="3352" t="s">
        <v>525</v>
      </c>
      <c r="H4" s="3353"/>
      <c r="I4" s="3352" t="s">
        <v>526</v>
      </c>
      <c r="J4" s="3353"/>
      <c r="K4" s="517" t="s">
        <v>527</v>
      </c>
      <c r="L4" s="2143"/>
      <c r="M4" s="2144"/>
      <c r="N4" s="2144"/>
      <c r="O4" s="2144"/>
      <c r="P4" s="3354" t="s">
        <v>528</v>
      </c>
      <c r="Q4" s="3355"/>
      <c r="R4" s="3340" t="s">
        <v>524</v>
      </c>
      <c r="S4" s="3341"/>
      <c r="T4" s="3340" t="s">
        <v>525</v>
      </c>
      <c r="U4" s="3341"/>
      <c r="V4" s="3360" t="s">
        <v>526</v>
      </c>
      <c r="W4" s="3360"/>
      <c r="X4" s="1572"/>
      <c r="Y4" s="3340" t="s">
        <v>528</v>
      </c>
      <c r="Z4" s="3341"/>
      <c r="AA4" s="3335" t="s">
        <v>524</v>
      </c>
      <c r="AB4" s="3336" t="s">
        <v>525</v>
      </c>
      <c r="AC4" s="3335" t="s">
        <v>526</v>
      </c>
    </row>
    <row r="5" spans="1:29" ht="15">
      <c r="A5" s="518"/>
      <c r="B5" s="519"/>
      <c r="C5" s="3363" t="s">
        <v>2944</v>
      </c>
      <c r="D5" s="3364"/>
      <c r="E5" s="3378" t="s">
        <v>2945</v>
      </c>
      <c r="F5" s="3379"/>
      <c r="G5" s="3363" t="s">
        <v>2946</v>
      </c>
      <c r="H5" s="3364"/>
      <c r="I5" s="3363" t="s">
        <v>2947</v>
      </c>
      <c r="J5" s="3364"/>
      <c r="K5" s="517"/>
      <c r="L5" s="2143"/>
      <c r="M5" s="2144"/>
      <c r="N5" s="2144"/>
      <c r="O5" s="2144"/>
      <c r="P5" s="3356"/>
      <c r="Q5" s="3357"/>
      <c r="R5" s="3342"/>
      <c r="S5" s="3343"/>
      <c r="T5" s="3342"/>
      <c r="U5" s="3343"/>
      <c r="V5" s="3360"/>
      <c r="W5" s="3360"/>
      <c r="X5" s="1572"/>
      <c r="Y5" s="3342"/>
      <c r="Z5" s="3343"/>
      <c r="AA5" s="3336"/>
      <c r="AB5" s="3336"/>
      <c r="AC5" s="3336"/>
    </row>
    <row r="6" spans="1:29" ht="15.75" thickBot="1">
      <c r="A6" s="520"/>
      <c r="B6" s="521"/>
      <c r="C6" s="3361" t="s">
        <v>2948</v>
      </c>
      <c r="D6" s="3362"/>
      <c r="E6" s="3380" t="s">
        <v>2948</v>
      </c>
      <c r="F6" s="3381"/>
      <c r="G6" s="3361" t="s">
        <v>2948</v>
      </c>
      <c r="H6" s="3362"/>
      <c r="I6" s="3361" t="s">
        <v>2948</v>
      </c>
      <c r="J6" s="3362"/>
      <c r="K6" s="517" t="s">
        <v>529</v>
      </c>
      <c r="L6" s="2143"/>
      <c r="M6" s="2144"/>
      <c r="N6" s="2144"/>
      <c r="O6" s="2144"/>
      <c r="P6" s="3358"/>
      <c r="Q6" s="3359"/>
      <c r="R6" s="3342"/>
      <c r="S6" s="3343"/>
      <c r="T6" s="3344"/>
      <c r="U6" s="3345"/>
      <c r="V6" s="3360"/>
      <c r="W6" s="3360"/>
      <c r="X6" s="1572"/>
      <c r="Y6" s="3344"/>
      <c r="Z6" s="3345"/>
      <c r="AA6" s="3337"/>
      <c r="AB6" s="3337"/>
      <c r="AC6" s="3337"/>
    </row>
    <row r="7" spans="1:29" s="1223" customFormat="1" ht="15.75" thickBot="1">
      <c r="A7" s="2951"/>
      <c r="B7" s="2958" t="s">
        <v>530</v>
      </c>
      <c r="C7" s="522">
        <f>'数据-取费表'!B2</f>
        <v>0</v>
      </c>
      <c r="D7" s="523">
        <v>100</v>
      </c>
      <c r="E7" s="524"/>
      <c r="F7" s="525">
        <f>SUMIF(52:52,YEAR(E7)&amp;"-"&amp;MONTH(E7),53:53)</f>
        <v>100</v>
      </c>
      <c r="G7" s="524"/>
      <c r="H7" s="523">
        <f>SUMIF(52:52,YEAR(G7)&amp;"-"&amp;MONTH(G7),53:53)</f>
        <v>100</v>
      </c>
      <c r="I7" s="524"/>
      <c r="J7" s="523">
        <f>SUMIF(52:52,YEAR(I7)&amp;"-"&amp;MONTH(I7),53:53)</f>
        <v>100</v>
      </c>
      <c r="K7" s="527"/>
      <c r="L7" s="2145"/>
      <c r="M7" s="2146"/>
      <c r="N7" s="2146"/>
      <c r="O7" s="2146"/>
      <c r="P7" s="3338" t="s">
        <v>531</v>
      </c>
      <c r="Q7" s="3347"/>
      <c r="R7" s="1573" t="s">
        <v>8</v>
      </c>
      <c r="S7" s="1574">
        <f t="shared" ref="S7:S15" si="0">F7</f>
        <v>100</v>
      </c>
      <c r="T7" s="1573" t="s">
        <v>8</v>
      </c>
      <c r="U7" s="1574">
        <f t="shared" ref="U7:U15" si="1">H7</f>
        <v>100</v>
      </c>
      <c r="V7" s="1573" t="s">
        <v>8</v>
      </c>
      <c r="W7" s="1574">
        <f t="shared" ref="W7:W15"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38" t="s">
        <v>534</v>
      </c>
      <c r="Q8" s="3339"/>
      <c r="R8" s="1573" t="s">
        <v>8</v>
      </c>
      <c r="S8" s="1574">
        <f t="shared" si="0"/>
        <v>0</v>
      </c>
      <c r="T8" s="1573" t="s">
        <v>8</v>
      </c>
      <c r="U8" s="1574">
        <f t="shared" si="1"/>
        <v>0</v>
      </c>
      <c r="V8" s="1573" t="s">
        <v>8</v>
      </c>
      <c r="W8" s="1574">
        <f t="shared" si="2"/>
        <v>0</v>
      </c>
      <c r="X8" s="1575"/>
      <c r="Y8" s="3338" t="s">
        <v>534</v>
      </c>
      <c r="Z8" s="3339"/>
      <c r="AA8" s="1576" t="e">
        <f t="shared" ref="AA8:AA40" si="3">D8/F8</f>
        <v>#DIV/0!</v>
      </c>
      <c r="AB8" s="1576" t="e">
        <f t="shared" ref="AB8:AB40" si="4">D8/H8</f>
        <v>#DIV/0!</v>
      </c>
      <c r="AC8" s="1576" t="e">
        <f t="shared" ref="AC8:AC40" si="5">D8/J8</f>
        <v>#DIV/0!</v>
      </c>
    </row>
    <row r="9" spans="1:29" s="1223" customFormat="1" ht="15">
      <c r="A9" s="2953"/>
      <c r="B9" s="2960" t="s">
        <v>2769</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46" t="s">
        <v>536</v>
      </c>
      <c r="Q9" s="1154" t="str">
        <f t="shared" ref="Q9:Q15" si="6">B9</f>
        <v>用途</v>
      </c>
      <c r="R9" s="1573" t="s">
        <v>8</v>
      </c>
      <c r="S9" s="1574">
        <f t="shared" si="0"/>
        <v>100</v>
      </c>
      <c r="T9" s="1573" t="s">
        <v>8</v>
      </c>
      <c r="U9" s="1574">
        <f t="shared" si="1"/>
        <v>100</v>
      </c>
      <c r="V9" s="1573" t="s">
        <v>8</v>
      </c>
      <c r="W9" s="1574">
        <f t="shared" si="2"/>
        <v>100</v>
      </c>
      <c r="X9" s="1575"/>
      <c r="Y9" s="3303"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46"/>
      <c r="Q11" s="1154" t="str">
        <f t="shared" si="6"/>
        <v>容积率</v>
      </c>
      <c r="R11" s="1573" t="s">
        <v>8</v>
      </c>
      <c r="S11" s="1574" t="e">
        <f t="shared" si="0"/>
        <v>#N/A</v>
      </c>
      <c r="T11" s="1573" t="s">
        <v>8</v>
      </c>
      <c r="U11" s="1574" t="e">
        <f t="shared" si="1"/>
        <v>#N/A</v>
      </c>
      <c r="V11" s="1573" t="s">
        <v>8</v>
      </c>
      <c r="W11" s="1574" t="e">
        <f t="shared" si="2"/>
        <v>#N/A</v>
      </c>
      <c r="X11" s="1575"/>
      <c r="Y11" s="3303"/>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46"/>
      <c r="Q12" s="1154">
        <f t="shared" si="6"/>
        <v>111</v>
      </c>
      <c r="R12" s="1573" t="s">
        <v>8</v>
      </c>
      <c r="S12" s="1574">
        <f t="shared" si="0"/>
        <v>100</v>
      </c>
      <c r="T12" s="1573" t="s">
        <v>8</v>
      </c>
      <c r="U12" s="1574">
        <f t="shared" si="1"/>
        <v>100</v>
      </c>
      <c r="V12" s="1573" t="s">
        <v>8</v>
      </c>
      <c r="W12" s="1574">
        <f t="shared" si="2"/>
        <v>100</v>
      </c>
      <c r="X12" s="1575"/>
      <c r="Y12" s="3303"/>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46"/>
      <c r="Q13" s="1154">
        <f t="shared" si="6"/>
        <v>111</v>
      </c>
      <c r="R13" s="1573" t="s">
        <v>8</v>
      </c>
      <c r="S13" s="1574">
        <f t="shared" si="0"/>
        <v>100</v>
      </c>
      <c r="T13" s="1573" t="s">
        <v>8</v>
      </c>
      <c r="U13" s="1574">
        <f t="shared" si="1"/>
        <v>100</v>
      </c>
      <c r="V13" s="1573" t="s">
        <v>8</v>
      </c>
      <c r="W13" s="1574">
        <f t="shared" si="2"/>
        <v>100</v>
      </c>
      <c r="X13" s="1575"/>
      <c r="Y13" s="3303"/>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46"/>
      <c r="Q14" s="1154">
        <f t="shared" si="6"/>
        <v>111</v>
      </c>
      <c r="R14" s="1573" t="s">
        <v>8</v>
      </c>
      <c r="S14" s="1574">
        <f t="shared" si="0"/>
        <v>100</v>
      </c>
      <c r="T14" s="1573" t="s">
        <v>8</v>
      </c>
      <c r="U14" s="1574">
        <f t="shared" si="1"/>
        <v>100</v>
      </c>
      <c r="V14" s="1573" t="s">
        <v>8</v>
      </c>
      <c r="W14" s="1574">
        <f t="shared" si="2"/>
        <v>100</v>
      </c>
      <c r="X14" s="1575"/>
      <c r="Y14" s="3303"/>
      <c r="Z14" s="1153">
        <f t="shared" si="7"/>
        <v>111</v>
      </c>
      <c r="AA14" s="1576">
        <f t="shared" si="3"/>
        <v>1</v>
      </c>
      <c r="AB14" s="1576">
        <f t="shared" si="4"/>
        <v>1</v>
      </c>
      <c r="AC14" s="1576">
        <f t="shared" si="5"/>
        <v>1</v>
      </c>
    </row>
    <row r="15" spans="1:29" ht="57">
      <c r="A15" s="2949" t="s">
        <v>2767</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48" t="s">
        <v>541</v>
      </c>
      <c r="Q15" s="1577" t="str">
        <f t="shared" si="6"/>
        <v>产业集聚程度</v>
      </c>
      <c r="R15" s="1578" t="s">
        <v>8</v>
      </c>
      <c r="S15" s="1579">
        <f t="shared" si="0"/>
        <v>100</v>
      </c>
      <c r="T15" s="1578" t="s">
        <v>8</v>
      </c>
      <c r="U15" s="1579">
        <f t="shared" si="1"/>
        <v>100</v>
      </c>
      <c r="V15" s="1578" t="s">
        <v>8</v>
      </c>
      <c r="W15" s="1579">
        <f t="shared" si="2"/>
        <v>100</v>
      </c>
      <c r="X15" s="1572"/>
      <c r="Y15" s="3348"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49"/>
      <c r="Q16" s="1577"/>
      <c r="R16" s="1578"/>
      <c r="S16" s="1579"/>
      <c r="T16" s="1578"/>
      <c r="U16" s="1579"/>
      <c r="V16" s="1578"/>
      <c r="W16" s="1579"/>
      <c r="X16" s="1572"/>
      <c r="Y16" s="3349"/>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49"/>
      <c r="Q17" s="1577" t="str">
        <f>B17</f>
        <v>交通便捷度</v>
      </c>
      <c r="R17" s="1578" t="s">
        <v>8</v>
      </c>
      <c r="S17" s="1579">
        <f>F17</f>
        <v>100</v>
      </c>
      <c r="T17" s="1578" t="s">
        <v>8</v>
      </c>
      <c r="U17" s="1579">
        <f>H17</f>
        <v>100</v>
      </c>
      <c r="V17" s="1578" t="s">
        <v>8</v>
      </c>
      <c r="W17" s="1579">
        <f>J17</f>
        <v>100</v>
      </c>
      <c r="X17" s="1572"/>
      <c r="Y17" s="334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49"/>
      <c r="Q18" s="1577"/>
      <c r="R18" s="1578"/>
      <c r="S18" s="1579"/>
      <c r="T18" s="1578"/>
      <c r="U18" s="1579"/>
      <c r="V18" s="1578"/>
      <c r="W18" s="1579"/>
      <c r="X18" s="1572"/>
      <c r="Y18" s="3349"/>
      <c r="Z18" s="1580"/>
      <c r="AA18" s="1581">
        <v>1</v>
      </c>
      <c r="AB18" s="1581">
        <v>1</v>
      </c>
      <c r="AC18" s="1581">
        <v>1</v>
      </c>
    </row>
    <row r="19" spans="1:29" ht="42.75">
      <c r="A19" s="535"/>
      <c r="B19" s="2638" t="s">
        <v>2556</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49"/>
      <c r="Q19" s="1577" t="str">
        <f>B19</f>
        <v>公共配套设施</v>
      </c>
      <c r="R19" s="1578" t="s">
        <v>8</v>
      </c>
      <c r="S19" s="1579">
        <f>F19</f>
        <v>100</v>
      </c>
      <c r="T19" s="1578" t="s">
        <v>8</v>
      </c>
      <c r="U19" s="1579">
        <f>H19</f>
        <v>100</v>
      </c>
      <c r="V19" s="1578" t="s">
        <v>8</v>
      </c>
      <c r="W19" s="1579">
        <f>J19</f>
        <v>100</v>
      </c>
      <c r="X19" s="1572"/>
      <c r="Y19" s="334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49"/>
      <c r="Q20" s="1577"/>
      <c r="R20" s="1578"/>
      <c r="S20" s="1579"/>
      <c r="T20" s="1578"/>
      <c r="U20" s="1579"/>
      <c r="V20" s="1578"/>
      <c r="W20" s="1579"/>
      <c r="X20" s="1572"/>
      <c r="Y20" s="3349"/>
      <c r="Z20" s="1580"/>
      <c r="AA20" s="1581">
        <v>1</v>
      </c>
      <c r="AB20" s="1581">
        <v>1</v>
      </c>
      <c r="AC20" s="1581">
        <v>1</v>
      </c>
    </row>
    <row r="21" spans="1:29" ht="28.5">
      <c r="A21" s="535"/>
      <c r="B21" s="2626" t="s">
        <v>2568</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49"/>
      <c r="Q21" s="2614" t="str">
        <f>B21</f>
        <v>基础设施水平</v>
      </c>
      <c r="R21" s="1578" t="s">
        <v>8</v>
      </c>
      <c r="S21" s="1579">
        <f>F21</f>
        <v>100</v>
      </c>
      <c r="T21" s="1578" t="s">
        <v>8</v>
      </c>
      <c r="U21" s="1579">
        <f>H21</f>
        <v>100</v>
      </c>
      <c r="V21" s="1578" t="s">
        <v>8</v>
      </c>
      <c r="W21" s="1579">
        <f>J21</f>
        <v>100</v>
      </c>
      <c r="X21" s="2616"/>
      <c r="Y21" s="3349"/>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49"/>
      <c r="Q22" s="2614"/>
      <c r="R22" s="1578"/>
      <c r="S22" s="1579"/>
      <c r="T22" s="1578"/>
      <c r="U22" s="1579"/>
      <c r="V22" s="1578"/>
      <c r="W22" s="1579"/>
      <c r="X22" s="2616"/>
      <c r="Y22" s="3349"/>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49"/>
      <c r="Q23" s="1577" t="str">
        <f>B23</f>
        <v>环境质量</v>
      </c>
      <c r="R23" s="1578" t="s">
        <v>8</v>
      </c>
      <c r="S23" s="1579">
        <f>F23</f>
        <v>100</v>
      </c>
      <c r="T23" s="1578" t="s">
        <v>8</v>
      </c>
      <c r="U23" s="1579">
        <f>H23</f>
        <v>100</v>
      </c>
      <c r="V23" s="1578" t="s">
        <v>8</v>
      </c>
      <c r="W23" s="1579">
        <f>J23</f>
        <v>100</v>
      </c>
      <c r="X23" s="1572"/>
      <c r="Y23" s="334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49"/>
      <c r="Q24" s="1577"/>
      <c r="R24" s="1578"/>
      <c r="S24" s="1579"/>
      <c r="T24" s="1578"/>
      <c r="U24" s="1579"/>
      <c r="V24" s="1578"/>
      <c r="W24" s="1579"/>
      <c r="X24" s="1572"/>
      <c r="Y24" s="334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49"/>
      <c r="Q25" s="1577">
        <f>B25</f>
        <v>111</v>
      </c>
      <c r="R25" s="1578" t="s">
        <v>8</v>
      </c>
      <c r="S25" s="1579">
        <f>F25</f>
        <v>100</v>
      </c>
      <c r="T25" s="1578" t="s">
        <v>8</v>
      </c>
      <c r="U25" s="1579">
        <f>H25</f>
        <v>100</v>
      </c>
      <c r="V25" s="1578" t="s">
        <v>8</v>
      </c>
      <c r="W25" s="1579">
        <f>J25</f>
        <v>100</v>
      </c>
      <c r="X25" s="1572"/>
      <c r="Y25" s="334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49"/>
      <c r="Q26" s="1577">
        <f t="shared" ref="Q26:Q40" si="11">B26</f>
        <v>111</v>
      </c>
      <c r="R26" s="1578" t="s">
        <v>8</v>
      </c>
      <c r="S26" s="1579">
        <f>F26</f>
        <v>100</v>
      </c>
      <c r="T26" s="1578" t="s">
        <v>8</v>
      </c>
      <c r="U26" s="1579">
        <f>H26</f>
        <v>100</v>
      </c>
      <c r="V26" s="1578" t="s">
        <v>8</v>
      </c>
      <c r="W26" s="1579">
        <f>J26</f>
        <v>100</v>
      </c>
      <c r="X26" s="1572"/>
      <c r="Y26" s="334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49"/>
      <c r="Q27" s="1154">
        <f t="shared" si="11"/>
        <v>111</v>
      </c>
      <c r="R27" s="1573" t="s">
        <v>8</v>
      </c>
      <c r="S27" s="1574">
        <f>F27</f>
        <v>100</v>
      </c>
      <c r="T27" s="1573" t="s">
        <v>8</v>
      </c>
      <c r="U27" s="1574">
        <f>H27</f>
        <v>100</v>
      </c>
      <c r="V27" s="1573" t="s">
        <v>8</v>
      </c>
      <c r="W27" s="1574">
        <f>J27</f>
        <v>100</v>
      </c>
      <c r="X27" s="1575"/>
      <c r="Y27" s="334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49"/>
      <c r="Q28" s="1577">
        <f t="shared" si="11"/>
        <v>111</v>
      </c>
      <c r="R28" s="1578" t="s">
        <v>8</v>
      </c>
      <c r="S28" s="1579">
        <f t="shared" ref="S28:S40" si="12">F28</f>
        <v>100</v>
      </c>
      <c r="T28" s="1578" t="s">
        <v>8</v>
      </c>
      <c r="U28" s="1579">
        <f t="shared" ref="U28:U40" si="13">H28</f>
        <v>100</v>
      </c>
      <c r="V28" s="1578" t="s">
        <v>8</v>
      </c>
      <c r="W28" s="1579">
        <f t="shared" ref="W28:W40" si="14">J28</f>
        <v>100</v>
      </c>
      <c r="X28" s="1572"/>
      <c r="Y28" s="3349"/>
      <c r="Z28" s="1580">
        <f t="shared" ref="Z28:Z40" si="15">Q28</f>
        <v>111</v>
      </c>
      <c r="AA28" s="1581">
        <f t="shared" si="3"/>
        <v>1</v>
      </c>
      <c r="AB28" s="1581">
        <f t="shared" si="4"/>
        <v>1</v>
      </c>
      <c r="AC28" s="1581">
        <f t="shared" si="5"/>
        <v>1</v>
      </c>
    </row>
    <row r="29" spans="1:29" ht="15">
      <c r="A29" s="2946" t="s">
        <v>2768</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50" t="s">
        <v>551</v>
      </c>
      <c r="Q29" s="1577" t="str">
        <f t="shared" si="11"/>
        <v>建筑类型</v>
      </c>
      <c r="R29" s="1578" t="s">
        <v>8</v>
      </c>
      <c r="S29" s="1579">
        <f t="shared" si="12"/>
        <v>100</v>
      </c>
      <c r="T29" s="1578" t="s">
        <v>8</v>
      </c>
      <c r="U29" s="1579">
        <f t="shared" si="13"/>
        <v>100</v>
      </c>
      <c r="V29" s="1578" t="s">
        <v>8</v>
      </c>
      <c r="W29" s="1579">
        <f t="shared" si="14"/>
        <v>100</v>
      </c>
      <c r="X29" s="1572"/>
      <c r="Y29" s="3351"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51"/>
      <c r="Q30" s="1610" t="str">
        <f t="shared" si="11"/>
        <v>项目建筑规模</v>
      </c>
      <c r="R30" s="1582" t="s">
        <v>8</v>
      </c>
      <c r="S30" s="1583" t="e">
        <f t="shared" si="12"/>
        <v>#N/A</v>
      </c>
      <c r="T30" s="1582" t="s">
        <v>8</v>
      </c>
      <c r="U30" s="1583" t="e">
        <f t="shared" si="13"/>
        <v>#N/A</v>
      </c>
      <c r="V30" s="1582" t="s">
        <v>8</v>
      </c>
      <c r="W30" s="1583" t="e">
        <f t="shared" si="14"/>
        <v>#N/A</v>
      </c>
      <c r="X30" s="1584"/>
      <c r="Y30" s="3351"/>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51"/>
      <c r="Q31" s="1577" t="str">
        <f t="shared" si="11"/>
        <v>建筑结构</v>
      </c>
      <c r="R31" s="1578" t="s">
        <v>8</v>
      </c>
      <c r="S31" s="1579">
        <f t="shared" si="12"/>
        <v>100</v>
      </c>
      <c r="T31" s="1578" t="s">
        <v>8</v>
      </c>
      <c r="U31" s="1579">
        <f t="shared" si="13"/>
        <v>100</v>
      </c>
      <c r="V31" s="1578" t="s">
        <v>8</v>
      </c>
      <c r="W31" s="1579">
        <f t="shared" si="14"/>
        <v>100</v>
      </c>
      <c r="X31" s="1572"/>
      <c r="Y31" s="3351"/>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51"/>
      <c r="Q32" s="1577" t="str">
        <f t="shared" si="11"/>
        <v>公共部分装修</v>
      </c>
      <c r="R32" s="1578" t="s">
        <v>8</v>
      </c>
      <c r="S32" s="1579">
        <f t="shared" si="12"/>
        <v>100</v>
      </c>
      <c r="T32" s="1578" t="s">
        <v>8</v>
      </c>
      <c r="U32" s="1579">
        <f t="shared" si="13"/>
        <v>100</v>
      </c>
      <c r="V32" s="1578" t="s">
        <v>8</v>
      </c>
      <c r="W32" s="1579">
        <f t="shared" si="14"/>
        <v>100</v>
      </c>
      <c r="X32" s="1572"/>
      <c r="Y32" s="3351"/>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51"/>
      <c r="Q33" s="1577" t="str">
        <f t="shared" si="11"/>
        <v>成新度</v>
      </c>
      <c r="R33" s="1578" t="s">
        <v>8</v>
      </c>
      <c r="S33" s="1579" t="e">
        <f t="shared" si="12"/>
        <v>#N/A</v>
      </c>
      <c r="T33" s="1578" t="s">
        <v>8</v>
      </c>
      <c r="U33" s="1579" t="e">
        <f t="shared" si="13"/>
        <v>#N/A</v>
      </c>
      <c r="V33" s="1578" t="s">
        <v>8</v>
      </c>
      <c r="W33" s="1579" t="e">
        <f t="shared" si="14"/>
        <v>#N/A</v>
      </c>
      <c r="X33" s="1572"/>
      <c r="Y33" s="3351"/>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51"/>
      <c r="Q34" s="1154" t="str">
        <f t="shared" si="11"/>
        <v>物业管理</v>
      </c>
      <c r="R34" s="1573" t="s">
        <v>8</v>
      </c>
      <c r="S34" s="1574">
        <f t="shared" si="12"/>
        <v>100</v>
      </c>
      <c r="T34" s="1573" t="s">
        <v>8</v>
      </c>
      <c r="U34" s="1574">
        <f t="shared" si="13"/>
        <v>100</v>
      </c>
      <c r="V34" s="1573" t="s">
        <v>8</v>
      </c>
      <c r="W34" s="1574">
        <f t="shared" si="14"/>
        <v>100</v>
      </c>
      <c r="X34" s="1575"/>
      <c r="Y34" s="3351"/>
      <c r="Z34" s="1153" t="str">
        <f t="shared" si="15"/>
        <v>物业管理</v>
      </c>
      <c r="AA34" s="1576">
        <f t="shared" si="3"/>
        <v>1</v>
      </c>
      <c r="AB34" s="1576">
        <f t="shared" si="4"/>
        <v>1</v>
      </c>
      <c r="AC34" s="1576">
        <f t="shared" si="5"/>
        <v>1</v>
      </c>
    </row>
    <row r="35" spans="1:29" ht="15">
      <c r="A35" s="597"/>
      <c r="B35" s="1901" t="s">
        <v>2575</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51" t="s">
        <v>551</v>
      </c>
      <c r="Q35" s="1577" t="str">
        <f t="shared" si="11"/>
        <v>市政基础设施</v>
      </c>
      <c r="R35" s="1578" t="s">
        <v>8</v>
      </c>
      <c r="S35" s="1579">
        <f t="shared" si="12"/>
        <v>100</v>
      </c>
      <c r="T35" s="1578" t="s">
        <v>8</v>
      </c>
      <c r="U35" s="1579">
        <f t="shared" si="13"/>
        <v>100</v>
      </c>
      <c r="V35" s="1578" t="s">
        <v>8</v>
      </c>
      <c r="W35" s="1579">
        <f t="shared" si="14"/>
        <v>100</v>
      </c>
      <c r="X35" s="1572"/>
      <c r="Y35" s="3351"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51"/>
      <c r="Q36" s="1577" t="str">
        <f t="shared" si="11"/>
        <v>内部装修</v>
      </c>
      <c r="R36" s="1578" t="s">
        <v>8</v>
      </c>
      <c r="S36" s="1579">
        <f t="shared" si="12"/>
        <v>100</v>
      </c>
      <c r="T36" s="1578" t="s">
        <v>8</v>
      </c>
      <c r="U36" s="1579">
        <f t="shared" si="13"/>
        <v>100</v>
      </c>
      <c r="V36" s="1578" t="s">
        <v>8</v>
      </c>
      <c r="W36" s="1579">
        <f t="shared" si="14"/>
        <v>100</v>
      </c>
      <c r="X36" s="1572"/>
      <c r="Y36" s="3351"/>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51"/>
      <c r="Q37" s="1577" t="str">
        <f t="shared" si="11"/>
        <v>内部装修状况</v>
      </c>
      <c r="R37" s="1578" t="s">
        <v>8</v>
      </c>
      <c r="S37" s="1579">
        <f t="shared" si="12"/>
        <v>100</v>
      </c>
      <c r="T37" s="1578" t="s">
        <v>8</v>
      </c>
      <c r="U37" s="1579">
        <f t="shared" si="13"/>
        <v>100</v>
      </c>
      <c r="V37" s="1578" t="s">
        <v>8</v>
      </c>
      <c r="W37" s="1579">
        <f t="shared" si="14"/>
        <v>100</v>
      </c>
      <c r="X37" s="1572"/>
      <c r="Y37" s="335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51"/>
      <c r="Q38" s="1610">
        <f t="shared" si="11"/>
        <v>111</v>
      </c>
      <c r="R38" s="1582" t="s">
        <v>8</v>
      </c>
      <c r="S38" s="1583">
        <f t="shared" si="12"/>
        <v>100</v>
      </c>
      <c r="T38" s="1582" t="s">
        <v>8</v>
      </c>
      <c r="U38" s="1583">
        <f t="shared" si="13"/>
        <v>100</v>
      </c>
      <c r="V38" s="1582" t="s">
        <v>8</v>
      </c>
      <c r="W38" s="1583">
        <f t="shared" si="14"/>
        <v>100</v>
      </c>
      <c r="X38" s="1584"/>
      <c r="Y38" s="335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51"/>
      <c r="Q39" s="1577">
        <f t="shared" si="11"/>
        <v>111</v>
      </c>
      <c r="R39" s="1578" t="s">
        <v>8</v>
      </c>
      <c r="S39" s="1579">
        <f t="shared" si="12"/>
        <v>100</v>
      </c>
      <c r="T39" s="1578" t="s">
        <v>8</v>
      </c>
      <c r="U39" s="1579">
        <f t="shared" si="13"/>
        <v>100</v>
      </c>
      <c r="V39" s="1578" t="s">
        <v>8</v>
      </c>
      <c r="W39" s="1579">
        <f t="shared" si="14"/>
        <v>100</v>
      </c>
      <c r="X39" s="1572"/>
      <c r="Y39" s="335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45"/>
      <c r="Q40" s="1577">
        <f t="shared" si="11"/>
        <v>111</v>
      </c>
      <c r="R40" s="1578" t="s">
        <v>8</v>
      </c>
      <c r="S40" s="1579">
        <f t="shared" si="12"/>
        <v>100</v>
      </c>
      <c r="T40" s="1578" t="s">
        <v>8</v>
      </c>
      <c r="U40" s="1579">
        <f t="shared" si="13"/>
        <v>100</v>
      </c>
      <c r="V40" s="1578" t="s">
        <v>8</v>
      </c>
      <c r="W40" s="1579">
        <f t="shared" si="14"/>
        <v>100</v>
      </c>
      <c r="X40" s="1572"/>
      <c r="Y40" s="3445"/>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46" t="str">
        <f>A41</f>
        <v>成交单价（元/平方米）</v>
      </c>
      <c r="Q41" s="3346"/>
      <c r="R41" s="3444">
        <f>E41</f>
        <v>0</v>
      </c>
      <c r="S41" s="3444"/>
      <c r="T41" s="3444">
        <f>G41</f>
        <v>0</v>
      </c>
      <c r="U41" s="3444"/>
      <c r="V41" s="3444">
        <f>I41</f>
        <v>0</v>
      </c>
      <c r="W41" s="3444"/>
      <c r="X41" s="1564"/>
      <c r="Y41" s="1586"/>
      <c r="Z41" s="1564"/>
      <c r="AA41" s="1564"/>
      <c r="AB41" s="1564"/>
      <c r="AC41" s="1564"/>
    </row>
    <row r="42" spans="1:29" ht="15.75" thickBot="1">
      <c r="A42" s="618" t="s">
        <v>2773</v>
      </c>
      <c r="B42" s="891"/>
      <c r="C42" s="2668" t="e">
        <f>R43</f>
        <v>#DIV/0!</v>
      </c>
      <c r="D42" s="2669"/>
      <c r="E42" s="2670" t="e">
        <f>R42</f>
        <v>#DIV/0!</v>
      </c>
      <c r="F42" s="2670"/>
      <c r="G42" s="2668" t="e">
        <f>T42</f>
        <v>#DIV/0!</v>
      </c>
      <c r="H42" s="2669"/>
      <c r="I42" s="2670" t="e">
        <f>V42</f>
        <v>#DIV/0!</v>
      </c>
      <c r="J42" s="2669"/>
      <c r="K42" s="1617"/>
      <c r="L42" s="2154"/>
      <c r="M42" s="2155"/>
      <c r="N42" s="2144"/>
      <c r="O42" s="2155"/>
      <c r="P42" s="3346" t="str">
        <f>A42</f>
        <v>比较价格（元/平方米）</v>
      </c>
      <c r="Q42" s="3346"/>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1564"/>
      <c r="Y42" s="1564"/>
      <c r="Z42" s="1564"/>
      <c r="AA42" s="1564"/>
      <c r="AB42" s="1564"/>
      <c r="AC42" s="1564"/>
    </row>
    <row r="43" spans="1:29" ht="15.75" thickBot="1">
      <c r="A43" s="624" t="s">
        <v>2950</v>
      </c>
      <c r="B43" s="625"/>
      <c r="C43" s="2671" t="e">
        <f>R43</f>
        <v>#DIV/0!</v>
      </c>
      <c r="D43" s="2671"/>
      <c r="E43" s="2671"/>
      <c r="F43" s="2671"/>
      <c r="G43" s="2671"/>
      <c r="H43" s="2671"/>
      <c r="I43" s="2671"/>
      <c r="J43" s="2671"/>
      <c r="K43" s="1618"/>
      <c r="L43" s="2154"/>
      <c r="M43" s="2155"/>
      <c r="N43" s="2155"/>
      <c r="O43" s="2155"/>
      <c r="P43" s="3367" t="str">
        <f>A43</f>
        <v>估价对象XX用房的比较价格（楼面单价，元/平方米）</v>
      </c>
      <c r="Q43" s="3368"/>
      <c r="R43" s="3443" t="e">
        <f>IF(F1="售价",ROUND(AVERAGE(R42:V42),0),ROUND(AVERAGE(R42:V42),1))</f>
        <v>#DIV/0!</v>
      </c>
      <c r="S43" s="3443"/>
      <c r="T43" s="3443"/>
      <c r="U43" s="3443"/>
      <c r="V43" s="3443"/>
      <c r="W43" s="3443"/>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1900-1</v>
      </c>
      <c r="D52" s="2843" t="e">
        <f>EDATE(C52,-1)</f>
        <v>#NUM!</v>
      </c>
      <c r="E52" s="2843" t="e">
        <f t="shared" ref="E52:O52" si="16">EDATE(D52,-1)</f>
        <v>#NUM!</v>
      </c>
      <c r="F52" s="2843" t="e">
        <f t="shared" si="16"/>
        <v>#NUM!</v>
      </c>
      <c r="G52" s="2843" t="e">
        <f t="shared" si="16"/>
        <v>#NUM!</v>
      </c>
      <c r="H52" s="2843" t="e">
        <f t="shared" si="16"/>
        <v>#NUM!</v>
      </c>
      <c r="I52" s="2843" t="e">
        <f t="shared" si="16"/>
        <v>#NUM!</v>
      </c>
      <c r="J52" s="2843" t="e">
        <f t="shared" si="16"/>
        <v>#NUM!</v>
      </c>
      <c r="K52" s="2843" t="e">
        <f t="shared" si="16"/>
        <v>#NUM!</v>
      </c>
      <c r="L52" s="2843" t="e">
        <f t="shared" si="16"/>
        <v>#NUM!</v>
      </c>
      <c r="M52" s="2843" t="e">
        <f t="shared" si="16"/>
        <v>#NUM!</v>
      </c>
      <c r="N52" s="2843" t="e">
        <f t="shared" si="16"/>
        <v>#NUM!</v>
      </c>
      <c r="O52" s="2843" t="e">
        <f t="shared" si="16"/>
        <v>#NUM!</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2567</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2568</v>
      </c>
      <c r="C76" s="2633" t="s">
        <v>2569</v>
      </c>
      <c r="D76" s="2633" t="s">
        <v>2570</v>
      </c>
      <c r="E76" s="2633" t="s">
        <v>2571</v>
      </c>
      <c r="F76" s="2633" t="s">
        <v>2572</v>
      </c>
      <c r="G76" s="2633" t="s">
        <v>2573</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2566</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52" t="s">
        <v>801</v>
      </c>
      <c r="D4" s="3353"/>
      <c r="E4" s="3352" t="s">
        <v>802</v>
      </c>
      <c r="F4" s="3353"/>
      <c r="G4" s="3352" t="s">
        <v>803</v>
      </c>
      <c r="H4" s="3353"/>
      <c r="I4" s="3352" t="s">
        <v>804</v>
      </c>
      <c r="J4" s="3353"/>
      <c r="K4" s="517" t="s">
        <v>805</v>
      </c>
      <c r="L4" s="2143"/>
      <c r="M4" s="2144"/>
      <c r="N4" s="2144"/>
      <c r="O4" s="2144"/>
      <c r="P4" s="3354" t="s">
        <v>806</v>
      </c>
      <c r="Q4" s="3355"/>
      <c r="R4" s="3340" t="s">
        <v>802</v>
      </c>
      <c r="S4" s="3341"/>
      <c r="T4" s="3340" t="s">
        <v>803</v>
      </c>
      <c r="U4" s="3341"/>
      <c r="V4" s="3360" t="s">
        <v>804</v>
      </c>
      <c r="W4" s="3360"/>
      <c r="X4" s="1572"/>
      <c r="Y4" s="3340" t="s">
        <v>806</v>
      </c>
      <c r="Z4" s="3341"/>
      <c r="AA4" s="3335" t="s">
        <v>802</v>
      </c>
      <c r="AB4" s="3336" t="s">
        <v>803</v>
      </c>
      <c r="AC4" s="3335" t="s">
        <v>804</v>
      </c>
    </row>
    <row r="5" spans="1:29" ht="15">
      <c r="A5" s="518"/>
      <c r="B5" s="519"/>
      <c r="C5" s="3363" t="s">
        <v>2944</v>
      </c>
      <c r="D5" s="3364"/>
      <c r="E5" s="3363" t="s">
        <v>2945</v>
      </c>
      <c r="F5" s="3364"/>
      <c r="G5" s="3363" t="s">
        <v>2946</v>
      </c>
      <c r="H5" s="3364"/>
      <c r="I5" s="3363" t="s">
        <v>2947</v>
      </c>
      <c r="J5" s="3364"/>
      <c r="K5" s="517"/>
      <c r="L5" s="2143"/>
      <c r="M5" s="2144"/>
      <c r="N5" s="2144"/>
      <c r="O5" s="2144"/>
      <c r="P5" s="3356"/>
      <c r="Q5" s="3357"/>
      <c r="R5" s="3342"/>
      <c r="S5" s="3343"/>
      <c r="T5" s="3342"/>
      <c r="U5" s="3343"/>
      <c r="V5" s="3360"/>
      <c r="W5" s="3360"/>
      <c r="X5" s="1572"/>
      <c r="Y5" s="3342"/>
      <c r="Z5" s="3343"/>
      <c r="AA5" s="3336"/>
      <c r="AB5" s="3336"/>
      <c r="AC5" s="3336"/>
    </row>
    <row r="6" spans="1:29" ht="15.75" thickBot="1">
      <c r="A6" s="520"/>
      <c r="B6" s="521"/>
      <c r="C6" s="3361" t="s">
        <v>2948</v>
      </c>
      <c r="D6" s="3362"/>
      <c r="E6" s="3365" t="s">
        <v>2948</v>
      </c>
      <c r="F6" s="3366"/>
      <c r="G6" s="3361" t="s">
        <v>2948</v>
      </c>
      <c r="H6" s="3362"/>
      <c r="I6" s="3361" t="s">
        <v>2948</v>
      </c>
      <c r="J6" s="3362"/>
      <c r="K6" s="517" t="s">
        <v>529</v>
      </c>
      <c r="L6" s="2143"/>
      <c r="M6" s="2144"/>
      <c r="N6" s="2144"/>
      <c r="O6" s="2144"/>
      <c r="P6" s="3358"/>
      <c r="Q6" s="3359"/>
      <c r="R6" s="3342"/>
      <c r="S6" s="3343"/>
      <c r="T6" s="3344"/>
      <c r="U6" s="3345"/>
      <c r="V6" s="3360"/>
      <c r="W6" s="3360"/>
      <c r="X6" s="1572"/>
      <c r="Y6" s="3344"/>
      <c r="Z6" s="3345"/>
      <c r="AA6" s="3337"/>
      <c r="AB6" s="3337"/>
      <c r="AC6" s="3337"/>
    </row>
    <row r="7" spans="1:29" s="1223" customFormat="1" ht="15.75" thickBot="1">
      <c r="A7" s="2951"/>
      <c r="B7" s="2958" t="s">
        <v>530</v>
      </c>
      <c r="C7" s="522">
        <f>'数据-取费表'!B2</f>
        <v>0</v>
      </c>
      <c r="D7" s="523">
        <v>100</v>
      </c>
      <c r="E7" s="524"/>
      <c r="F7" s="525">
        <f>SUMIF(48:48,YEAR(E7)&amp;"-"&amp;MONTH(E7),49:49)</f>
        <v>100</v>
      </c>
      <c r="G7" s="526"/>
      <c r="H7" s="523">
        <f>SUMIF(48:48,YEAR(G7)&amp;"-"&amp;MONTH(G7),49:49)</f>
        <v>100</v>
      </c>
      <c r="I7" s="526"/>
      <c r="J7" s="523">
        <f>SUMIF(48:48,YEAR(I7)&amp;"-"&amp;MONTH(I7),49:49)</f>
        <v>100</v>
      </c>
      <c r="K7" s="527"/>
      <c r="L7" s="2145"/>
      <c r="M7" s="2146"/>
      <c r="N7" s="2146"/>
      <c r="O7" s="2146"/>
      <c r="P7" s="3338" t="s">
        <v>531</v>
      </c>
      <c r="Q7" s="3347"/>
      <c r="R7" s="1573" t="s">
        <v>8</v>
      </c>
      <c r="S7" s="1574">
        <f t="shared" ref="S7:S14" si="0">F7</f>
        <v>100</v>
      </c>
      <c r="T7" s="1573" t="s">
        <v>8</v>
      </c>
      <c r="U7" s="1574">
        <f t="shared" ref="U7:U14" si="1">H7</f>
        <v>100</v>
      </c>
      <c r="V7" s="1573" t="s">
        <v>8</v>
      </c>
      <c r="W7" s="1574">
        <f t="shared" ref="W7:W14"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38" t="s">
        <v>534</v>
      </c>
      <c r="Q8" s="3339"/>
      <c r="R8" s="1573" t="s">
        <v>8</v>
      </c>
      <c r="S8" s="1574">
        <f t="shared" si="0"/>
        <v>0</v>
      </c>
      <c r="T8" s="1573" t="s">
        <v>8</v>
      </c>
      <c r="U8" s="1574">
        <f t="shared" si="1"/>
        <v>0</v>
      </c>
      <c r="V8" s="1573" t="s">
        <v>8</v>
      </c>
      <c r="W8" s="1574">
        <f t="shared" si="2"/>
        <v>0</v>
      </c>
      <c r="X8" s="1575"/>
      <c r="Y8" s="3338" t="s">
        <v>534</v>
      </c>
      <c r="Z8" s="3339"/>
      <c r="AA8" s="1576" t="e">
        <f t="shared" ref="AA8:AA36" si="3">D8/F8</f>
        <v>#DIV/0!</v>
      </c>
      <c r="AB8" s="1576" t="e">
        <f t="shared" ref="AB8:AB36" si="4">D8/H8</f>
        <v>#DIV/0!</v>
      </c>
      <c r="AC8" s="1576" t="e">
        <f t="shared" ref="AC8:AC36" si="5">D8/J8</f>
        <v>#DIV/0!</v>
      </c>
    </row>
    <row r="9" spans="1:29" s="1223" customFormat="1" ht="15">
      <c r="A9" s="2953"/>
      <c r="B9" s="2960" t="s">
        <v>2769</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46" t="s">
        <v>536</v>
      </c>
      <c r="Q9" s="1154" t="str">
        <f t="shared" ref="Q9:Q14" si="6">B9</f>
        <v>用途</v>
      </c>
      <c r="R9" s="1573" t="s">
        <v>8</v>
      </c>
      <c r="S9" s="1574">
        <f t="shared" si="0"/>
        <v>100</v>
      </c>
      <c r="T9" s="1573" t="s">
        <v>8</v>
      </c>
      <c r="U9" s="1574">
        <f t="shared" si="1"/>
        <v>100</v>
      </c>
      <c r="V9" s="1573" t="s">
        <v>8</v>
      </c>
      <c r="W9" s="1574">
        <f t="shared" si="2"/>
        <v>100</v>
      </c>
      <c r="X9" s="1575"/>
      <c r="Y9" s="3303" t="s">
        <v>537</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46"/>
      <c r="Q11" s="1154">
        <f t="shared" si="6"/>
        <v>111</v>
      </c>
      <c r="R11" s="1573" t="s">
        <v>8</v>
      </c>
      <c r="S11" s="1574">
        <f t="shared" si="0"/>
        <v>100</v>
      </c>
      <c r="T11" s="1573" t="s">
        <v>8</v>
      </c>
      <c r="U11" s="1574">
        <f t="shared" si="1"/>
        <v>100</v>
      </c>
      <c r="V11" s="1573" t="s">
        <v>8</v>
      </c>
      <c r="W11" s="1574">
        <f t="shared" si="2"/>
        <v>100</v>
      </c>
      <c r="X11" s="1575"/>
      <c r="Y11" s="3303"/>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46"/>
      <c r="Q12" s="1154">
        <f t="shared" si="6"/>
        <v>111</v>
      </c>
      <c r="R12" s="1573" t="s">
        <v>8</v>
      </c>
      <c r="S12" s="1574">
        <f t="shared" si="0"/>
        <v>100</v>
      </c>
      <c r="T12" s="1573" t="s">
        <v>8</v>
      </c>
      <c r="U12" s="1574">
        <f t="shared" si="1"/>
        <v>100</v>
      </c>
      <c r="V12" s="1573" t="s">
        <v>8</v>
      </c>
      <c r="W12" s="1574">
        <f t="shared" si="2"/>
        <v>100</v>
      </c>
      <c r="X12" s="1575"/>
      <c r="Y12" s="3303"/>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46"/>
      <c r="Q13" s="1154">
        <f t="shared" si="6"/>
        <v>111</v>
      </c>
      <c r="R13" s="1573" t="s">
        <v>8</v>
      </c>
      <c r="S13" s="1574">
        <f t="shared" si="0"/>
        <v>100</v>
      </c>
      <c r="T13" s="1573" t="s">
        <v>8</v>
      </c>
      <c r="U13" s="1574">
        <f t="shared" si="1"/>
        <v>100</v>
      </c>
      <c r="V13" s="1573" t="s">
        <v>8</v>
      </c>
      <c r="W13" s="1574">
        <f t="shared" si="2"/>
        <v>100</v>
      </c>
      <c r="X13" s="1575"/>
      <c r="Y13" s="3303"/>
      <c r="Z13" s="1153">
        <f t="shared" si="7"/>
        <v>111</v>
      </c>
      <c r="AA13" s="1576">
        <f t="shared" si="3"/>
        <v>1</v>
      </c>
      <c r="AB13" s="1576">
        <f t="shared" si="4"/>
        <v>1</v>
      </c>
      <c r="AC13" s="1576">
        <f t="shared" si="5"/>
        <v>1</v>
      </c>
    </row>
    <row r="14" spans="1:29" ht="85.5">
      <c r="A14" s="2949" t="s">
        <v>2767</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48" t="s">
        <v>541</v>
      </c>
      <c r="Q14" s="1577" t="str">
        <f t="shared" si="6"/>
        <v>交通便捷度</v>
      </c>
      <c r="R14" s="1578" t="s">
        <v>8</v>
      </c>
      <c r="S14" s="1579">
        <f t="shared" si="0"/>
        <v>100</v>
      </c>
      <c r="T14" s="1578" t="s">
        <v>8</v>
      </c>
      <c r="U14" s="1579">
        <f t="shared" si="1"/>
        <v>100</v>
      </c>
      <c r="V14" s="1578" t="s">
        <v>8</v>
      </c>
      <c r="W14" s="1579">
        <f t="shared" si="2"/>
        <v>100</v>
      </c>
      <c r="X14" s="1572"/>
      <c r="Y14" s="3348"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49"/>
      <c r="Q15" s="1577"/>
      <c r="R15" s="1578"/>
      <c r="S15" s="1579"/>
      <c r="T15" s="1578"/>
      <c r="U15" s="1579"/>
      <c r="V15" s="1578"/>
      <c r="W15" s="1579"/>
      <c r="X15" s="1572"/>
      <c r="Y15" s="3349"/>
      <c r="Z15" s="1580"/>
      <c r="AA15" s="1581">
        <v>1</v>
      </c>
      <c r="AB15" s="1581">
        <v>1</v>
      </c>
      <c r="AC15" s="1581">
        <v>1</v>
      </c>
    </row>
    <row r="16" spans="1:29" ht="42.75">
      <c r="A16" s="518"/>
      <c r="B16" s="2638" t="s">
        <v>2556</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49"/>
      <c r="Q16" s="1577" t="str">
        <f>B16</f>
        <v>公共配套设施</v>
      </c>
      <c r="R16" s="1578" t="s">
        <v>8</v>
      </c>
      <c r="S16" s="1579">
        <f>F16</f>
        <v>100</v>
      </c>
      <c r="T16" s="1578" t="s">
        <v>8</v>
      </c>
      <c r="U16" s="1579">
        <f>H16</f>
        <v>100</v>
      </c>
      <c r="V16" s="1578" t="s">
        <v>8</v>
      </c>
      <c r="W16" s="1579">
        <f>J16</f>
        <v>100</v>
      </c>
      <c r="X16" s="1572"/>
      <c r="Y16" s="334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49"/>
      <c r="Q17" s="1577"/>
      <c r="R17" s="1578"/>
      <c r="S17" s="1579"/>
      <c r="T17" s="1578"/>
      <c r="U17" s="1579"/>
      <c r="V17" s="1578"/>
      <c r="W17" s="1579"/>
      <c r="X17" s="1572"/>
      <c r="Y17" s="3349"/>
      <c r="Z17" s="1580"/>
      <c r="AA17" s="1581">
        <v>1</v>
      </c>
      <c r="AB17" s="1581">
        <v>1</v>
      </c>
      <c r="AC17" s="1581">
        <v>1</v>
      </c>
    </row>
    <row r="18" spans="1:29" ht="28.5">
      <c r="A18" s="518"/>
      <c r="B18" s="2626" t="s">
        <v>2568</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49"/>
      <c r="Q18" s="2614" t="str">
        <f>B18</f>
        <v>基础设施水平</v>
      </c>
      <c r="R18" s="1578" t="s">
        <v>8</v>
      </c>
      <c r="S18" s="1579">
        <f>F18</f>
        <v>100</v>
      </c>
      <c r="T18" s="1578" t="s">
        <v>8</v>
      </c>
      <c r="U18" s="1579">
        <f>H18</f>
        <v>100</v>
      </c>
      <c r="V18" s="1578" t="s">
        <v>8</v>
      </c>
      <c r="W18" s="1579">
        <f>J18</f>
        <v>100</v>
      </c>
      <c r="X18" s="2616"/>
      <c r="Y18" s="3349"/>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49"/>
      <c r="Q19" s="2614"/>
      <c r="R19" s="1578"/>
      <c r="S19" s="1579"/>
      <c r="T19" s="1578"/>
      <c r="U19" s="1579"/>
      <c r="V19" s="1578"/>
      <c r="W19" s="1579"/>
      <c r="X19" s="2616"/>
      <c r="Y19" s="3349"/>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49"/>
      <c r="Q20" s="1577" t="str">
        <f>B20</f>
        <v>自然及人文环境</v>
      </c>
      <c r="R20" s="1578" t="s">
        <v>8</v>
      </c>
      <c r="S20" s="1579">
        <f>F20</f>
        <v>100</v>
      </c>
      <c r="T20" s="1578" t="s">
        <v>8</v>
      </c>
      <c r="U20" s="1579">
        <f>H20</f>
        <v>100</v>
      </c>
      <c r="V20" s="1578" t="s">
        <v>8</v>
      </c>
      <c r="W20" s="1579">
        <f>J20</f>
        <v>100</v>
      </c>
      <c r="X20" s="1572"/>
      <c r="Y20" s="334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49"/>
      <c r="Q21" s="1577"/>
      <c r="R21" s="1578"/>
      <c r="S21" s="1579"/>
      <c r="T21" s="1578"/>
      <c r="U21" s="1579"/>
      <c r="V21" s="1578"/>
      <c r="W21" s="1579"/>
      <c r="X21" s="1572"/>
      <c r="Y21" s="3349"/>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49"/>
      <c r="Q22" s="1577" t="str">
        <f>B22</f>
        <v>楼层</v>
      </c>
      <c r="R22" s="1578" t="s">
        <v>8</v>
      </c>
      <c r="S22" s="1579">
        <f>F22</f>
        <v>100</v>
      </c>
      <c r="T22" s="1578" t="s">
        <v>8</v>
      </c>
      <c r="U22" s="1579">
        <f>H22</f>
        <v>100</v>
      </c>
      <c r="V22" s="1578" t="s">
        <v>8</v>
      </c>
      <c r="W22" s="1579">
        <f>J22</f>
        <v>100</v>
      </c>
      <c r="X22" s="1572"/>
      <c r="Y22" s="334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49"/>
      <c r="Q23" s="1577">
        <f>B23</f>
        <v>111</v>
      </c>
      <c r="R23" s="1578" t="s">
        <v>8</v>
      </c>
      <c r="S23" s="1579">
        <f>F23</f>
        <v>100</v>
      </c>
      <c r="T23" s="1578" t="s">
        <v>8</v>
      </c>
      <c r="U23" s="1579">
        <f>H23</f>
        <v>100</v>
      </c>
      <c r="V23" s="1578" t="s">
        <v>8</v>
      </c>
      <c r="W23" s="1579">
        <f>J23</f>
        <v>100</v>
      </c>
      <c r="X23" s="1572"/>
      <c r="Y23" s="334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49"/>
      <c r="Q24" s="1577">
        <f t="shared" ref="Q24:Q36" si="11">B24</f>
        <v>111</v>
      </c>
      <c r="R24" s="1578" t="s">
        <v>8</v>
      </c>
      <c r="S24" s="1579">
        <f>F24</f>
        <v>100</v>
      </c>
      <c r="T24" s="1578" t="s">
        <v>8</v>
      </c>
      <c r="U24" s="1579">
        <f>H24</f>
        <v>100</v>
      </c>
      <c r="V24" s="1578" t="s">
        <v>8</v>
      </c>
      <c r="W24" s="1579">
        <f>J24</f>
        <v>100</v>
      </c>
      <c r="X24" s="1572"/>
      <c r="Y24" s="334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49"/>
      <c r="Q25" s="1154">
        <f t="shared" si="11"/>
        <v>111</v>
      </c>
      <c r="R25" s="1573" t="s">
        <v>8</v>
      </c>
      <c r="S25" s="1574">
        <f>F25</f>
        <v>100</v>
      </c>
      <c r="T25" s="1573" t="s">
        <v>8</v>
      </c>
      <c r="U25" s="1574">
        <f>H25</f>
        <v>100</v>
      </c>
      <c r="V25" s="1573" t="s">
        <v>8</v>
      </c>
      <c r="W25" s="1574">
        <f>J25</f>
        <v>100</v>
      </c>
      <c r="X25" s="1575"/>
      <c r="Y25" s="3349"/>
      <c r="Z25" s="1153">
        <f>Q25</f>
        <v>111</v>
      </c>
      <c r="AA25" s="1581">
        <f>D25/F25</f>
        <v>1</v>
      </c>
      <c r="AB25" s="1581">
        <f>D25/H25</f>
        <v>1</v>
      </c>
      <c r="AC25" s="1581">
        <f>D25/J25</f>
        <v>1</v>
      </c>
    </row>
    <row r="26" spans="1:29" ht="15">
      <c r="A26" s="2946" t="s">
        <v>2768</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50"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51"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51"/>
      <c r="Q27" s="1610" t="str">
        <f t="shared" si="11"/>
        <v>项目停车位配比</v>
      </c>
      <c r="R27" s="1582" t="s">
        <v>8</v>
      </c>
      <c r="S27" s="1583">
        <f t="shared" si="12"/>
        <v>100</v>
      </c>
      <c r="T27" s="1582" t="s">
        <v>8</v>
      </c>
      <c r="U27" s="1583">
        <f t="shared" si="13"/>
        <v>100</v>
      </c>
      <c r="V27" s="1582" t="s">
        <v>8</v>
      </c>
      <c r="W27" s="1583">
        <f t="shared" si="14"/>
        <v>100</v>
      </c>
      <c r="X27" s="1584"/>
      <c r="Y27" s="3351"/>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51"/>
      <c r="Q28" s="1577" t="str">
        <f t="shared" si="11"/>
        <v>公共部分装修</v>
      </c>
      <c r="R28" s="1578" t="s">
        <v>8</v>
      </c>
      <c r="S28" s="1579">
        <f t="shared" si="12"/>
        <v>100</v>
      </c>
      <c r="T28" s="1578" t="s">
        <v>8</v>
      </c>
      <c r="U28" s="1579">
        <f t="shared" si="13"/>
        <v>100</v>
      </c>
      <c r="V28" s="1578" t="s">
        <v>8</v>
      </c>
      <c r="W28" s="1579">
        <f t="shared" si="14"/>
        <v>100</v>
      </c>
      <c r="X28" s="1572"/>
      <c r="Y28" s="3351"/>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51"/>
      <c r="Q29" s="1577" t="str">
        <f t="shared" si="11"/>
        <v>成新率</v>
      </c>
      <c r="R29" s="1578" t="s">
        <v>8</v>
      </c>
      <c r="S29" s="1579" t="e">
        <f t="shared" si="12"/>
        <v>#N/A</v>
      </c>
      <c r="T29" s="1578" t="s">
        <v>8</v>
      </c>
      <c r="U29" s="1579" t="e">
        <f t="shared" si="13"/>
        <v>#N/A</v>
      </c>
      <c r="V29" s="1578" t="s">
        <v>8</v>
      </c>
      <c r="W29" s="1579" t="e">
        <f t="shared" si="14"/>
        <v>#N/A</v>
      </c>
      <c r="X29" s="1572"/>
      <c r="Y29" s="3351"/>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51"/>
      <c r="Q30" s="1577" t="str">
        <f t="shared" si="11"/>
        <v>物业等级</v>
      </c>
      <c r="R30" s="1578" t="s">
        <v>8</v>
      </c>
      <c r="S30" s="1579">
        <f t="shared" si="12"/>
        <v>100</v>
      </c>
      <c r="T30" s="1578" t="s">
        <v>8</v>
      </c>
      <c r="U30" s="1579">
        <f t="shared" si="13"/>
        <v>100</v>
      </c>
      <c r="V30" s="1578" t="s">
        <v>8</v>
      </c>
      <c r="W30" s="1579">
        <f t="shared" si="14"/>
        <v>100</v>
      </c>
      <c r="X30" s="1572"/>
      <c r="Y30" s="3351"/>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51"/>
      <c r="Q31" s="1154" t="str">
        <f t="shared" si="11"/>
        <v>停车位面积</v>
      </c>
      <c r="R31" s="1573" t="s">
        <v>8</v>
      </c>
      <c r="S31" s="1574" t="e">
        <f t="shared" si="12"/>
        <v>#N/A</v>
      </c>
      <c r="T31" s="1573" t="s">
        <v>8</v>
      </c>
      <c r="U31" s="1574" t="e">
        <f t="shared" si="13"/>
        <v>#N/A</v>
      </c>
      <c r="V31" s="1573" t="s">
        <v>8</v>
      </c>
      <c r="W31" s="1574" t="e">
        <f t="shared" si="14"/>
        <v>#N/A</v>
      </c>
      <c r="X31" s="1575"/>
      <c r="Y31" s="3351"/>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51" t="s">
        <v>551</v>
      </c>
      <c r="Q32" s="1577" t="str">
        <f t="shared" si="11"/>
        <v>车位类型</v>
      </c>
      <c r="R32" s="1578" t="s">
        <v>8</v>
      </c>
      <c r="S32" s="1579">
        <f t="shared" si="12"/>
        <v>100</v>
      </c>
      <c r="T32" s="1578" t="s">
        <v>8</v>
      </c>
      <c r="U32" s="1579">
        <f t="shared" si="13"/>
        <v>100</v>
      </c>
      <c r="V32" s="1578" t="s">
        <v>8</v>
      </c>
      <c r="W32" s="1579">
        <f t="shared" si="14"/>
        <v>100</v>
      </c>
      <c r="X32" s="1572"/>
      <c r="Y32" s="3351"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51"/>
      <c r="Q33" s="1577" t="str">
        <f t="shared" si="11"/>
        <v>是否直接入户</v>
      </c>
      <c r="R33" s="1578" t="s">
        <v>8</v>
      </c>
      <c r="S33" s="1579">
        <f t="shared" si="12"/>
        <v>100</v>
      </c>
      <c r="T33" s="1578" t="s">
        <v>8</v>
      </c>
      <c r="U33" s="1579">
        <f t="shared" si="13"/>
        <v>100</v>
      </c>
      <c r="V33" s="1578" t="s">
        <v>8</v>
      </c>
      <c r="W33" s="1579">
        <f t="shared" si="14"/>
        <v>100</v>
      </c>
      <c r="X33" s="1572"/>
      <c r="Y33" s="335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51"/>
      <c r="Q34" s="1577">
        <f t="shared" si="11"/>
        <v>111</v>
      </c>
      <c r="R34" s="1578" t="s">
        <v>8</v>
      </c>
      <c r="S34" s="1579">
        <f t="shared" si="12"/>
        <v>100</v>
      </c>
      <c r="T34" s="1578" t="s">
        <v>8</v>
      </c>
      <c r="U34" s="1579">
        <f t="shared" si="13"/>
        <v>100</v>
      </c>
      <c r="V34" s="1578" t="s">
        <v>8</v>
      </c>
      <c r="W34" s="1579">
        <f t="shared" si="14"/>
        <v>100</v>
      </c>
      <c r="X34" s="1572"/>
      <c r="Y34" s="335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51"/>
      <c r="Q35" s="1610">
        <f t="shared" si="11"/>
        <v>111</v>
      </c>
      <c r="R35" s="1582" t="s">
        <v>8</v>
      </c>
      <c r="S35" s="1583">
        <f t="shared" si="12"/>
        <v>100</v>
      </c>
      <c r="T35" s="1582" t="s">
        <v>8</v>
      </c>
      <c r="U35" s="1583">
        <f t="shared" si="13"/>
        <v>100</v>
      </c>
      <c r="V35" s="1582" t="s">
        <v>8</v>
      </c>
      <c r="W35" s="1583">
        <f t="shared" si="14"/>
        <v>100</v>
      </c>
      <c r="X35" s="1584"/>
      <c r="Y35" s="335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51"/>
      <c r="Q36" s="1577">
        <f t="shared" si="11"/>
        <v>111</v>
      </c>
      <c r="R36" s="1578" t="s">
        <v>8</v>
      </c>
      <c r="S36" s="1579">
        <f t="shared" si="12"/>
        <v>100</v>
      </c>
      <c r="T36" s="1578" t="s">
        <v>8</v>
      </c>
      <c r="U36" s="1579">
        <f t="shared" si="13"/>
        <v>100</v>
      </c>
      <c r="V36" s="1578" t="s">
        <v>8</v>
      </c>
      <c r="W36" s="1579">
        <f t="shared" si="14"/>
        <v>100</v>
      </c>
      <c r="X36" s="1572"/>
      <c r="Y36" s="3351"/>
      <c r="Z36" s="1580">
        <f t="shared" si="15"/>
        <v>111</v>
      </c>
      <c r="AA36" s="1581">
        <f t="shared" si="3"/>
        <v>1</v>
      </c>
      <c r="AB36" s="1581">
        <f t="shared" si="4"/>
        <v>1</v>
      </c>
      <c r="AC36" s="1581">
        <f t="shared" si="5"/>
        <v>1</v>
      </c>
    </row>
    <row r="37" spans="1:29" ht="15">
      <c r="A37" s="1852" t="s">
        <v>2084</v>
      </c>
      <c r="B37" s="1853" t="s">
        <v>2085</v>
      </c>
      <c r="C37" s="2662" t="s">
        <v>1</v>
      </c>
      <c r="D37" s="2663"/>
      <c r="E37" s="2664"/>
      <c r="F37" s="2665"/>
      <c r="G37" s="2666"/>
      <c r="H37" s="2667"/>
      <c r="I37" s="2664"/>
      <c r="J37" s="2667"/>
      <c r="K37" s="1616"/>
      <c r="L37" s="2154"/>
      <c r="M37" s="2155"/>
      <c r="N37" s="2144"/>
      <c r="O37" s="2155"/>
      <c r="P37" s="3346" t="str">
        <f>A37</f>
        <v>成交单价</v>
      </c>
      <c r="Q37" s="3346"/>
      <c r="R37" s="3444">
        <f>E37</f>
        <v>0</v>
      </c>
      <c r="S37" s="3444"/>
      <c r="T37" s="3444">
        <f>G37</f>
        <v>0</v>
      </c>
      <c r="U37" s="3444"/>
      <c r="V37" s="3444">
        <f>I37</f>
        <v>0</v>
      </c>
      <c r="W37" s="3444"/>
      <c r="X37" s="1564"/>
      <c r="Y37" s="1586"/>
      <c r="Z37" s="1564"/>
      <c r="AA37" s="1564"/>
      <c r="AB37" s="1564"/>
      <c r="AC37" s="1564"/>
    </row>
    <row r="38" spans="1:29" ht="15.75" thickBot="1">
      <c r="A38" s="618" t="s">
        <v>2773</v>
      </c>
      <c r="B38" s="891"/>
      <c r="C38" s="2668" t="e">
        <f>R39</f>
        <v>#DIV/0!</v>
      </c>
      <c r="D38" s="2669"/>
      <c r="E38" s="2670" t="e">
        <f>R38</f>
        <v>#DIV/0!</v>
      </c>
      <c r="F38" s="2670"/>
      <c r="G38" s="2668" t="e">
        <f>T38</f>
        <v>#DIV/0!</v>
      </c>
      <c r="H38" s="2669"/>
      <c r="I38" s="2670" t="e">
        <f>V38</f>
        <v>#DIV/0!</v>
      </c>
      <c r="J38" s="2669"/>
      <c r="K38" s="1617"/>
      <c r="L38" s="2154"/>
      <c r="M38" s="2155"/>
      <c r="N38" s="2155"/>
      <c r="O38" s="2155"/>
      <c r="P38" s="3346" t="str">
        <f>A38</f>
        <v>比较价格（元/平方米）</v>
      </c>
      <c r="Q38" s="3346"/>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1564"/>
      <c r="Y38" s="1564"/>
      <c r="Z38" s="1564"/>
      <c r="AA38" s="1564"/>
      <c r="AB38" s="1564"/>
      <c r="AC38" s="1564"/>
    </row>
    <row r="39" spans="1:29" ht="15.75" thickBot="1">
      <c r="A39" s="624" t="s">
        <v>2950</v>
      </c>
      <c r="B39" s="625"/>
      <c r="C39" s="2671" t="e">
        <f>R39</f>
        <v>#DIV/0!</v>
      </c>
      <c r="D39" s="2671"/>
      <c r="E39" s="2671"/>
      <c r="F39" s="2671"/>
      <c r="G39" s="2671"/>
      <c r="H39" s="2671"/>
      <c r="I39" s="2671"/>
      <c r="J39" s="2671"/>
      <c r="K39" s="1618"/>
      <c r="L39" s="2154"/>
      <c r="M39" s="2155"/>
      <c r="N39" s="2155"/>
      <c r="O39" s="2155"/>
      <c r="P39" s="3367" t="str">
        <f>A39</f>
        <v>估价对象XX用房的比较价格（楼面单价，元/平方米）</v>
      </c>
      <c r="Q39" s="3368"/>
      <c r="R39" s="3443" t="e">
        <f>IF(F1="售价",ROUND(AVERAGE(R38:V38),0),ROUND(AVERAGE(R38:V38),1))</f>
        <v>#DIV/0!</v>
      </c>
      <c r="S39" s="3443"/>
      <c r="T39" s="3443"/>
      <c r="U39" s="3443"/>
      <c r="V39" s="3443"/>
      <c r="W39" s="3443"/>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1900-1</v>
      </c>
      <c r="D48" s="2843" t="e">
        <f>EDATE(C48,-1)</f>
        <v>#NUM!</v>
      </c>
      <c r="E48" s="2843" t="e">
        <f t="shared" ref="E48:O48" si="16">EDATE(D48,-1)</f>
        <v>#NUM!</v>
      </c>
      <c r="F48" s="2843" t="e">
        <f t="shared" si="16"/>
        <v>#NUM!</v>
      </c>
      <c r="G48" s="2843" t="e">
        <f t="shared" si="16"/>
        <v>#NUM!</v>
      </c>
      <c r="H48" s="2843" t="e">
        <f t="shared" si="16"/>
        <v>#NUM!</v>
      </c>
      <c r="I48" s="2843" t="e">
        <f t="shared" si="16"/>
        <v>#NUM!</v>
      </c>
      <c r="J48" s="2843" t="e">
        <f t="shared" si="16"/>
        <v>#NUM!</v>
      </c>
      <c r="K48" s="2843" t="e">
        <f t="shared" si="16"/>
        <v>#NUM!</v>
      </c>
      <c r="L48" s="2843" t="e">
        <f t="shared" si="16"/>
        <v>#NUM!</v>
      </c>
      <c r="M48" s="2843" t="e">
        <f t="shared" si="16"/>
        <v>#NUM!</v>
      </c>
      <c r="N48" s="2843" t="e">
        <f t="shared" si="16"/>
        <v>#NUM!</v>
      </c>
      <c r="O48" s="2843" t="e">
        <f t="shared" si="16"/>
        <v>#NUM!</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2567</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2568</v>
      </c>
      <c r="C67" s="2633" t="s">
        <v>2569</v>
      </c>
      <c r="D67" s="2633" t="s">
        <v>2570</v>
      </c>
      <c r="E67" s="2633" t="s">
        <v>2571</v>
      </c>
      <c r="F67" s="2633" t="s">
        <v>2572</v>
      </c>
      <c r="G67" s="2633" t="s">
        <v>2573</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52" t="s">
        <v>801</v>
      </c>
      <c r="D4" s="3353"/>
      <c r="E4" s="3376" t="s">
        <v>802</v>
      </c>
      <c r="F4" s="3377"/>
      <c r="G4" s="3352" t="s">
        <v>803</v>
      </c>
      <c r="H4" s="3353"/>
      <c r="I4" s="3352" t="s">
        <v>804</v>
      </c>
      <c r="J4" s="3353"/>
      <c r="K4" s="517" t="s">
        <v>805</v>
      </c>
      <c r="L4" s="2143"/>
      <c r="M4" s="2144"/>
      <c r="N4" s="2144"/>
      <c r="O4" s="2144"/>
      <c r="P4" s="3354" t="s">
        <v>806</v>
      </c>
      <c r="Q4" s="3355"/>
      <c r="R4" s="3340" t="s">
        <v>802</v>
      </c>
      <c r="S4" s="3341"/>
      <c r="T4" s="3340" t="s">
        <v>803</v>
      </c>
      <c r="U4" s="3341"/>
      <c r="V4" s="3360" t="s">
        <v>804</v>
      </c>
      <c r="W4" s="3360"/>
      <c r="X4" s="1572"/>
      <c r="Y4" s="3340" t="s">
        <v>806</v>
      </c>
      <c r="Z4" s="3341"/>
      <c r="AA4" s="3335" t="s">
        <v>802</v>
      </c>
      <c r="AB4" s="3336" t="s">
        <v>803</v>
      </c>
      <c r="AC4" s="3335" t="s">
        <v>804</v>
      </c>
    </row>
    <row r="5" spans="1:29" ht="15">
      <c r="A5" s="518"/>
      <c r="B5" s="519"/>
      <c r="C5" s="3363" t="s">
        <v>2944</v>
      </c>
      <c r="D5" s="3364"/>
      <c r="E5" s="3378" t="s">
        <v>2945</v>
      </c>
      <c r="F5" s="3379"/>
      <c r="G5" s="3363" t="s">
        <v>2946</v>
      </c>
      <c r="H5" s="3364"/>
      <c r="I5" s="3363" t="s">
        <v>2947</v>
      </c>
      <c r="J5" s="3364"/>
      <c r="K5" s="517"/>
      <c r="L5" s="2143"/>
      <c r="M5" s="2144"/>
      <c r="N5" s="2144"/>
      <c r="O5" s="2144"/>
      <c r="P5" s="3356"/>
      <c r="Q5" s="3357"/>
      <c r="R5" s="3342"/>
      <c r="S5" s="3343"/>
      <c r="T5" s="3342"/>
      <c r="U5" s="3343"/>
      <c r="V5" s="3360"/>
      <c r="W5" s="3360"/>
      <c r="X5" s="1572"/>
      <c r="Y5" s="3342"/>
      <c r="Z5" s="3343"/>
      <c r="AA5" s="3336"/>
      <c r="AB5" s="3336"/>
      <c r="AC5" s="3336"/>
    </row>
    <row r="6" spans="1:29" ht="15.75" thickBot="1">
      <c r="A6" s="520"/>
      <c r="B6" s="521"/>
      <c r="C6" s="3361" t="s">
        <v>2948</v>
      </c>
      <c r="D6" s="3362"/>
      <c r="E6" s="3380" t="s">
        <v>2948</v>
      </c>
      <c r="F6" s="3381"/>
      <c r="G6" s="3361" t="s">
        <v>2948</v>
      </c>
      <c r="H6" s="3362"/>
      <c r="I6" s="3361" t="s">
        <v>2948</v>
      </c>
      <c r="J6" s="3362"/>
      <c r="K6" s="517" t="s">
        <v>529</v>
      </c>
      <c r="L6" s="2143"/>
      <c r="M6" s="2144"/>
      <c r="N6" s="2144"/>
      <c r="O6" s="2144"/>
      <c r="P6" s="3358"/>
      <c r="Q6" s="3359"/>
      <c r="R6" s="3342"/>
      <c r="S6" s="3343"/>
      <c r="T6" s="3344"/>
      <c r="U6" s="3345"/>
      <c r="V6" s="3360"/>
      <c r="W6" s="3360"/>
      <c r="X6" s="1572"/>
      <c r="Y6" s="3344"/>
      <c r="Z6" s="3345"/>
      <c r="AA6" s="3337"/>
      <c r="AB6" s="3337"/>
      <c r="AC6" s="3337"/>
    </row>
    <row r="7" spans="1:29" s="1223" customFormat="1" ht="15.75" thickBot="1">
      <c r="A7" s="2951"/>
      <c r="B7" s="2958" t="s">
        <v>530</v>
      </c>
      <c r="C7" s="522">
        <f>'数据-取费表'!B2</f>
        <v>0</v>
      </c>
      <c r="D7" s="523">
        <v>100</v>
      </c>
      <c r="E7" s="524"/>
      <c r="F7" s="525">
        <f>SUMIF(46:46,YEAR(E7)&amp;"-"&amp;MONTH(E7),47:47)</f>
        <v>100</v>
      </c>
      <c r="G7" s="526"/>
      <c r="H7" s="523">
        <f>SUMIF(46:46,YEAR(G7)&amp;"-"&amp;MONTH(G7),47:47)</f>
        <v>100</v>
      </c>
      <c r="I7" s="526"/>
      <c r="J7" s="523">
        <f>SUMIF(46:46,YEAR(I7)&amp;"-"&amp;MONTH(I7),47:47)</f>
        <v>100</v>
      </c>
      <c r="K7" s="527"/>
      <c r="L7" s="2145"/>
      <c r="M7" s="2146"/>
      <c r="N7" s="2146"/>
      <c r="O7" s="2146"/>
      <c r="P7" s="3338" t="s">
        <v>531</v>
      </c>
      <c r="Q7" s="3347"/>
      <c r="R7" s="1573" t="s">
        <v>8</v>
      </c>
      <c r="S7" s="1574">
        <f t="shared" ref="S7:S14" si="0">F7</f>
        <v>100</v>
      </c>
      <c r="T7" s="1573" t="s">
        <v>8</v>
      </c>
      <c r="U7" s="1574">
        <f t="shared" ref="U7:U14" si="1">H7</f>
        <v>100</v>
      </c>
      <c r="V7" s="1573" t="s">
        <v>8</v>
      </c>
      <c r="W7" s="1574">
        <f t="shared" ref="W7:W14" si="2">J7</f>
        <v>100</v>
      </c>
      <c r="X7" s="1575"/>
      <c r="Y7" s="3338" t="s">
        <v>531</v>
      </c>
      <c r="Z7" s="3339"/>
      <c r="AA7" s="1576">
        <f>D7/F7</f>
        <v>1</v>
      </c>
      <c r="AB7" s="1576">
        <f>D7/H7</f>
        <v>1</v>
      </c>
      <c r="AC7" s="1576">
        <f>D7/J7</f>
        <v>1</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38" t="s">
        <v>534</v>
      </c>
      <c r="Q8" s="3339"/>
      <c r="R8" s="1573" t="s">
        <v>8</v>
      </c>
      <c r="S8" s="1574">
        <f t="shared" si="0"/>
        <v>0</v>
      </c>
      <c r="T8" s="1573" t="s">
        <v>8</v>
      </c>
      <c r="U8" s="1574">
        <f t="shared" si="1"/>
        <v>0</v>
      </c>
      <c r="V8" s="1573" t="s">
        <v>8</v>
      </c>
      <c r="W8" s="1574">
        <f t="shared" si="2"/>
        <v>0</v>
      </c>
      <c r="X8" s="1575"/>
      <c r="Y8" s="3338" t="s">
        <v>534</v>
      </c>
      <c r="Z8" s="3339"/>
      <c r="AA8" s="1576" t="e">
        <f t="shared" ref="AA8:AA34" si="3">D8/F8</f>
        <v>#DIV/0!</v>
      </c>
      <c r="AB8" s="1576" t="e">
        <f t="shared" ref="AB8:AB34" si="4">D8/H8</f>
        <v>#DIV/0!</v>
      </c>
      <c r="AC8" s="1576" t="e">
        <f t="shared" ref="AC8:AC34" si="5">D8/J8</f>
        <v>#DIV/0!</v>
      </c>
    </row>
    <row r="9" spans="1:29" s="1223" customFormat="1" ht="15">
      <c r="A9" s="2953"/>
      <c r="B9" s="2960" t="s">
        <v>2769</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46" t="s">
        <v>536</v>
      </c>
      <c r="Q9" s="1154" t="str">
        <f t="shared" ref="Q9:Q14" si="6">B9</f>
        <v>用途</v>
      </c>
      <c r="R9" s="1573" t="s">
        <v>8</v>
      </c>
      <c r="S9" s="1574">
        <f t="shared" si="0"/>
        <v>100</v>
      </c>
      <c r="T9" s="1573" t="s">
        <v>8</v>
      </c>
      <c r="U9" s="1574">
        <f t="shared" si="1"/>
        <v>100</v>
      </c>
      <c r="V9" s="1573" t="s">
        <v>8</v>
      </c>
      <c r="W9" s="1574">
        <f t="shared" si="2"/>
        <v>100</v>
      </c>
      <c r="X9" s="1575"/>
      <c r="Y9" s="3303" t="s">
        <v>537</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46"/>
      <c r="Q10" s="1154" t="str">
        <f t="shared" si="6"/>
        <v>土地使用年限（年）</v>
      </c>
      <c r="R10" s="1573" t="s">
        <v>8</v>
      </c>
      <c r="S10" s="1574">
        <f t="shared" si="0"/>
        <v>100</v>
      </c>
      <c r="T10" s="1573" t="s">
        <v>8</v>
      </c>
      <c r="U10" s="1574">
        <f t="shared" si="1"/>
        <v>100</v>
      </c>
      <c r="V10" s="1573" t="s">
        <v>8</v>
      </c>
      <c r="W10" s="1574">
        <f t="shared" si="2"/>
        <v>100</v>
      </c>
      <c r="X10" s="1575"/>
      <c r="Y10" s="3303"/>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46"/>
      <c r="Q11" s="1154">
        <f t="shared" si="6"/>
        <v>111</v>
      </c>
      <c r="R11" s="1573" t="s">
        <v>8</v>
      </c>
      <c r="S11" s="1574">
        <f t="shared" si="0"/>
        <v>100</v>
      </c>
      <c r="T11" s="1573" t="s">
        <v>8</v>
      </c>
      <c r="U11" s="1574">
        <f t="shared" si="1"/>
        <v>100</v>
      </c>
      <c r="V11" s="1573" t="s">
        <v>8</v>
      </c>
      <c r="W11" s="1574">
        <f t="shared" si="2"/>
        <v>100</v>
      </c>
      <c r="X11" s="1575"/>
      <c r="Y11" s="3303"/>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46"/>
      <c r="Q12" s="1154">
        <f t="shared" si="6"/>
        <v>111</v>
      </c>
      <c r="R12" s="1573" t="s">
        <v>8</v>
      </c>
      <c r="S12" s="1574">
        <f t="shared" si="0"/>
        <v>100</v>
      </c>
      <c r="T12" s="1573" t="s">
        <v>8</v>
      </c>
      <c r="U12" s="1574">
        <f t="shared" si="1"/>
        <v>100</v>
      </c>
      <c r="V12" s="1573" t="s">
        <v>8</v>
      </c>
      <c r="W12" s="1574">
        <f t="shared" si="2"/>
        <v>100</v>
      </c>
      <c r="X12" s="1575"/>
      <c r="Y12" s="3303"/>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46"/>
      <c r="Q13" s="1154">
        <f t="shared" si="6"/>
        <v>111</v>
      </c>
      <c r="R13" s="1573" t="s">
        <v>8</v>
      </c>
      <c r="S13" s="1574">
        <f t="shared" si="0"/>
        <v>100</v>
      </c>
      <c r="T13" s="1573" t="s">
        <v>8</v>
      </c>
      <c r="U13" s="1574">
        <f t="shared" si="1"/>
        <v>100</v>
      </c>
      <c r="V13" s="1573" t="s">
        <v>8</v>
      </c>
      <c r="W13" s="1574">
        <f t="shared" si="2"/>
        <v>100</v>
      </c>
      <c r="X13" s="1575"/>
      <c r="Y13" s="3303"/>
      <c r="Z13" s="1153">
        <f t="shared" si="7"/>
        <v>111</v>
      </c>
      <c r="AA13" s="1576">
        <f t="shared" si="3"/>
        <v>1</v>
      </c>
      <c r="AB13" s="1576">
        <f t="shared" si="4"/>
        <v>1</v>
      </c>
      <c r="AC13" s="1576">
        <f t="shared" si="5"/>
        <v>1</v>
      </c>
    </row>
    <row r="14" spans="1:29" ht="85.5">
      <c r="A14" s="2949" t="s">
        <v>2767</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48" t="s">
        <v>541</v>
      </c>
      <c r="Q14" s="1577" t="str">
        <f t="shared" si="6"/>
        <v>交通便捷度</v>
      </c>
      <c r="R14" s="1578" t="s">
        <v>8</v>
      </c>
      <c r="S14" s="1579">
        <f t="shared" si="0"/>
        <v>100</v>
      </c>
      <c r="T14" s="1578" t="s">
        <v>8</v>
      </c>
      <c r="U14" s="1579">
        <f t="shared" si="1"/>
        <v>100</v>
      </c>
      <c r="V14" s="1578" t="s">
        <v>8</v>
      </c>
      <c r="W14" s="1579">
        <f t="shared" si="2"/>
        <v>100</v>
      </c>
      <c r="X14" s="1572"/>
      <c r="Y14" s="3348"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49"/>
      <c r="Q15" s="1577"/>
      <c r="R15" s="1578"/>
      <c r="S15" s="1579"/>
      <c r="T15" s="1578"/>
      <c r="U15" s="1579"/>
      <c r="V15" s="1578"/>
      <c r="W15" s="1579"/>
      <c r="X15" s="1572"/>
      <c r="Y15" s="3349"/>
      <c r="Z15" s="1580"/>
      <c r="AA15" s="1581">
        <v>1</v>
      </c>
      <c r="AB15" s="1581">
        <v>1</v>
      </c>
      <c r="AC15" s="1581">
        <v>1</v>
      </c>
    </row>
    <row r="16" spans="1:29" ht="42.75">
      <c r="A16" s="535"/>
      <c r="B16" s="2638" t="s">
        <v>2556</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49"/>
      <c r="Q16" s="1577" t="str">
        <f>B16</f>
        <v>公共配套设施</v>
      </c>
      <c r="R16" s="1578" t="s">
        <v>8</v>
      </c>
      <c r="S16" s="1579">
        <f>F16</f>
        <v>100</v>
      </c>
      <c r="T16" s="1578" t="s">
        <v>8</v>
      </c>
      <c r="U16" s="1579">
        <f>H16</f>
        <v>100</v>
      </c>
      <c r="V16" s="1578" t="s">
        <v>8</v>
      </c>
      <c r="W16" s="1579">
        <f>J16</f>
        <v>100</v>
      </c>
      <c r="X16" s="1572"/>
      <c r="Y16" s="334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49"/>
      <c r="Q17" s="1577"/>
      <c r="R17" s="1578"/>
      <c r="S17" s="1579"/>
      <c r="T17" s="1578"/>
      <c r="U17" s="1579"/>
      <c r="V17" s="1578"/>
      <c r="W17" s="1579"/>
      <c r="X17" s="1572"/>
      <c r="Y17" s="3349"/>
      <c r="Z17" s="1580"/>
      <c r="AA17" s="1581">
        <v>1</v>
      </c>
      <c r="AB17" s="1581">
        <v>1</v>
      </c>
      <c r="AC17" s="1581">
        <v>1</v>
      </c>
    </row>
    <row r="18" spans="1:29" ht="28.5">
      <c r="A18" s="535"/>
      <c r="B18" s="2626" t="s">
        <v>2568</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49"/>
      <c r="Q18" s="2614" t="str">
        <f>B18</f>
        <v>基础设施水平</v>
      </c>
      <c r="R18" s="1578" t="s">
        <v>8</v>
      </c>
      <c r="S18" s="1579">
        <f>F18</f>
        <v>100</v>
      </c>
      <c r="T18" s="1578" t="s">
        <v>8</v>
      </c>
      <c r="U18" s="1579">
        <f>H18</f>
        <v>100</v>
      </c>
      <c r="V18" s="1578" t="s">
        <v>8</v>
      </c>
      <c r="W18" s="1579">
        <f>J18</f>
        <v>100</v>
      </c>
      <c r="X18" s="2616"/>
      <c r="Y18" s="3349"/>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49"/>
      <c r="Q19" s="2614"/>
      <c r="R19" s="1578"/>
      <c r="S19" s="1579"/>
      <c r="T19" s="1578"/>
      <c r="U19" s="1579"/>
      <c r="V19" s="1578"/>
      <c r="W19" s="1579"/>
      <c r="X19" s="2616"/>
      <c r="Y19" s="3349"/>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49"/>
      <c r="Q20" s="1577" t="str">
        <f>B20</f>
        <v>自然及人文环境</v>
      </c>
      <c r="R20" s="1578" t="s">
        <v>8</v>
      </c>
      <c r="S20" s="1579">
        <f>F20</f>
        <v>100</v>
      </c>
      <c r="T20" s="1578" t="s">
        <v>8</v>
      </c>
      <c r="U20" s="1579">
        <f>H20</f>
        <v>100</v>
      </c>
      <c r="V20" s="1578" t="s">
        <v>8</v>
      </c>
      <c r="W20" s="1579">
        <f>J20</f>
        <v>100</v>
      </c>
      <c r="X20" s="1572"/>
      <c r="Y20" s="334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49"/>
      <c r="Q21" s="1577"/>
      <c r="R21" s="1578"/>
      <c r="S21" s="1579"/>
      <c r="T21" s="1578"/>
      <c r="U21" s="1579"/>
      <c r="V21" s="1578"/>
      <c r="W21" s="1579"/>
      <c r="X21" s="1572"/>
      <c r="Y21" s="3349"/>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49"/>
      <c r="Q22" s="1577" t="str">
        <f>B22</f>
        <v>楼层</v>
      </c>
      <c r="R22" s="1578" t="s">
        <v>8</v>
      </c>
      <c r="S22" s="1579">
        <f>F22</f>
        <v>100</v>
      </c>
      <c r="T22" s="1578" t="s">
        <v>8</v>
      </c>
      <c r="U22" s="1579">
        <f>H22</f>
        <v>100</v>
      </c>
      <c r="V22" s="1578" t="s">
        <v>8</v>
      </c>
      <c r="W22" s="1579">
        <f>J22</f>
        <v>100</v>
      </c>
      <c r="X22" s="1572"/>
      <c r="Y22" s="334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49"/>
      <c r="Q23" s="1577">
        <f>B23</f>
        <v>111</v>
      </c>
      <c r="R23" s="1578" t="s">
        <v>8</v>
      </c>
      <c r="S23" s="1579">
        <f>F23</f>
        <v>100</v>
      </c>
      <c r="T23" s="1578" t="s">
        <v>8</v>
      </c>
      <c r="U23" s="1579">
        <f>H23</f>
        <v>100</v>
      </c>
      <c r="V23" s="1578" t="s">
        <v>8</v>
      </c>
      <c r="W23" s="1579">
        <f>J23</f>
        <v>100</v>
      </c>
      <c r="X23" s="1572"/>
      <c r="Y23" s="334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49"/>
      <c r="Q24" s="1577">
        <f t="shared" ref="Q24:Q34" si="11">B24</f>
        <v>111</v>
      </c>
      <c r="R24" s="1578" t="s">
        <v>8</v>
      </c>
      <c r="S24" s="1579">
        <f>F24</f>
        <v>100</v>
      </c>
      <c r="T24" s="1578" t="s">
        <v>8</v>
      </c>
      <c r="U24" s="1579">
        <f>H24</f>
        <v>100</v>
      </c>
      <c r="V24" s="1578" t="s">
        <v>8</v>
      </c>
      <c r="W24" s="1579">
        <f>J24</f>
        <v>100</v>
      </c>
      <c r="X24" s="1572"/>
      <c r="Y24" s="334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49"/>
      <c r="Q25" s="1154">
        <f t="shared" si="11"/>
        <v>111</v>
      </c>
      <c r="R25" s="1573" t="s">
        <v>8</v>
      </c>
      <c r="S25" s="1574">
        <f>F25</f>
        <v>100</v>
      </c>
      <c r="T25" s="1573" t="s">
        <v>8</v>
      </c>
      <c r="U25" s="1574">
        <f>H25</f>
        <v>100</v>
      </c>
      <c r="V25" s="1573" t="s">
        <v>8</v>
      </c>
      <c r="W25" s="1574">
        <f>J25</f>
        <v>100</v>
      </c>
      <c r="X25" s="1575"/>
      <c r="Y25" s="3349"/>
      <c r="Z25" s="1153">
        <f>Q25</f>
        <v>111</v>
      </c>
      <c r="AA25" s="1581">
        <f>D25/F25</f>
        <v>1</v>
      </c>
      <c r="AB25" s="1581">
        <f>D25/H25</f>
        <v>1</v>
      </c>
      <c r="AC25" s="1581">
        <f>D25/J25</f>
        <v>1</v>
      </c>
    </row>
    <row r="26" spans="1:29" ht="15">
      <c r="A26" s="2946" t="s">
        <v>2768</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50"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51"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51"/>
      <c r="Q27" s="1610" t="str">
        <f t="shared" si="11"/>
        <v>成新率</v>
      </c>
      <c r="R27" s="1582" t="s">
        <v>8</v>
      </c>
      <c r="S27" s="1583" t="e">
        <f t="shared" si="12"/>
        <v>#N/A</v>
      </c>
      <c r="T27" s="1582" t="s">
        <v>8</v>
      </c>
      <c r="U27" s="1583" t="e">
        <f t="shared" si="13"/>
        <v>#N/A</v>
      </c>
      <c r="V27" s="1582" t="s">
        <v>8</v>
      </c>
      <c r="W27" s="1583" t="e">
        <f t="shared" si="14"/>
        <v>#N/A</v>
      </c>
      <c r="X27" s="1584"/>
      <c r="Y27" s="3351"/>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51"/>
      <c r="Q28" s="1577" t="str">
        <f t="shared" si="11"/>
        <v>物业等级</v>
      </c>
      <c r="R28" s="1578" t="s">
        <v>8</v>
      </c>
      <c r="S28" s="1579">
        <f t="shared" si="12"/>
        <v>100</v>
      </c>
      <c r="T28" s="1578" t="s">
        <v>8</v>
      </c>
      <c r="U28" s="1579">
        <f t="shared" si="13"/>
        <v>100</v>
      </c>
      <c r="V28" s="1578" t="s">
        <v>8</v>
      </c>
      <c r="W28" s="1579">
        <f t="shared" si="14"/>
        <v>100</v>
      </c>
      <c r="X28" s="1572"/>
      <c r="Y28" s="3351"/>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51"/>
      <c r="Q29" s="1577" t="str">
        <f t="shared" si="11"/>
        <v>有无电梯</v>
      </c>
      <c r="R29" s="1578" t="s">
        <v>8</v>
      </c>
      <c r="S29" s="1579">
        <f t="shared" si="12"/>
        <v>100</v>
      </c>
      <c r="T29" s="1578" t="s">
        <v>8</v>
      </c>
      <c r="U29" s="1579">
        <f t="shared" si="13"/>
        <v>100</v>
      </c>
      <c r="V29" s="1578" t="s">
        <v>8</v>
      </c>
      <c r="W29" s="1579">
        <f t="shared" si="14"/>
        <v>100</v>
      </c>
      <c r="X29" s="1572"/>
      <c r="Y29" s="3351"/>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51"/>
      <c r="Q30" s="1577" t="str">
        <f t="shared" si="11"/>
        <v>建筑面积</v>
      </c>
      <c r="R30" s="1578" t="s">
        <v>8</v>
      </c>
      <c r="S30" s="1579" t="e">
        <f t="shared" si="12"/>
        <v>#N/A</v>
      </c>
      <c r="T30" s="1578" t="s">
        <v>8</v>
      </c>
      <c r="U30" s="1579" t="e">
        <f t="shared" si="13"/>
        <v>#N/A</v>
      </c>
      <c r="V30" s="1578" t="s">
        <v>8</v>
      </c>
      <c r="W30" s="1579" t="e">
        <f t="shared" si="14"/>
        <v>#N/A</v>
      </c>
      <c r="X30" s="1572"/>
      <c r="Y30" s="3351"/>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51"/>
      <c r="Q31" s="1154" t="str">
        <f t="shared" si="11"/>
        <v>是否封闭</v>
      </c>
      <c r="R31" s="1573" t="s">
        <v>8</v>
      </c>
      <c r="S31" s="1574">
        <f t="shared" si="12"/>
        <v>100</v>
      </c>
      <c r="T31" s="1573" t="s">
        <v>8</v>
      </c>
      <c r="U31" s="1574">
        <f t="shared" si="13"/>
        <v>100</v>
      </c>
      <c r="V31" s="1573" t="s">
        <v>8</v>
      </c>
      <c r="W31" s="1574">
        <f t="shared" si="14"/>
        <v>100</v>
      </c>
      <c r="X31" s="1575"/>
      <c r="Y31" s="335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51" t="s">
        <v>551</v>
      </c>
      <c r="Q32" s="1577">
        <f t="shared" si="11"/>
        <v>111</v>
      </c>
      <c r="R32" s="1578" t="s">
        <v>8</v>
      </c>
      <c r="S32" s="1579">
        <f t="shared" si="12"/>
        <v>100</v>
      </c>
      <c r="T32" s="1578" t="s">
        <v>8</v>
      </c>
      <c r="U32" s="1579">
        <f t="shared" si="13"/>
        <v>100</v>
      </c>
      <c r="V32" s="1578" t="s">
        <v>8</v>
      </c>
      <c r="W32" s="1579">
        <f t="shared" si="14"/>
        <v>100</v>
      </c>
      <c r="X32" s="1572"/>
      <c r="Y32" s="3351"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51"/>
      <c r="Q33" s="1577">
        <f t="shared" si="11"/>
        <v>111</v>
      </c>
      <c r="R33" s="1578" t="s">
        <v>8</v>
      </c>
      <c r="S33" s="1579">
        <f t="shared" si="12"/>
        <v>100</v>
      </c>
      <c r="T33" s="1578" t="s">
        <v>8</v>
      </c>
      <c r="U33" s="1579">
        <f t="shared" si="13"/>
        <v>100</v>
      </c>
      <c r="V33" s="1578" t="s">
        <v>8</v>
      </c>
      <c r="W33" s="1579">
        <f t="shared" si="14"/>
        <v>100</v>
      </c>
      <c r="X33" s="1572"/>
      <c r="Y33" s="335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51"/>
      <c r="Q34" s="1577">
        <f t="shared" si="11"/>
        <v>111</v>
      </c>
      <c r="R34" s="1578" t="s">
        <v>8</v>
      </c>
      <c r="S34" s="1579">
        <f t="shared" si="12"/>
        <v>100</v>
      </c>
      <c r="T34" s="1578" t="s">
        <v>8</v>
      </c>
      <c r="U34" s="1579">
        <f t="shared" si="13"/>
        <v>100</v>
      </c>
      <c r="V34" s="1578" t="s">
        <v>8</v>
      </c>
      <c r="W34" s="1579">
        <f t="shared" si="14"/>
        <v>100</v>
      </c>
      <c r="X34" s="1572"/>
      <c r="Y34" s="3351"/>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46" t="str">
        <f>A35</f>
        <v>成交单价（元/平方米）</v>
      </c>
      <c r="Q35" s="3346"/>
      <c r="R35" s="3444">
        <f>E35</f>
        <v>0</v>
      </c>
      <c r="S35" s="3444"/>
      <c r="T35" s="3444">
        <f>G35</f>
        <v>0</v>
      </c>
      <c r="U35" s="3444"/>
      <c r="V35" s="3444">
        <f>I35</f>
        <v>0</v>
      </c>
      <c r="W35" s="3444"/>
      <c r="X35" s="1564"/>
      <c r="Y35" s="1586"/>
      <c r="Z35" s="1564"/>
      <c r="AA35" s="1564"/>
      <c r="AB35" s="1564"/>
      <c r="AC35" s="1564"/>
    </row>
    <row r="36" spans="1:29" ht="15.75" thickBot="1">
      <c r="A36" s="618" t="s">
        <v>2773</v>
      </c>
      <c r="B36" s="891"/>
      <c r="C36" s="2668" t="e">
        <f>R37</f>
        <v>#DIV/0!</v>
      </c>
      <c r="D36" s="2669"/>
      <c r="E36" s="2670" t="e">
        <f>R36</f>
        <v>#DIV/0!</v>
      </c>
      <c r="F36" s="2670"/>
      <c r="G36" s="2668" t="e">
        <f>T36</f>
        <v>#DIV/0!</v>
      </c>
      <c r="H36" s="2669"/>
      <c r="I36" s="2670" t="e">
        <f>V36</f>
        <v>#DIV/0!</v>
      </c>
      <c r="J36" s="2669"/>
      <c r="K36" s="1617"/>
      <c r="L36" s="2154"/>
      <c r="M36" s="2155"/>
      <c r="N36" s="2144"/>
      <c r="O36" s="2155"/>
      <c r="P36" s="3346" t="str">
        <f>A36</f>
        <v>比较价格（元/平方米）</v>
      </c>
      <c r="Q36" s="3346"/>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1564"/>
      <c r="Y36" s="1564"/>
      <c r="Z36" s="1564"/>
      <c r="AA36" s="1564"/>
      <c r="AB36" s="1564"/>
      <c r="AC36" s="1564"/>
    </row>
    <row r="37" spans="1:29" ht="15.75" thickBot="1">
      <c r="A37" s="624" t="s">
        <v>2950</v>
      </c>
      <c r="B37" s="625"/>
      <c r="C37" s="2671" t="e">
        <f>R37</f>
        <v>#DIV/0!</v>
      </c>
      <c r="D37" s="2671"/>
      <c r="E37" s="2671"/>
      <c r="F37" s="2671"/>
      <c r="G37" s="2671"/>
      <c r="H37" s="2671"/>
      <c r="I37" s="2671"/>
      <c r="J37" s="2671"/>
      <c r="K37" s="1618"/>
      <c r="L37" s="2154"/>
      <c r="M37" s="2155"/>
      <c r="N37" s="2155"/>
      <c r="O37" s="2155"/>
      <c r="P37" s="3367" t="str">
        <f>A37</f>
        <v>估价对象XX用房的比较价格（楼面单价，元/平方米）</v>
      </c>
      <c r="Q37" s="3368"/>
      <c r="R37" s="3443" t="e">
        <f>IF(F1="售价",ROUND(AVERAGE(R36:V36),0),ROUND(AVERAGE(R36:V36),1))</f>
        <v>#DIV/0!</v>
      </c>
      <c r="S37" s="3443"/>
      <c r="T37" s="3443"/>
      <c r="U37" s="3443"/>
      <c r="V37" s="3443"/>
      <c r="W37" s="3443"/>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1900-1</v>
      </c>
      <c r="D46" s="2843" t="e">
        <f>EDATE(C46,-1)</f>
        <v>#NUM!</v>
      </c>
      <c r="E46" s="2843" t="e">
        <f t="shared" ref="E46:O46" si="16">EDATE(D46,-1)</f>
        <v>#NUM!</v>
      </c>
      <c r="F46" s="2843" t="e">
        <f t="shared" si="16"/>
        <v>#NUM!</v>
      </c>
      <c r="G46" s="2843" t="e">
        <f t="shared" si="16"/>
        <v>#NUM!</v>
      </c>
      <c r="H46" s="2843" t="e">
        <f t="shared" si="16"/>
        <v>#NUM!</v>
      </c>
      <c r="I46" s="2843" t="e">
        <f t="shared" si="16"/>
        <v>#NUM!</v>
      </c>
      <c r="J46" s="2843" t="e">
        <f t="shared" si="16"/>
        <v>#NUM!</v>
      </c>
      <c r="K46" s="2843" t="e">
        <f t="shared" si="16"/>
        <v>#NUM!</v>
      </c>
      <c r="L46" s="2843" t="e">
        <f t="shared" si="16"/>
        <v>#NUM!</v>
      </c>
      <c r="M46" s="2843" t="e">
        <f t="shared" si="16"/>
        <v>#NUM!</v>
      </c>
      <c r="N46" s="2843" t="e">
        <f t="shared" si="16"/>
        <v>#NUM!</v>
      </c>
      <c r="O46" s="2843" t="e">
        <f t="shared" si="16"/>
        <v>#NUM!</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2567</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2568</v>
      </c>
      <c r="C65" s="2633" t="s">
        <v>2569</v>
      </c>
      <c r="D65" s="2633" t="s">
        <v>2570</v>
      </c>
      <c r="E65" s="2633" t="s">
        <v>2571</v>
      </c>
      <c r="F65" s="2633" t="s">
        <v>2572</v>
      </c>
      <c r="G65" s="2633" t="s">
        <v>2573</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2310</v>
      </c>
      <c r="C1" s="3453" t="s">
        <v>2311</v>
      </c>
      <c r="D1" s="3454"/>
      <c r="E1" s="3454"/>
      <c r="F1" s="3454"/>
      <c r="G1" s="3454"/>
      <c r="H1" s="3454"/>
      <c r="I1" s="3454"/>
      <c r="J1" s="3454"/>
      <c r="K1" s="3454"/>
      <c r="L1" s="3454"/>
      <c r="M1" s="3454"/>
      <c r="N1" s="3454"/>
      <c r="O1" s="3454"/>
      <c r="P1" s="3454"/>
      <c r="Q1" s="3454"/>
      <c r="R1" s="3454"/>
      <c r="S1" s="3455"/>
      <c r="T1" s="2244" t="s">
        <v>2312</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2313</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2943</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2942</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2941</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2956</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2940</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2939</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2314</v>
      </c>
      <c r="B17" s="2288" t="s">
        <v>2315</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50" t="s">
        <v>20</v>
      </c>
      <c r="D22" s="3451"/>
      <c r="E22" s="3451"/>
      <c r="F22" s="3451"/>
      <c r="G22" s="3451"/>
      <c r="H22" s="3451"/>
      <c r="I22" s="3451"/>
      <c r="J22" s="3451"/>
      <c r="K22" s="3451"/>
      <c r="L22" s="3451"/>
      <c r="M22" s="3451"/>
      <c r="N22" s="3451"/>
      <c r="O22" s="3451"/>
      <c r="P22" s="3451"/>
      <c r="Q22" s="3452"/>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受贵公司委托，我公司对国有建设用地使用权进行了预评估。</v>
      </c>
    </row>
    <row r="5" spans="1:4" ht="18.75">
      <c r="A5" s="1800" t="s">
        <v>1910</v>
      </c>
    </row>
    <row r="6" spans="1:4" ht="18.75">
      <c r="A6" s="179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912" t="s">
        <v>2761</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本次评估为委托估价方了解标的物之市场价格提供参考依据而评估国有建设用地使用权市场价格。</v>
      </c>
    </row>
    <row r="10" spans="1:4" ht="18.75">
      <c r="A10" s="1803" t="s">
        <v>2033</v>
      </c>
    </row>
    <row r="11" spans="1:4" ht="18.75">
      <c r="A11" s="1786" t="str">
        <f>TEXT(项目基本情况!D3,"yyyy年m月d日;;")&amp;IF(项目基本情况!B3=项目基本情况!D3,"（评估专业人员勘察现场之日）","")</f>
        <v>（评估专业人员勘察现场之日）</v>
      </c>
    </row>
    <row r="12" spans="1:4" ht="18.75">
      <c r="A12" s="1803" t="s">
        <v>2032</v>
      </c>
    </row>
    <row r="13" spans="1:4" ht="18.75">
      <c r="A13" s="1797" t="s">
        <v>2078</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2080</v>
      </c>
    </row>
    <row r="20" spans="1:1" ht="18.75">
      <c r="A20" s="259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2081</v>
      </c>
    </row>
    <row r="23" spans="1:1" ht="18.75">
      <c r="A23" s="2914" t="s">
        <v>2762</v>
      </c>
    </row>
    <row r="24" spans="1:1" ht="18.75">
      <c r="A24" s="1797" t="s">
        <v>2082</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2801</v>
      </c>
      <c r="C1" s="3043">
        <f>项目基本情况!D3</f>
        <v>0</v>
      </c>
      <c r="H1" s="2977">
        <f>IF(C1&gt;C13,0,MATCH(C1,C$13:C$100,-1))+IF(SUMIF(C13:C100,C1,D13:D100)=0,13,12)</f>
        <v>58</v>
      </c>
      <c r="I1" s="2977">
        <f ca="1">MATCH(C2,H3:H7,1)+IF(SUMIF(H3:H7,C2,I3:I7)=0,2,1)</f>
        <v>3</v>
      </c>
      <c r="J1" s="3036">
        <f ca="1">MATCH(C3,H3:H7,1)+IF(SUMIF(H3:H7,C3,J3:J7)=0,2,1)</f>
        <v>3</v>
      </c>
      <c r="N1" s="2977">
        <f>IF(C1&gt;M13,0,MATCH(C1,M$13:M$100,-1))+IF(SUMIF(M13:M100,C1,N13:N100)=0,13,12)</f>
        <v>52</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2832</v>
      </c>
      <c r="C2" s="3044">
        <f>'数据-取费表'!B22</f>
        <v>0</v>
      </c>
      <c r="D2" s="3039" t="s">
        <v>2802</v>
      </c>
      <c r="E2" s="3042">
        <f ca="1">INDIRECT("I"&amp;$I$1)/100</f>
        <v>0</v>
      </c>
      <c r="G2" s="2979"/>
      <c r="H2" s="2979"/>
      <c r="I2" s="2979" t="s">
        <v>2803</v>
      </c>
      <c r="K2" s="2979"/>
      <c r="L2" s="2979"/>
      <c r="M2" s="2979"/>
      <c r="N2" s="2979" t="s">
        <v>2804</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2834</v>
      </c>
      <c r="C3" s="3041">
        <f>'数据-取费表'!B19</f>
        <v>0</v>
      </c>
      <c r="D3" s="3039" t="s">
        <v>2802</v>
      </c>
      <c r="E3" s="3042">
        <f ca="1">INDIRECT("J"&amp;$J$1)/100</f>
        <v>0</v>
      </c>
      <c r="G3" s="2981" t="s">
        <v>2805</v>
      </c>
      <c r="H3" s="2982">
        <v>0</v>
      </c>
      <c r="I3" s="2983">
        <f ca="1">INDIRECT("d"&amp;$H$1)</f>
        <v>0</v>
      </c>
      <c r="J3" s="2983">
        <f ca="1">INDIRECT("d"&amp;$H$1)</f>
        <v>0</v>
      </c>
      <c r="K3" s="2980"/>
      <c r="L3" s="2980"/>
      <c r="M3" s="2984">
        <v>0.5</v>
      </c>
      <c r="N3" s="2985">
        <f ca="1">INDIRECT("p"&amp;$N$1)</f>
        <v>0</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2833</v>
      </c>
      <c r="C4" s="3042">
        <f ca="1">N4/100</f>
        <v>0</v>
      </c>
      <c r="G4" s="2987" t="s">
        <v>2806</v>
      </c>
      <c r="H4" s="2988">
        <v>0.5</v>
      </c>
      <c r="I4" s="2989">
        <f ca="1">INDIRECT("e"&amp;$H$1)</f>
        <v>0</v>
      </c>
      <c r="J4" s="2989">
        <f ca="1">INDIRECT("e"&amp;$H$1)</f>
        <v>0</v>
      </c>
      <c r="K4" s="2980"/>
      <c r="L4" s="2980"/>
      <c r="M4" s="2990">
        <v>1</v>
      </c>
      <c r="N4" s="2991">
        <f ca="1">INDIRECT("q"&amp;$N$1)</f>
        <v>0</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2807</v>
      </c>
      <c r="H5" s="2988">
        <v>1</v>
      </c>
      <c r="I5" s="2989">
        <f ca="1">INDIRECT("f"&amp;$H$1)</f>
        <v>0</v>
      </c>
      <c r="J5" s="2989">
        <f ca="1">INDIRECT("f"&amp;$H$1)</f>
        <v>0</v>
      </c>
      <c r="K5" s="2980"/>
      <c r="L5" s="2980"/>
      <c r="M5" s="2990">
        <v>2</v>
      </c>
      <c r="N5" s="2991">
        <f ca="1">INDIRECT("r"&amp;$N$1)</f>
        <v>0</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2808</v>
      </c>
      <c r="H6" s="2988">
        <v>3</v>
      </c>
      <c r="I6" s="2989">
        <f ca="1">INDIRECT("g"&amp;$H$1)</f>
        <v>0</v>
      </c>
      <c r="J6" s="2989">
        <f ca="1">INDIRECT("g"&amp;$H$1)</f>
        <v>0</v>
      </c>
      <c r="K6" s="2980"/>
      <c r="L6" s="2980"/>
      <c r="M6" s="2990">
        <v>3</v>
      </c>
      <c r="N6" s="2991">
        <f ca="1">INDIRECT("s"&amp;$N$1)</f>
        <v>0</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2809</v>
      </c>
      <c r="H7" s="2993">
        <v>5</v>
      </c>
      <c r="I7" s="2994">
        <f ca="1">INDIRECT("h"&amp;$H$1)</f>
        <v>0</v>
      </c>
      <c r="J7" s="2994">
        <f ca="1">INDIRECT("h"&amp;$H$1)</f>
        <v>0</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2810</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2811</v>
      </c>
      <c r="C10" s="3006"/>
      <c r="D10" s="3006"/>
      <c r="E10" s="3006"/>
      <c r="F10" s="3006"/>
      <c r="G10" s="3006"/>
      <c r="H10" s="3006"/>
      <c r="I10" s="2980"/>
      <c r="J10" s="2980"/>
      <c r="K10" s="3006"/>
      <c r="L10" s="3007" t="s">
        <v>2812</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2813</v>
      </c>
      <c r="C11" s="3011" t="s">
        <v>2814</v>
      </c>
      <c r="D11" s="3012" t="s">
        <v>2815</v>
      </c>
      <c r="E11" s="3013"/>
      <c r="F11" s="3012" t="s">
        <v>2816</v>
      </c>
      <c r="G11" s="3014"/>
      <c r="H11" s="3013"/>
      <c r="I11" s="3012" t="s">
        <v>2817</v>
      </c>
      <c r="J11" s="3013"/>
      <c r="K11" s="3009"/>
      <c r="L11" s="3010" t="s">
        <v>2813</v>
      </c>
      <c r="M11" s="3011" t="s">
        <v>2814</v>
      </c>
      <c r="N11" s="3010" t="s">
        <v>2818</v>
      </c>
      <c r="O11" s="3012" t="s">
        <v>2819</v>
      </c>
      <c r="P11" s="3014"/>
      <c r="Q11" s="3014"/>
      <c r="R11" s="3014"/>
      <c r="S11" s="3014"/>
      <c r="T11" s="3013"/>
      <c r="U11" s="3012" t="s">
        <v>2820</v>
      </c>
      <c r="V11" s="3014"/>
      <c r="W11" s="3013"/>
      <c r="X11" s="3010" t="s">
        <v>2821</v>
      </c>
      <c r="Y11" s="3010" t="s">
        <v>2822</v>
      </c>
      <c r="Z11" s="3010" t="s">
        <v>2823</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2824</v>
      </c>
      <c r="E12" s="3019" t="s">
        <v>2825</v>
      </c>
      <c r="F12" s="3019" t="s">
        <v>2826</v>
      </c>
      <c r="G12" s="3019" t="s">
        <v>2827</v>
      </c>
      <c r="H12" s="3019" t="s">
        <v>2809</v>
      </c>
      <c r="I12" s="3020" t="s">
        <v>2828</v>
      </c>
      <c r="J12" s="3020" t="s">
        <v>2828</v>
      </c>
      <c r="K12" s="3016"/>
      <c r="L12" s="3017"/>
      <c r="M12" s="3018"/>
      <c r="N12" s="3017"/>
      <c r="O12" s="3020" t="s">
        <v>2829</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2830</v>
      </c>
      <c r="C13" s="3024">
        <v>42301</v>
      </c>
      <c r="D13" s="3025">
        <v>4.3499999999999996</v>
      </c>
      <c r="E13" s="3025">
        <v>4.3499999999999996</v>
      </c>
      <c r="F13" s="3025">
        <v>4.75</v>
      </c>
      <c r="G13" s="3025">
        <v>4.75</v>
      </c>
      <c r="H13" s="3025">
        <v>4.9000000000000004</v>
      </c>
      <c r="I13" s="3025">
        <v>2.75</v>
      </c>
      <c r="J13" s="3025">
        <v>3.25</v>
      </c>
      <c r="K13" s="3022"/>
      <c r="L13" s="3023" t="s">
        <v>2830</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2831</v>
      </c>
      <c r="Y42" s="3029" t="s">
        <v>2831</v>
      </c>
      <c r="Z42" s="3029" t="s">
        <v>2831</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2831</v>
      </c>
      <c r="Y43" s="3029" t="s">
        <v>2831</v>
      </c>
      <c r="Z43" s="3029" t="s">
        <v>2831</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2831</v>
      </c>
      <c r="Y44" s="3029" t="s">
        <v>2831</v>
      </c>
      <c r="Z44" s="3029" t="s">
        <v>2831</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2831</v>
      </c>
      <c r="Y45" s="3029" t="s">
        <v>2831</v>
      </c>
      <c r="Z45" s="3029" t="s">
        <v>2831</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2831</v>
      </c>
      <c r="Y46" s="3029" t="s">
        <v>2831</v>
      </c>
      <c r="Z46" s="3029" t="s">
        <v>2831</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2831</v>
      </c>
      <c r="Y47" s="3029" t="s">
        <v>2831</v>
      </c>
      <c r="Z47" s="3029" t="s">
        <v>2831</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2831</v>
      </c>
      <c r="Y48" s="3029" t="s">
        <v>2831</v>
      </c>
      <c r="Z48" s="3029" t="s">
        <v>2831</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2831</v>
      </c>
      <c r="Y49" s="3029" t="s">
        <v>2831</v>
      </c>
      <c r="Z49" s="3029" t="s">
        <v>2831</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2831</v>
      </c>
      <c r="Y50" s="3029" t="s">
        <v>2831</v>
      </c>
      <c r="Z50" s="3029" t="s">
        <v>2831</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2831</v>
      </c>
      <c r="V51" s="3029" t="s">
        <v>2831</v>
      </c>
      <c r="W51" s="3029" t="s">
        <v>2831</v>
      </c>
      <c r="X51" s="3029" t="s">
        <v>2831</v>
      </c>
      <c r="Y51" s="3029" t="s">
        <v>2831</v>
      </c>
      <c r="Z51" s="3029" t="s">
        <v>2831</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2831</v>
      </c>
      <c r="J55" s="3029" t="s">
        <v>2831</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0" t="s">
        <v>2045</v>
      </c>
      <c r="B1" s="3170"/>
      <c r="C1" s="3170"/>
      <c r="D1" s="3170"/>
      <c r="E1" s="3170"/>
      <c r="F1" s="3170"/>
      <c r="G1" s="3170"/>
      <c r="H1" s="3170"/>
      <c r="I1" s="3170"/>
      <c r="J1" s="3170"/>
      <c r="K1" s="3170"/>
      <c r="L1" s="3170"/>
      <c r="M1" s="3170"/>
      <c r="N1" s="3170"/>
      <c r="O1" s="3170"/>
      <c r="P1" s="3170"/>
      <c r="Q1" s="3170"/>
      <c r="R1" s="3170"/>
    </row>
    <row r="2" spans="1:18">
      <c r="A2" s="1813" t="s">
        <v>2047</v>
      </c>
      <c r="B2" s="1813"/>
      <c r="C2" s="1813"/>
      <c r="D2" s="1813"/>
      <c r="E2" s="1813"/>
      <c r="F2" s="1813"/>
      <c r="G2" s="1813"/>
      <c r="H2" s="1813"/>
      <c r="I2" s="1814"/>
      <c r="J2" s="1814"/>
      <c r="K2" s="1815" t="str">
        <f>"估价期日："&amp;TEXT(项目基本情况!D3,"yyyy年m月d日;;")</f>
        <v>估价期日：</v>
      </c>
      <c r="L2" s="1813"/>
      <c r="M2" s="1813"/>
      <c r="N2" s="1813"/>
      <c r="O2" s="1813"/>
      <c r="P2" s="1813"/>
      <c r="Q2" s="1813"/>
      <c r="R2" s="1815" t="str">
        <f>"估价期日的国有建设用地使用权性质："&amp;项目基本情况!B16</f>
        <v>估价期日的国有建设用地使用权性质：</v>
      </c>
    </row>
    <row r="3" spans="1:18" ht="23.25" customHeight="1">
      <c r="A3" s="3171" t="s">
        <v>2036</v>
      </c>
      <c r="B3" s="3171" t="s">
        <v>2744</v>
      </c>
      <c r="C3" s="3172" t="s">
        <v>2037</v>
      </c>
      <c r="D3" s="3171" t="s">
        <v>2748</v>
      </c>
      <c r="E3" s="3166" t="s">
        <v>2038</v>
      </c>
      <c r="F3" s="3166"/>
      <c r="G3" s="3166"/>
      <c r="H3" s="3166" t="s">
        <v>2039</v>
      </c>
      <c r="I3" s="3166"/>
      <c r="J3" s="3166"/>
      <c r="K3" s="3172" t="s">
        <v>2040</v>
      </c>
      <c r="L3" s="3172" t="s">
        <v>2041</v>
      </c>
      <c r="M3" s="3171" t="s">
        <v>2745</v>
      </c>
      <c r="N3" s="3173" t="str">
        <f>"（分摊）"&amp;项目基本情况!B16&amp;"国有建设用地使用权面积/㎡"</f>
        <v>（分摊）国有建设用地使用权面积/㎡</v>
      </c>
      <c r="O3" s="3171" t="s">
        <v>2070</v>
      </c>
      <c r="P3" s="3172" t="s">
        <v>2050</v>
      </c>
      <c r="Q3" s="3172" t="s">
        <v>2071</v>
      </c>
      <c r="R3" s="3172" t="s">
        <v>2042</v>
      </c>
    </row>
    <row r="4" spans="1:18" ht="36.75" customHeight="1">
      <c r="A4" s="3171"/>
      <c r="B4" s="3171"/>
      <c r="C4" s="3172"/>
      <c r="D4" s="3171"/>
      <c r="E4" s="2685" t="s">
        <v>2049</v>
      </c>
      <c r="F4" s="2685" t="s">
        <v>2757</v>
      </c>
      <c r="G4" s="2685" t="s">
        <v>2043</v>
      </c>
      <c r="H4" s="2685" t="s">
        <v>2044</v>
      </c>
      <c r="I4" s="2685" t="s">
        <v>2758</v>
      </c>
      <c r="J4" s="2685" t="s">
        <v>2043</v>
      </c>
      <c r="K4" s="3172"/>
      <c r="L4" s="3172"/>
      <c r="M4" s="3171"/>
      <c r="N4" s="3173"/>
      <c r="O4" s="3171"/>
      <c r="P4" s="3172"/>
      <c r="Q4" s="3172"/>
      <c r="R4" s="3172"/>
    </row>
    <row r="5" spans="1:18" ht="135" customHeight="1">
      <c r="A5" s="1949" t="s">
        <v>2668</v>
      </c>
      <c r="B5" s="2906" t="s">
        <v>2666</v>
      </c>
      <c r="C5" s="2684">
        <v>22</v>
      </c>
      <c r="D5" s="2683" t="s">
        <v>2667</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t="str">
        <f>IF(项目基本情况!B16="出让",项目基本情况!D20,"——")</f>
        <v>——</v>
      </c>
      <c r="N5" s="1816" t="e">
        <f>项目基本情况!C22</f>
        <v>#DIV/0!</v>
      </c>
      <c r="O5" s="1816">
        <f>项目基本情况!C21</f>
        <v>0</v>
      </c>
      <c r="P5" s="1816" t="e">
        <f ca="1">结果表!E42</f>
        <v>#REF!</v>
      </c>
      <c r="Q5" s="1816" t="e">
        <f ca="1">结果表!D42</f>
        <v>#REF!</v>
      </c>
      <c r="R5" s="1817" t="e">
        <f ca="1">结果表!C42</f>
        <v>#REF!</v>
      </c>
    </row>
    <row r="6" spans="1:18">
      <c r="A6" s="3167" t="str">
        <f>IF(项目基本情况!B9="市场价格","——","抵押价格")</f>
        <v>抵押价格</v>
      </c>
      <c r="B6" s="3168"/>
      <c r="C6" s="3168"/>
      <c r="D6" s="3168"/>
      <c r="E6" s="3168"/>
      <c r="F6" s="3168"/>
      <c r="G6" s="3168"/>
      <c r="H6" s="3168"/>
      <c r="I6" s="3168"/>
      <c r="J6" s="3168"/>
      <c r="K6" s="3168"/>
      <c r="L6" s="3168"/>
      <c r="M6" s="3168"/>
      <c r="N6" s="3168"/>
      <c r="O6" s="3168"/>
      <c r="P6" s="3168"/>
      <c r="Q6" s="3169"/>
      <c r="R6" s="1818" t="str">
        <f>结果表!O39</f>
        <v>——</v>
      </c>
    </row>
    <row r="7" spans="1:18">
      <c r="A7" s="3167" t="str">
        <f>IF(项目基本情况!B9="市场价格","——",IF(项目基本情况!E8="已注销及未注销","抵押担保权已注销时的抵押价格","——"))</f>
        <v>——</v>
      </c>
      <c r="B7" s="3168"/>
      <c r="C7" s="3168"/>
      <c r="D7" s="3168"/>
      <c r="E7" s="3168"/>
      <c r="F7" s="3168"/>
      <c r="G7" s="3168"/>
      <c r="H7" s="3168"/>
      <c r="I7" s="3168"/>
      <c r="J7" s="3168"/>
      <c r="K7" s="3168"/>
      <c r="L7" s="3168"/>
      <c r="M7" s="3168"/>
      <c r="N7" s="3168"/>
      <c r="O7" s="3168"/>
      <c r="P7" s="3168"/>
      <c r="Q7" s="3169"/>
      <c r="R7" s="1818" t="str">
        <f>结果表!O40</f>
        <v>——</v>
      </c>
    </row>
    <row r="8" spans="1:18">
      <c r="A8" s="3167">
        <f>IF(项目基本情况!B9="市场价格","——",项目基本情况!E9)</f>
        <v>0</v>
      </c>
      <c r="B8" s="3168"/>
      <c r="C8" s="3168"/>
      <c r="D8" s="3168"/>
      <c r="E8" s="3168"/>
      <c r="F8" s="3168"/>
      <c r="G8" s="3168"/>
      <c r="H8" s="3168"/>
      <c r="I8" s="3168"/>
      <c r="J8" s="3168"/>
      <c r="K8" s="3168"/>
      <c r="L8" s="3168"/>
      <c r="M8" s="3168"/>
      <c r="N8" s="3168"/>
      <c r="O8" s="3168"/>
      <c r="P8" s="3168"/>
      <c r="Q8" s="3169"/>
      <c r="R8" s="1818" t="str">
        <f>结果表!O41</f>
        <v>——</v>
      </c>
    </row>
    <row r="9" spans="1:18">
      <c r="A9" s="1819" t="s">
        <v>2048</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2035</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4" t="s">
        <v>2072</v>
      </c>
      <c r="B1" s="3174"/>
      <c r="C1" s="3174"/>
      <c r="D1" s="3174"/>
    </row>
    <row r="2" spans="1:4" ht="47.25" customHeight="1">
      <c r="A2" s="3178" t="str">
        <f>"1.权利限制："&amp;项目基本情况!L24&amp;"未设定租赁等其他他项权利。"</f>
        <v>1.权利限制：根据估价对象《不动产权证书》原件、《国有土地使用权》复印件，截至估价期日，估价对象抵押权未见登记。未设定租赁等其他他项权利。</v>
      </c>
      <c r="B2" s="3178"/>
      <c r="C2" s="3178"/>
      <c r="D2" s="3178"/>
    </row>
    <row r="3" spans="1:4" ht="48" customHeight="1">
      <c r="A3" s="31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4"/>
      <c r="C3" s="3174"/>
      <c r="D3" s="3174"/>
    </row>
    <row r="4" spans="1:4" ht="36.75" customHeight="1">
      <c r="A4" s="3174" t="str">
        <f>"3.估价规划限制条件：详见"&amp;项目基本情况!E21&amp;"。"</f>
        <v>3.估价规划限制条件：详见《建设工程规划许可证》[]、《出让合同》[]。</v>
      </c>
      <c r="B4" s="3174"/>
      <c r="C4" s="3174"/>
      <c r="D4" s="3174"/>
    </row>
    <row r="5" spans="1:4">
      <c r="A5" s="3177" t="s">
        <v>2073</v>
      </c>
      <c r="B5" s="3177"/>
      <c r="C5" s="3177"/>
      <c r="D5" s="3177"/>
    </row>
    <row r="6" spans="1:4">
      <c r="A6" s="3174" t="s">
        <v>2051</v>
      </c>
      <c r="B6" s="3174"/>
      <c r="C6" s="3174"/>
      <c r="D6" s="3174"/>
    </row>
    <row r="7" spans="1:4" ht="33" customHeight="1">
      <c r="A7" s="3174" t="s">
        <v>2585</v>
      </c>
      <c r="B7" s="3174"/>
      <c r="C7" s="3174"/>
      <c r="D7" s="3174"/>
    </row>
    <row r="8" spans="1:4" ht="32.25" customHeight="1">
      <c r="A8" s="31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4"/>
      <c r="C8" s="3174"/>
      <c r="D8" s="3174"/>
    </row>
    <row r="9" spans="1:4" ht="33.75" customHeight="1">
      <c r="A9" s="3174" t="str">
        <f>IF(项目基本情况!B8="抵押","3.抵押双方在办理抵押登记手续时，应使用本公司出具的正式《土地估价报告》，特提请报告使用者注意。","——")</f>
        <v>——</v>
      </c>
      <c r="B9" s="3174"/>
      <c r="C9" s="3174"/>
      <c r="D9" s="3174"/>
    </row>
    <row r="10" spans="1:4">
      <c r="A10" s="3174" t="str">
        <f>IF(项目基本情况!B8="抵押","4.估价师所知悉的法定优先受偿款情况为：","——")</f>
        <v>——</v>
      </c>
      <c r="B10" s="3174"/>
      <c r="C10" s="3174"/>
      <c r="D10" s="3174"/>
    </row>
    <row r="11" spans="1:4" ht="37.5" customHeight="1">
      <c r="A11" s="3176" t="str">
        <f>IF(项目基本情况!B8="抵押","（1）"&amp;CONCATENATE(项目基本情况!L24,项目基本情况!L25,项目基本情况!L26),"——")</f>
        <v>——</v>
      </c>
      <c r="B11" s="3176"/>
      <c r="C11" s="3176"/>
      <c r="D11" s="3176"/>
    </row>
    <row r="12" spans="1:4" ht="168" customHeight="1">
      <c r="A12" s="3177" t="s">
        <v>2075</v>
      </c>
      <c r="B12" s="3177"/>
      <c r="C12" s="3177"/>
      <c r="D12" s="3177"/>
    </row>
    <row r="13" spans="1:4">
      <c r="A13" s="3175" t="s">
        <v>2759</v>
      </c>
      <c r="B13" s="3175"/>
      <c r="C13" s="3175"/>
      <c r="D13" s="3175"/>
    </row>
    <row r="14" spans="1:4">
      <c r="A14" s="3176" t="str">
        <f>IF(项目基本情况!B8="抵押","综上，"&amp;结果表!K47,"——")</f>
        <v>——</v>
      </c>
      <c r="B14" s="3176"/>
      <c r="C14" s="3176"/>
      <c r="D14" s="3176"/>
    </row>
    <row r="15" spans="1:4" ht="58.5" customHeight="1">
      <c r="A15" s="31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4"/>
      <c r="C15" s="3174"/>
      <c r="D15" s="3174"/>
    </row>
    <row r="16" spans="1:4" ht="70.5" customHeight="1">
      <c r="A16" s="31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4"/>
      <c r="C16" s="3174"/>
      <c r="D16" s="3174"/>
    </row>
    <row r="17" spans="1:4">
      <c r="A17" s="3174" t="s">
        <v>2715</v>
      </c>
      <c r="B17" s="3174"/>
      <c r="C17" s="3174"/>
      <c r="D17" s="3174"/>
    </row>
    <row r="18" spans="1:4">
      <c r="A18" s="3174" t="s">
        <v>2707</v>
      </c>
      <c r="B18" s="3174"/>
      <c r="C18" s="3174"/>
      <c r="D18" s="3174"/>
    </row>
    <row r="19" spans="1:4">
      <c r="A19" s="2907" t="s">
        <v>2708</v>
      </c>
      <c r="B19" s="2907" t="s">
        <v>2709</v>
      </c>
      <c r="C19" s="2907" t="s">
        <v>2710</v>
      </c>
      <c r="D19" s="2907" t="s">
        <v>2711</v>
      </c>
    </row>
    <row r="20" spans="1:4">
      <c r="A20" s="2907" t="str">
        <f>项目基本情况!B4</f>
        <v>土地估价师</v>
      </c>
      <c r="B20" s="2907">
        <f>项目基本情况!C4</f>
        <v>0</v>
      </c>
      <c r="C20" s="2909"/>
      <c r="D20" s="1806" t="s">
        <v>2716</v>
      </c>
    </row>
    <row r="21" spans="1:4">
      <c r="A21" s="2907" t="str">
        <f>项目基本情况!D4</f>
        <v>土地估价师</v>
      </c>
      <c r="B21" s="2907">
        <f>项目基本情况!E4</f>
        <v>0</v>
      </c>
      <c r="C21" s="2909"/>
      <c r="D21" s="1806" t="s">
        <v>2717</v>
      </c>
    </row>
    <row r="23" spans="1:4">
      <c r="A23" s="3174" t="s">
        <v>2712</v>
      </c>
      <c r="B23" s="3174"/>
      <c r="C23" s="3174"/>
      <c r="D23" s="3174"/>
    </row>
    <row r="24" spans="1:4">
      <c r="A24" s="2907" t="s">
        <v>2708</v>
      </c>
      <c r="B24" s="2907" t="s">
        <v>2713</v>
      </c>
      <c r="C24" s="2907" t="s">
        <v>2710</v>
      </c>
      <c r="D24" s="2907" t="s">
        <v>2711</v>
      </c>
    </row>
    <row r="25" spans="1:4">
      <c r="A25" s="2910" t="s">
        <v>2714</v>
      </c>
      <c r="B25" s="2907" t="s">
        <v>955</v>
      </c>
      <c r="C25" s="2909"/>
      <c r="D25" s="1806" t="s">
        <v>2717</v>
      </c>
    </row>
    <row r="29" spans="1:4">
      <c r="D29" s="2908" t="s">
        <v>2046</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6" t="s">
        <v>53</v>
      </c>
      <c r="B15" s="3187" t="s">
        <v>849</v>
      </c>
      <c r="C15" s="3183"/>
    </row>
    <row r="16" spans="1:7" ht="14.25">
      <c r="A16" s="3186"/>
      <c r="B16" s="3184" t="s">
        <v>54</v>
      </c>
      <c r="C16" s="1175" t="s">
        <v>53</v>
      </c>
    </row>
    <row r="17" spans="1:3" ht="14.25">
      <c r="A17" s="3186"/>
      <c r="B17" s="3184"/>
      <c r="C17" s="1175" t="s">
        <v>55</v>
      </c>
    </row>
    <row r="18" spans="1:3" ht="14.25">
      <c r="A18" s="3186"/>
      <c r="B18" s="3184"/>
      <c r="C18" s="1175" t="s">
        <v>56</v>
      </c>
    </row>
    <row r="19" spans="1:3" ht="14.25">
      <c r="A19" s="3186"/>
      <c r="B19" s="3182" t="s">
        <v>57</v>
      </c>
      <c r="C19" s="3183"/>
    </row>
    <row r="20" spans="1:3" ht="14.25">
      <c r="A20" s="1176" t="s">
        <v>58</v>
      </c>
      <c r="B20" s="1177"/>
      <c r="C20" s="1178"/>
    </row>
    <row r="21" spans="1:3" ht="14.25">
      <c r="A21" s="3185" t="s">
        <v>59</v>
      </c>
      <c r="B21" s="3182" t="s">
        <v>60</v>
      </c>
      <c r="C21" s="3183"/>
    </row>
    <row r="22" spans="1:3" ht="14.25">
      <c r="A22" s="3185"/>
      <c r="B22" s="3182" t="s">
        <v>61</v>
      </c>
      <c r="C22" s="3183"/>
    </row>
    <row r="23" spans="1:3" ht="14.25">
      <c r="A23" s="3185"/>
      <c r="B23" s="3182" t="s">
        <v>62</v>
      </c>
      <c r="C23" s="3183"/>
    </row>
    <row r="24" spans="1:3" ht="14.25">
      <c r="A24" s="3185"/>
      <c r="B24" s="3188" t="s">
        <v>63</v>
      </c>
      <c r="C24" s="1179" t="s">
        <v>840</v>
      </c>
    </row>
    <row r="25" spans="1:3" ht="14.25">
      <c r="A25" s="3185"/>
      <c r="B25" s="3189"/>
      <c r="C25" s="1179" t="s">
        <v>841</v>
      </c>
    </row>
    <row r="26" spans="1:3" ht="14.25">
      <c r="A26" s="3185"/>
      <c r="B26" s="3189"/>
      <c r="C26" s="1179" t="s">
        <v>842</v>
      </c>
    </row>
    <row r="27" spans="1:3" ht="14.25">
      <c r="A27" s="3185"/>
      <c r="B27" s="3189"/>
      <c r="C27" s="1179" t="s">
        <v>843</v>
      </c>
    </row>
    <row r="28" spans="1:3" ht="14.25">
      <c r="A28" s="3185"/>
      <c r="B28" s="3189"/>
      <c r="C28" s="1179" t="s">
        <v>844</v>
      </c>
    </row>
    <row r="29" spans="1:3" ht="14.25">
      <c r="A29" s="3185"/>
      <c r="B29" s="3189"/>
      <c r="C29" s="1179" t="s">
        <v>845</v>
      </c>
    </row>
    <row r="30" spans="1:3" ht="14.25">
      <c r="A30" s="3185"/>
      <c r="B30" s="3189"/>
      <c r="C30" s="1179" t="s">
        <v>846</v>
      </c>
    </row>
    <row r="31" spans="1:3" ht="14.25">
      <c r="A31" s="3185"/>
      <c r="B31" s="3189"/>
      <c r="C31" s="1179" t="s">
        <v>847</v>
      </c>
    </row>
    <row r="32" spans="1:3" ht="14.25">
      <c r="A32" s="3185"/>
      <c r="B32" s="3189"/>
      <c r="C32" s="1179" t="s">
        <v>1650</v>
      </c>
    </row>
    <row r="33" spans="1:3" ht="14.25">
      <c r="A33" s="3185"/>
      <c r="B33" s="3179" t="s">
        <v>1656</v>
      </c>
      <c r="C33" s="1179" t="s">
        <v>1651</v>
      </c>
    </row>
    <row r="34" spans="1:3" ht="14.25">
      <c r="A34" s="3185"/>
      <c r="B34" s="3180"/>
      <c r="C34" s="1184" t="s">
        <v>1652</v>
      </c>
    </row>
    <row r="35" spans="1:3" ht="14.25">
      <c r="A35" s="3185"/>
      <c r="B35" s="3180"/>
      <c r="C35" s="1185" t="s">
        <v>1653</v>
      </c>
    </row>
    <row r="36" spans="1:3" ht="14.25">
      <c r="A36" s="3185"/>
      <c r="B36" s="3180"/>
      <c r="C36" s="1185" t="s">
        <v>1654</v>
      </c>
    </row>
    <row r="37" spans="1:3" ht="14.25">
      <c r="A37" s="3185"/>
      <c r="B37" s="3181"/>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42982</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2584</v>
      </c>
      <c r="B15" s="2353">
        <v>1120070085</v>
      </c>
      <c r="C15" s="3045">
        <v>43814</v>
      </c>
      <c r="D15" s="2353" t="s">
        <v>2584</v>
      </c>
      <c r="E15" s="2353">
        <v>2004110128</v>
      </c>
      <c r="F15" s="3046">
        <v>47118</v>
      </c>
    </row>
    <row r="16" spans="1:6" ht="20.25" customHeight="1">
      <c r="A16" s="2353" t="s">
        <v>1929</v>
      </c>
      <c r="B16" s="2353">
        <f ca="1">IF(C16&lt;B2,"已过期",1120140022)</f>
        <v>1120140022</v>
      </c>
      <c r="C16" s="3045">
        <v>44029</v>
      </c>
      <c r="D16" s="2353" t="s">
        <v>1929</v>
      </c>
      <c r="E16" s="2353">
        <f ca="1">IF(F16&lt;B2,"已过期",2008110059)</f>
        <v>2008110059</v>
      </c>
      <c r="F16" s="3046">
        <v>47177</v>
      </c>
    </row>
    <row r="17" spans="1:7" ht="20.25" customHeight="1">
      <c r="A17" s="2353"/>
      <c r="B17" s="2353"/>
      <c r="C17" s="3045"/>
      <c r="D17" s="2353"/>
      <c r="E17" s="2353"/>
      <c r="F17" s="3046"/>
    </row>
    <row r="18" spans="1:7" ht="20.25" customHeight="1">
      <c r="A18" s="2353"/>
      <c r="B18" s="2353"/>
      <c r="C18" s="3045"/>
      <c r="D18" s="2353"/>
      <c r="E18" s="2353"/>
      <c r="F18" s="3046"/>
    </row>
    <row r="19" spans="1:7" ht="20.25" customHeight="1">
      <c r="A19" s="2353"/>
      <c r="B19" s="2353"/>
      <c r="C19" s="3045"/>
      <c r="D19" s="2353"/>
      <c r="E19" s="2353"/>
      <c r="F19" s="2353"/>
    </row>
    <row r="20" spans="1:7" ht="20.25" customHeight="1">
      <c r="A20" s="2353"/>
      <c r="B20" s="2353"/>
      <c r="C20" s="3045"/>
      <c r="D20" s="2353"/>
      <c r="E20" s="2353"/>
      <c r="F20" s="2353"/>
    </row>
    <row r="21" spans="1:7" ht="20.25" customHeight="1">
      <c r="A21" s="2353"/>
      <c r="B21" s="2353"/>
      <c r="C21" s="3045"/>
      <c r="D21" s="2353" t="s">
        <v>1930</v>
      </c>
      <c r="E21" s="2353">
        <f ca="1">IF(F21&lt;B2,"已过期",2011110090)</f>
        <v>2011110090</v>
      </c>
      <c r="F21" s="3046">
        <v>48302</v>
      </c>
    </row>
    <row r="22" spans="1:7" ht="20.25" customHeight="1">
      <c r="A22" s="2353" t="s">
        <v>1931</v>
      </c>
      <c r="B22" s="2353">
        <f ca="1">IF(C22&lt;B2,"已过期",1120020033)</f>
        <v>1120020033</v>
      </c>
      <c r="C22" s="3045">
        <v>43304</v>
      </c>
      <c r="D22" s="2353" t="s">
        <v>1931</v>
      </c>
      <c r="E22" s="2353">
        <f ca="1">IF(F22&lt;B2,"已过期",2000110137)</f>
        <v>2000110137</v>
      </c>
      <c r="F22" s="3046">
        <v>46387</v>
      </c>
    </row>
    <row r="23" spans="1:7" ht="20.25" customHeight="1">
      <c r="A23" s="2353" t="s">
        <v>1932</v>
      </c>
      <c r="B23" s="2353">
        <f ca="1">IF(C23&lt;B2,"已过期",1120130048)</f>
        <v>1120130048</v>
      </c>
      <c r="C23" s="3045">
        <v>43686</v>
      </c>
      <c r="D23" s="2353"/>
      <c r="E23" s="2353"/>
      <c r="F23" s="2353"/>
    </row>
    <row r="24" spans="1:7" s="2357" customFormat="1" ht="20.25" customHeight="1">
      <c r="A24" s="2355" t="s">
        <v>2060</v>
      </c>
      <c r="B24" s="2355" t="s">
        <v>2060</v>
      </c>
      <c r="C24" s="3045"/>
      <c r="D24" s="3047" t="s">
        <v>2060</v>
      </c>
      <c r="E24" s="2355" t="s">
        <v>2060</v>
      </c>
      <c r="F24" s="2356"/>
    </row>
    <row r="25" spans="1:7" ht="20.25" customHeight="1">
      <c r="A25" s="3190" t="s">
        <v>1933</v>
      </c>
      <c r="B25" s="3190"/>
      <c r="C25" s="3190"/>
      <c r="D25" s="3190"/>
      <c r="E25" s="3190"/>
      <c r="F25" s="3190"/>
      <c r="G25" s="3190"/>
    </row>
    <row r="26" spans="1:7" ht="20.25" customHeight="1">
      <c r="A26" s="3191" t="s">
        <v>1934</v>
      </c>
      <c r="B26" s="3191"/>
      <c r="C26" s="3191"/>
      <c r="D26" s="3191" t="s">
        <v>1935</v>
      </c>
      <c r="E26" s="3191"/>
      <c r="F26" s="3191"/>
    </row>
    <row r="27" spans="1:7" s="2361" customFormat="1" ht="20.25" customHeight="1">
      <c r="A27" s="2358" t="s">
        <v>1936</v>
      </c>
      <c r="B27" s="2359" t="s">
        <v>1937</v>
      </c>
      <c r="C27" s="2359" t="s">
        <v>1938</v>
      </c>
      <c r="D27" s="2360" t="s">
        <v>1936</v>
      </c>
      <c r="E27" s="2359" t="s">
        <v>1937</v>
      </c>
      <c r="F27" s="2359" t="s">
        <v>1938</v>
      </c>
    </row>
    <row r="28" spans="1:7" s="2361" customFormat="1" ht="20.25" customHeight="1">
      <c r="A28" s="2362" t="s">
        <v>1939</v>
      </c>
      <c r="B28" s="2362" t="s">
        <v>1940</v>
      </c>
      <c r="C28" s="2363">
        <v>43725</v>
      </c>
      <c r="D28" s="2362" t="s">
        <v>1941</v>
      </c>
      <c r="E28" s="2362" t="s">
        <v>1942</v>
      </c>
      <c r="F28" s="2364">
        <v>44377</v>
      </c>
    </row>
    <row r="29" spans="1:7" s="2361" customFormat="1" ht="20.25" customHeight="1">
      <c r="A29" s="2362"/>
      <c r="B29" s="2362"/>
      <c r="C29" s="2365"/>
      <c r="D29" s="2362" t="s">
        <v>1943</v>
      </c>
      <c r="E29" s="2366" t="s">
        <v>2960</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2555</v>
      </c>
      <c r="R1" s="2617" t="s">
        <v>2549</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2550</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2551</v>
      </c>
      <c r="S3" s="9" t="s">
        <v>84</v>
      </c>
      <c r="T3" s="9" t="s">
        <v>85</v>
      </c>
      <c r="U3" s="9" t="s">
        <v>84</v>
      </c>
      <c r="V3" s="9" t="s">
        <v>86</v>
      </c>
      <c r="W3" s="9" t="s">
        <v>879</v>
      </c>
    </row>
    <row r="4" spans="1:23">
      <c r="A4" s="8" t="s">
        <v>87</v>
      </c>
      <c r="B4" s="8" t="s">
        <v>152</v>
      </c>
      <c r="C4" s="1556" t="s">
        <v>1715</v>
      </c>
      <c r="D4" s="9" t="s">
        <v>2001</v>
      </c>
      <c r="E4" s="9" t="s">
        <v>88</v>
      </c>
      <c r="F4" s="9" t="s">
        <v>89</v>
      </c>
      <c r="G4" s="9">
        <v>70</v>
      </c>
      <c r="H4" s="9" t="s">
        <v>90</v>
      </c>
      <c r="I4" s="9" t="s">
        <v>91</v>
      </c>
      <c r="K4" s="9" t="s">
        <v>92</v>
      </c>
      <c r="L4" s="9" t="s">
        <v>92</v>
      </c>
      <c r="M4" s="9" t="s">
        <v>92</v>
      </c>
      <c r="N4" s="9" t="s">
        <v>92</v>
      </c>
      <c r="O4" s="9" t="s">
        <v>92</v>
      </c>
      <c r="P4" s="1009" t="s">
        <v>763</v>
      </c>
      <c r="Q4" s="9" t="s">
        <v>92</v>
      </c>
      <c r="R4" s="1009" t="s">
        <v>2552</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2553</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2554</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6" t="s">
        <v>2973</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1949</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1993</v>
      </c>
      <c r="B52" s="1774" t="s">
        <v>1994</v>
      </c>
      <c r="C52" s="1772" t="s">
        <v>1995</v>
      </c>
      <c r="D52" s="1772" t="s">
        <v>1996</v>
      </c>
      <c r="E52" s="1773"/>
    </row>
    <row r="53" spans="1:5">
      <c r="A53" s="3192" t="s">
        <v>1997</v>
      </c>
      <c r="B53" s="1772" t="s">
        <v>2003</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192"/>
      <c r="B54" s="1772" t="s">
        <v>2004</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192"/>
      <c r="B55" s="1772" t="s">
        <v>1998</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192"/>
      <c r="B56" s="1772" t="s">
        <v>1999</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192"/>
      <c r="B57" s="1772" t="s">
        <v>2000</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2056</v>
      </c>
      <c r="B58" s="1772"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127</vt:i4>
      </vt:variant>
    </vt:vector>
  </HeadingPairs>
  <TitlesOfParts>
    <vt:vector size="16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2017-09-04T01:21:43Z</dcterms:modified>
</cp:coreProperties>
</file>