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汇总）" sheetId="70" r:id="rId24"/>
    <sheet name="酒店收入计算" sheetId="66"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基准地价修正" sheetId="43" r:id="rId34"/>
    <sheet name="修正" sheetId="45" state="hidden" r:id="rId35"/>
    <sheet name="容积率修正" sheetId="46" state="hidden" r:id="rId36"/>
    <sheet name="地价" sheetId="71"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15" i="51" l="1"/>
  <c r="C28" i="67" l="1"/>
  <c r="C28" i="15"/>
  <c r="C31" i="12"/>
  <c r="C24" i="12"/>
  <c r="C48" i="69"/>
  <c r="C30" i="69"/>
  <c r="C30" i="68"/>
  <c r="C48" i="68"/>
  <c r="C74" i="9"/>
  <c r="C76" i="9"/>
  <c r="C77" i="9"/>
  <c r="C42" i="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F4" i="73"/>
  <c r="D4" i="73"/>
  <c r="F5" i="73"/>
  <c r="D6" i="73"/>
  <c r="D5" i="73"/>
  <c r="D7" i="73"/>
  <c r="D3" i="73"/>
  <c r="E20" i="43" l="1"/>
  <c r="I1" i="73"/>
  <c r="B39" i="1" s="1"/>
  <c r="D3" i="34"/>
  <c r="D3" i="33"/>
  <c r="D3" i="2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2" i="1"/>
  <c r="AO13" i="1"/>
  <c r="AO10" i="1"/>
  <c r="AO9" i="1"/>
  <c r="AO11"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67" s="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G101" i="43"/>
  <c r="G105" i="43" s="1"/>
  <c r="K101" i="43"/>
  <c r="K103" i="43" s="1"/>
  <c r="C101" i="43"/>
  <c r="C104" i="43" s="1"/>
  <c r="F101" i="43"/>
  <c r="F104" i="43" s="1"/>
  <c r="J101" i="43"/>
  <c r="J104" i="43" s="1"/>
  <c r="N101" i="43"/>
  <c r="N102" i="43" s="1"/>
  <c r="N4" i="43"/>
  <c r="F36" i="43"/>
  <c r="F81" i="43"/>
  <c r="H83" i="43" s="1"/>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2" i="6"/>
  <c r="E15" i="6"/>
  <c r="E60"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D117" i="43"/>
  <c r="E117" i="43" s="1"/>
  <c r="F117" i="43" s="1"/>
  <c r="G117" i="43" s="1"/>
  <c r="H117" i="43" s="1"/>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E63" i="39"/>
  <c r="G68" i="36"/>
  <c r="F20" i="36"/>
  <c r="AA20" i="36" s="1"/>
  <c r="J33" i="34"/>
  <c r="AC33" i="34" s="1"/>
  <c r="H23" i="39"/>
  <c r="U23" i="39" s="1"/>
  <c r="G97" i="39"/>
  <c r="D48" i="9"/>
  <c r="M52" i="9" s="1"/>
  <c r="H86" i="43"/>
  <c r="H82" i="43"/>
  <c r="H87" i="43"/>
  <c r="K9" i="1"/>
  <c r="M9" i="1" s="1"/>
  <c r="O9" i="1" s="1"/>
  <c r="P9" i="1" s="1"/>
  <c r="F3" i="35"/>
  <c r="D93" i="9"/>
  <c r="J51" i="15"/>
  <c r="AE9" i="1"/>
  <c r="B41" i="1" l="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F31" i="6"/>
  <c r="F30" i="6"/>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61" i="39"/>
  <c r="E56" i="40"/>
  <c r="E53" i="3"/>
  <c r="E183" i="3"/>
  <c r="E237" i="3"/>
  <c r="E268" i="3"/>
  <c r="E125" i="3"/>
  <c r="E172" i="3"/>
  <c r="E114" i="3"/>
  <c r="E153" i="3"/>
  <c r="E175" i="3"/>
  <c r="E213" i="3"/>
  <c r="E261" i="3"/>
  <c r="E282" i="3"/>
  <c r="E217" i="3"/>
  <c r="E260" i="3"/>
  <c r="E278" i="3"/>
  <c r="E305" i="3"/>
  <c r="E319" i="3"/>
  <c r="E361" i="3"/>
  <c r="E304" i="3"/>
  <c r="E322" i="3"/>
  <c r="E366" i="3"/>
  <c r="E445" i="3"/>
  <c r="E415" i="3"/>
  <c r="E426" i="3"/>
  <c r="E530" i="3"/>
  <c r="E17" i="3"/>
  <c r="E528" i="3"/>
  <c r="N6" i="3"/>
  <c r="E526" i="3"/>
  <c r="E550" i="3"/>
  <c r="E563" i="3"/>
  <c r="E508" i="3"/>
  <c r="E501" i="3"/>
  <c r="E503" i="3"/>
  <c r="E565" i="3"/>
  <c r="AJ6" i="3"/>
  <c r="E553" i="3"/>
  <c r="E535" i="3"/>
  <c r="E395" i="3"/>
  <c r="E328" i="3"/>
  <c r="E343" i="3"/>
  <c r="E302" i="3"/>
  <c r="E27" i="6"/>
  <c r="K20" i="6" s="1"/>
  <c r="D19" i="12"/>
  <c r="C19" i="12" s="1"/>
  <c r="D9" i="68"/>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L109" i="43"/>
  <c r="J109" i="43"/>
  <c r="C100" i="43"/>
  <c r="K109"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66" i="39" s="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F40" i="67"/>
  <c r="L48" i="15"/>
  <c r="M22" i="15"/>
  <c r="F13" i="67"/>
  <c r="M8" i="67"/>
  <c r="F38" i="15"/>
  <c r="F9" i="67"/>
  <c r="F26" i="15"/>
  <c r="M29" i="67"/>
  <c r="F40" i="15"/>
  <c r="M8" i="15"/>
  <c r="M26" i="67"/>
  <c r="L48" i="67"/>
  <c r="M9" i="67"/>
  <c r="F9" i="15"/>
  <c r="F26" i="67"/>
  <c r="M28" i="15"/>
  <c r="L47" i="15"/>
  <c r="M6" i="67"/>
  <c r="M9" i="15"/>
  <c r="F7" i="15"/>
  <c r="F36" i="67"/>
  <c r="M24" i="67"/>
  <c r="L47" i="67"/>
  <c r="F42" i="67"/>
  <c r="M23" i="15"/>
  <c r="M26" i="15"/>
  <c r="F42" i="15"/>
  <c r="F38" i="67"/>
  <c r="F8" i="15"/>
  <c r="F37" i="15"/>
  <c r="M29" i="15"/>
  <c r="F43" i="67"/>
  <c r="F37" i="67"/>
  <c r="J15" i="15"/>
  <c r="G1" i="73"/>
  <c r="F13" i="15"/>
  <c r="F43" i="15"/>
  <c r="M28" i="67"/>
  <c r="J15" i="67"/>
  <c r="C76" i="15"/>
  <c r="M6" i="15"/>
  <c r="M23" i="67"/>
  <c r="F36" i="15"/>
  <c r="F6" i="15"/>
  <c r="F8" i="67"/>
  <c r="C76" i="67"/>
  <c r="F6" i="67"/>
  <c r="M24" i="15"/>
  <c r="M22" i="67"/>
  <c r="F16" i="15"/>
  <c r="F16" i="67"/>
  <c r="F7" i="67"/>
  <c r="D68" i="9" l="1"/>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9" i="68"/>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C16" i="15"/>
  <c r="C17" i="15"/>
  <c r="F59" i="15"/>
  <c r="F31" i="15"/>
  <c r="M17" i="15"/>
  <c r="F59" i="67"/>
  <c r="F31" i="67"/>
  <c r="M17" i="67"/>
  <c r="C16" i="67"/>
  <c r="U32" i="39" l="1"/>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49" i="21" l="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AG6" i="1"/>
  <c r="C80" i="15"/>
  <c r="C79" i="15" s="1"/>
  <c r="C65" i="15"/>
  <c r="C59"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2" i="68"/>
  <c r="B3" i="67"/>
  <c r="B7" i="70"/>
  <c r="D2" i="36"/>
  <c r="D2" i="34"/>
  <c r="D2" i="37"/>
  <c r="D2" i="35"/>
  <c r="D2" i="21"/>
  <c r="D2" i="33"/>
  <c r="C19" i="9"/>
  <c r="E2" i="68"/>
  <c r="B2" i="36" l="1"/>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D126" i="9" l="1"/>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c r="B39" i="72"/>
  <c r="H111" i="9"/>
  <c r="D19" i="53"/>
  <c r="D59" i="9"/>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97" i="9" s="1"/>
  <c r="D58" i="9" s="1"/>
  <c r="D56" i="9" s="1"/>
  <c r="M54" i="9" s="1"/>
  <c r="N57" i="9" s="1"/>
  <c r="C67" i="9"/>
  <c r="C68" i="9" s="1"/>
  <c r="D54" i="9" s="1"/>
  <c r="C79" i="9"/>
  <c r="C81" i="9" s="1"/>
  <c r="D6" i="74"/>
  <c r="C6" i="74"/>
  <c r="C96" i="9" l="1"/>
  <c r="E96" i="9" s="1"/>
  <c r="E97" i="9" s="1"/>
  <c r="C80" i="9"/>
  <c r="E80" i="9" s="1"/>
  <c r="E81"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<sst xmlns="http://schemas.openxmlformats.org/spreadsheetml/2006/main" count="7180" uniqueCount="3055">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</sst>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2814</v>
      </c>
      <c r="B1" s="3061" t="s">
        <v>2904</v>
      </c>
    </row>
    <row r="2" spans="1:2" s="3066" customFormat="1" ht="15" thickTop="1">
      <c r="A2" s="3064" t="s">
        <v>2815</v>
      </c>
      <c r="B2" s="3065" t="str">
        <f>'预评函-封皮'!B37:I37</f>
        <v>预评估</v>
      </c>
    </row>
    <row r="3" spans="1:2" s="3069" customFormat="1">
      <c r="A3" s="3067" t="s">
        <v>2816</v>
      </c>
      <c r="B3" s="3068">
        <f>'预评函-封皮'!B40</f>
        <v>0</v>
      </c>
    </row>
    <row r="4" spans="1:2" s="3069" customFormat="1">
      <c r="A4" s="3067" t="s">
        <v>2817</v>
      </c>
      <c r="B4" s="3068" t="str">
        <f>'预评函-封皮'!B46</f>
        <v>（注册号：0)、（注册号：0)</v>
      </c>
    </row>
    <row r="5" spans="1:2" s="3063" customFormat="1" ht="15" thickBot="1">
      <c r="A5" s="3070" t="s">
        <v>2818</v>
      </c>
      <c r="B5" s="3071" t="str">
        <f>'预评函-封皮'!B49</f>
        <v>康正预评字号</v>
      </c>
    </row>
    <row r="6" spans="1:2" s="3066" customFormat="1" ht="15" thickTop="1">
      <c r="A6" s="3064" t="s">
        <v>2819</v>
      </c>
      <c r="B6" s="3065" t="str">
        <f>'预评函-1'!A4</f>
        <v>受贵公司委托，我公司对进行了预评估。</v>
      </c>
    </row>
    <row r="7" spans="1:2" s="3069" customFormat="1">
      <c r="A7" s="3067" t="s">
        <v>2859</v>
      </c>
      <c r="B7" s="3068" t="e">
        <f>'预评函-1'!A7</f>
        <v>#DIV/0!</v>
      </c>
    </row>
    <row r="8" spans="1:2" s="3069" customFormat="1">
      <c r="A8" s="3067" t="s">
        <v>2860</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2861</v>
      </c>
      <c r="B9" s="3068" t="e">
        <f>'预评函-1'!A10</f>
        <v>#DIV/0!</v>
      </c>
    </row>
    <row r="10" spans="1:2" s="3069" customFormat="1">
      <c r="A10" s="3067" t="s">
        <v>2862</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2820</v>
      </c>
      <c r="B11" s="3068" t="str">
        <f>'预评函-1'!A13</f>
        <v>为估价委托人了解估价对象房地产市场价值提供参考依据。</v>
      </c>
    </row>
    <row r="12" spans="1:2" s="3069" customFormat="1">
      <c r="A12" s="3067" t="s">
        <v>2821</v>
      </c>
      <c r="B12" s="3068" t="str">
        <f>'预评函-1'!A15</f>
        <v>（评估专业人员实地查勘之日）</v>
      </c>
    </row>
    <row r="13" spans="1:2" s="3069" customFormat="1">
      <c r="A13" s="3067" t="s">
        <v>2822</v>
      </c>
      <c r="B13" s="3068"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3069" customFormat="1">
      <c r="A14" s="3067" t="s">
        <v>2823</v>
      </c>
      <c r="B14" s="30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2824</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2825</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2826</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2827</v>
      </c>
      <c r="B18" s="3071" t="str">
        <f>'预评函-1'!A24</f>
        <v>本次评估采用的主估价方法为基准地价系数修正法和基准地价系数修正法。</v>
      </c>
    </row>
    <row r="19" spans="1:2" s="3066" customFormat="1" ht="15" thickTop="1">
      <c r="A19" s="3064" t="s">
        <v>2828</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2829</v>
      </c>
      <c r="B20" s="3068" t="e">
        <f ca="1">'预评函-2'!D5</f>
        <v>#REF!</v>
      </c>
    </row>
    <row r="21" spans="1:2" s="3069" customFormat="1">
      <c r="A21" s="3067" t="s">
        <v>2830</v>
      </c>
      <c r="B21" s="3068" t="e">
        <f ca="1">'预评函-2'!D7</f>
        <v>#REF!</v>
      </c>
    </row>
    <row r="22" spans="1:2" s="3069" customFormat="1">
      <c r="A22" s="3067" t="s">
        <v>2831</v>
      </c>
      <c r="B22" s="3068" t="e">
        <f ca="1">'预评函-2'!D6</f>
        <v>#REF!</v>
      </c>
    </row>
    <row r="23" spans="1:2" s="3069" customFormat="1">
      <c r="A23" s="3067" t="s">
        <v>2892</v>
      </c>
      <c r="B23" s="3068" t="str">
        <f>'预评函-2'!B8</f>
        <v>2.估价师知悉的法定优先受偿款</v>
      </c>
    </row>
    <row r="24" spans="1:2" s="3069" customFormat="1">
      <c r="A24" s="3067" t="s">
        <v>2898</v>
      </c>
      <c r="B24" s="3068">
        <f>'预评函-2'!D8</f>
        <v>0</v>
      </c>
    </row>
    <row r="25" spans="1:2" s="3069" customFormat="1">
      <c r="A25" s="3067" t="s">
        <v>2832</v>
      </c>
      <c r="B25" s="3068" t="str">
        <f>'预评函-2'!D9</f>
        <v>零元整</v>
      </c>
    </row>
    <row r="26" spans="1:2" s="3069" customFormat="1">
      <c r="A26" s="3067" t="s">
        <v>2833</v>
      </c>
      <c r="B26" s="3068">
        <f>'预评函-2'!D10</f>
        <v>0</v>
      </c>
    </row>
    <row r="27" spans="1:2" s="3069" customFormat="1">
      <c r="A27" s="3067" t="s">
        <v>2834</v>
      </c>
      <c r="B27" s="3068">
        <f>'预评函-2'!D11</f>
        <v>0</v>
      </c>
    </row>
    <row r="28" spans="1:2" s="3069" customFormat="1">
      <c r="A28" s="3067" t="s">
        <v>2835</v>
      </c>
      <c r="B28" s="3068">
        <f>'预评函-2'!D12</f>
        <v>0</v>
      </c>
    </row>
    <row r="29" spans="1:2" s="3069" customFormat="1">
      <c r="A29" s="3067" t="s">
        <v>2896</v>
      </c>
      <c r="B29" s="3068" t="str">
        <f>'预评函-2'!B13</f>
        <v>3.房地产抵押价值</v>
      </c>
    </row>
    <row r="30" spans="1:2" s="3069" customFormat="1">
      <c r="A30" s="3067" t="s">
        <v>2897</v>
      </c>
      <c r="B30" s="3068" t="e">
        <f ca="1">'预评函-2'!D13</f>
        <v>#REF!</v>
      </c>
    </row>
    <row r="31" spans="1:2" s="3069" customFormat="1">
      <c r="A31" s="3067" t="s">
        <v>2870</v>
      </c>
      <c r="B31" s="3068" t="e">
        <f ca="1">'预评函-2'!D15</f>
        <v>#REF!</v>
      </c>
    </row>
    <row r="32" spans="1:2" s="3069" customFormat="1">
      <c r="A32" s="3067" t="s">
        <v>2836</v>
      </c>
      <c r="B32" s="3068" t="e">
        <f ca="1">'预评函-2'!D14</f>
        <v>#REF!</v>
      </c>
    </row>
    <row r="33" spans="1:2" s="3069" customFormat="1">
      <c r="A33" s="3067" t="s">
        <v>2872</v>
      </c>
      <c r="B33" s="3068" t="str">
        <f>'预评函-2'!B16</f>
        <v>——</v>
      </c>
    </row>
    <row r="34" spans="1:2" s="3069" customFormat="1">
      <c r="A34" s="3067" t="s">
        <v>2899</v>
      </c>
      <c r="B34" s="3068" t="str">
        <f>'预评函-2'!D16</f>
        <v>——</v>
      </c>
    </row>
    <row r="35" spans="1:2" s="3069" customFormat="1">
      <c r="A35" s="3067" t="s">
        <v>2871</v>
      </c>
      <c r="B35" s="3068" t="str">
        <f>'预评函-2'!D18</f>
        <v>——</v>
      </c>
    </row>
    <row r="36" spans="1:2" s="3069" customFormat="1">
      <c r="A36" s="3067" t="s">
        <v>2837</v>
      </c>
      <c r="B36" s="3068" t="e">
        <f>'预评函-2'!D17</f>
        <v>#VALUE!</v>
      </c>
    </row>
    <row r="37" spans="1:2" s="3069" customFormat="1">
      <c r="A37" s="3067" t="s">
        <v>2873</v>
      </c>
      <c r="B37" s="3068" t="str">
        <f>'预评函-2'!B19</f>
        <v>——</v>
      </c>
    </row>
    <row r="38" spans="1:2" s="3069" customFormat="1">
      <c r="A38" s="3067" t="s">
        <v>2900</v>
      </c>
      <c r="B38" s="3068" t="str">
        <f>'预评函-2'!D19</f>
        <v>——</v>
      </c>
    </row>
    <row r="39" spans="1:2" s="3069" customFormat="1">
      <c r="A39" s="3067" t="s">
        <v>2838</v>
      </c>
      <c r="B39" s="3068" t="str">
        <f>'预评函-2'!D21</f>
        <v>——</v>
      </c>
    </row>
    <row r="40" spans="1:2" s="3069" customFormat="1">
      <c r="A40" s="3067" t="s">
        <v>2839</v>
      </c>
      <c r="B40" s="3068" t="e">
        <f>'预评函-2'!D20</f>
        <v>#VALUE!</v>
      </c>
    </row>
    <row r="41" spans="1:2" s="3069" customFormat="1">
      <c r="A41" s="3067" t="s">
        <v>2895</v>
      </c>
      <c r="B41" s="3068" t="str">
        <f>'预评函-3'!A4</f>
        <v>房地产</v>
      </c>
    </row>
    <row r="42" spans="1:2" s="3069" customFormat="1">
      <c r="A42" s="3067" t="s">
        <v>2893</v>
      </c>
      <c r="B42" s="3068" t="str">
        <f>'预评函-3'!B2</f>
        <v>建筑面积</v>
      </c>
    </row>
    <row r="43" spans="1:2" s="3069" customFormat="1">
      <c r="A43" s="3067" t="s">
        <v>2894</v>
      </c>
      <c r="B43" s="3068">
        <f>'预评函-3'!B4</f>
        <v>0</v>
      </c>
    </row>
    <row r="44" spans="1:2" s="3069" customFormat="1">
      <c r="A44" s="3067" t="s">
        <v>2869</v>
      </c>
      <c r="B44" s="3068" t="str">
        <f>'预评函-3'!C2</f>
        <v>(分摊)土地面积</v>
      </c>
    </row>
    <row r="45" spans="1:2" s="3069" customFormat="1">
      <c r="A45" s="3067" t="s">
        <v>2840</v>
      </c>
      <c r="B45" s="3068" t="e">
        <f>'预评函-3'!C4</f>
        <v>#DIV/0!</v>
      </c>
    </row>
    <row r="46" spans="1:2" s="3069" customFormat="1">
      <c r="A46" s="3067" t="s">
        <v>2867</v>
      </c>
      <c r="B46" s="3068" t="str">
        <f>'预评函-3'!D2</f>
        <v>出让国有建设用地使用权价值</v>
      </c>
    </row>
    <row r="47" spans="1:2" s="3069" customFormat="1">
      <c r="A47" s="3067" t="s">
        <v>2841</v>
      </c>
      <c r="B47" s="3068" t="e">
        <f ca="1">'预评函-3'!D4</f>
        <v>#REF!</v>
      </c>
    </row>
    <row r="48" spans="1:2" s="3069" customFormat="1">
      <c r="A48" s="3067" t="s">
        <v>2842</v>
      </c>
      <c r="B48" s="3068" t="e">
        <f ca="1">'预评函-3'!E4</f>
        <v>#REF!</v>
      </c>
    </row>
    <row r="49" spans="1:2" s="3069" customFormat="1">
      <c r="A49" s="3067" t="s">
        <v>2843</v>
      </c>
      <c r="B49" s="3068" t="e">
        <f ca="1">'预评函-3'!D5</f>
        <v>#REF!</v>
      </c>
    </row>
    <row r="50" spans="1:2" s="3069" customFormat="1">
      <c r="A50" s="3067" t="s">
        <v>2868</v>
      </c>
      <c r="B50" s="3068" t="str">
        <f>'预评函-3'!F2</f>
        <v>在建建筑物价值</v>
      </c>
    </row>
    <row r="51" spans="1:2" s="3069" customFormat="1">
      <c r="A51" s="3067" t="s">
        <v>2844</v>
      </c>
      <c r="B51" s="3068" t="e">
        <f ca="1">'预评函-3'!F4</f>
        <v>#REF!</v>
      </c>
    </row>
    <row r="52" spans="1:2" s="3069" customFormat="1">
      <c r="A52" s="3067" t="s">
        <v>2845</v>
      </c>
      <c r="B52" s="3068" t="e">
        <f ca="1">'预评函-3'!G4</f>
        <v>#REF!</v>
      </c>
    </row>
    <row r="53" spans="1:2" s="3069" customFormat="1">
      <c r="A53" s="3067" t="s">
        <v>2874</v>
      </c>
      <c r="B53" s="3068" t="e">
        <f ca="1">'预评函-3'!F5</f>
        <v>#REF!</v>
      </c>
    </row>
    <row r="54" spans="1:2" s="3069" customFormat="1">
      <c r="A54" s="3067" t="s">
        <v>2902</v>
      </c>
      <c r="B54" s="3068" t="str">
        <f>'预评函-3'!A8</f>
        <v>房地产抵押价值</v>
      </c>
    </row>
    <row r="55" spans="1:2" s="3069" customFormat="1">
      <c r="A55" s="3067" t="s">
        <v>2875</v>
      </c>
      <c r="B55" s="3068" t="str">
        <f>'预评函-3'!A10</f>
        <v/>
      </c>
    </row>
    <row r="56" spans="1:2" s="3069" customFormat="1">
      <c r="A56" s="3067" t="s">
        <v>2876</v>
      </c>
      <c r="B56" s="3068" t="str">
        <f>'预评函-3'!A12</f>
        <v/>
      </c>
    </row>
    <row r="57" spans="1:2" s="3063" customFormat="1" ht="15" thickBot="1">
      <c r="A57" s="3070" t="s">
        <v>2903</v>
      </c>
      <c r="B57" s="3071" t="str">
        <f>'预评函-3'!A6</f>
        <v>估价师知悉的法定优先受偿款</v>
      </c>
    </row>
    <row r="58" spans="1:2" s="3066" customFormat="1" ht="15" thickTop="1">
      <c r="A58" s="3064" t="s">
        <v>2846</v>
      </c>
      <c r="B58" s="3065" t="str">
        <f>'预评函-4'!A12</f>
        <v/>
      </c>
    </row>
    <row r="59" spans="1:2" s="3069" customFormat="1">
      <c r="A59" s="3067" t="s">
        <v>2847</v>
      </c>
      <c r="B59" s="3068" t="str">
        <f>'预评函-4'!A13</f>
        <v/>
      </c>
    </row>
    <row r="60" spans="1:2" s="3069" customFormat="1">
      <c r="A60" s="3067" t="s">
        <v>2848</v>
      </c>
      <c r="B60" s="3068" t="str">
        <f>'预评函-4'!A14</f>
        <v/>
      </c>
    </row>
    <row r="61" spans="1:2" s="3069" customFormat="1">
      <c r="A61" s="3067" t="s">
        <v>2849</v>
      </c>
      <c r="B61" s="3068" t="str">
        <f>'预评函-4'!A15</f>
        <v/>
      </c>
    </row>
    <row r="62" spans="1:2" s="3069" customFormat="1">
      <c r="A62" s="3067" t="s">
        <v>2850</v>
      </c>
      <c r="B62" s="3068" t="str">
        <f>'预评函-4'!A16</f>
        <v>（2）根据《工程款支付情况说明》，截至价值时点，估价对象不存在应付未付工程款项。（只要没有施工方盖章的，均“设定”进行表述）</v>
      </c>
    </row>
    <row r="63" spans="1:2" s="3069" customFormat="1">
      <c r="A63" s="3067" t="s">
        <v>2851</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2863</v>
      </c>
      <c r="B64" s="3068" t="str">
        <f>'预评函-4'!A18</f>
        <v/>
      </c>
    </row>
    <row r="65" spans="1:2" s="3069" customFormat="1">
      <c r="A65" s="3067" t="s">
        <v>2852</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2853</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2864</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2865</v>
      </c>
      <c r="B68" s="3068" t="str">
        <f>'预评函-4'!A22</f>
        <v>8.其他需特殊说明事项：无（注意调整序号）</v>
      </c>
    </row>
    <row r="69" spans="1:2" s="3063" customFormat="1" ht="15" thickBot="1">
      <c r="A69" s="3070" t="s">
        <v>2854</v>
      </c>
      <c r="B69" s="3072">
        <f>'预评函-4'!C31</f>
        <v>42551</v>
      </c>
    </row>
    <row r="70" spans="1:2" ht="15" thickTop="1">
      <c r="A70" s="3073" t="s">
        <v>2855</v>
      </c>
      <c r="B70" s="3074">
        <f>'预评函-4'!A4</f>
        <v>0</v>
      </c>
    </row>
    <row r="71" spans="1:2">
      <c r="A71" s="3067" t="s">
        <v>2856</v>
      </c>
      <c r="B71" s="3068">
        <f>'预评函-4'!B4</f>
        <v>0</v>
      </c>
    </row>
    <row r="72" spans="1:2">
      <c r="A72" s="3067" t="s">
        <v>2857</v>
      </c>
      <c r="B72" s="3076">
        <f>'预评函-4'!A5</f>
        <v>0</v>
      </c>
    </row>
    <row r="73" spans="1:2" s="3063" customFormat="1" ht="15" thickBot="1">
      <c r="A73" s="3070" t="s">
        <v>2858</v>
      </c>
      <c r="B73" s="3071">
        <f>'预评函-4'!B5</f>
        <v>0</v>
      </c>
    </row>
    <row r="74" spans="1:2" ht="15" thickTop="1">
      <c r="A74" s="3060" t="s">
        <v>2920</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2658</v>
      </c>
      <c r="R1" s="1487" t="s">
        <v>2648</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2652</v>
      </c>
      <c r="S2" s="292" t="s">
        <v>232</v>
      </c>
      <c r="T2" s="292" t="s">
        <v>233</v>
      </c>
      <c r="U2" s="292" t="s">
        <v>232</v>
      </c>
      <c r="V2" s="292" t="s">
        <v>234</v>
      </c>
      <c r="W2" s="292" t="s">
        <v>232</v>
      </c>
    </row>
    <row r="3" spans="1:23">
      <c r="A3" s="2803" t="s">
        <v>580</v>
      </c>
      <c r="B3" s="2804" t="s">
        <v>2694</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2650</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2653</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2654</v>
      </c>
      <c r="S5" s="292" t="s">
        <v>248</v>
      </c>
      <c r="T5" s="292" t="s">
        <v>249</v>
      </c>
      <c r="U5" s="292" t="s">
        <v>248</v>
      </c>
      <c r="W5" s="292" t="s">
        <v>248</v>
      </c>
    </row>
    <row r="6" spans="1:23">
      <c r="A6" s="2803" t="s">
        <v>586</v>
      </c>
      <c r="B6" s="2804" t="s">
        <v>2695</v>
      </c>
      <c r="C6" s="1773" t="s">
        <v>163</v>
      </c>
      <c r="F6" s="292" t="s">
        <v>250</v>
      </c>
      <c r="H6" s="292" t="s">
        <v>251</v>
      </c>
      <c r="I6" s="292" t="s">
        <v>252</v>
      </c>
      <c r="K6" s="292" t="s">
        <v>253</v>
      </c>
      <c r="L6" s="292" t="s">
        <v>253</v>
      </c>
      <c r="M6" s="292" t="s">
        <v>253</v>
      </c>
      <c r="N6" s="292" t="s">
        <v>253</v>
      </c>
      <c r="O6" s="292" t="s">
        <v>253</v>
      </c>
      <c r="P6" s="292" t="s">
        <v>253</v>
      </c>
      <c r="Q6" s="292" t="s">
        <v>253</v>
      </c>
      <c r="R6" s="2766" t="s">
        <v>2655</v>
      </c>
      <c r="S6" s="292" t="s">
        <v>253</v>
      </c>
      <c r="T6" s="292"/>
      <c r="U6" s="292" t="s">
        <v>253</v>
      </c>
      <c r="W6" s="292" t="s">
        <v>253</v>
      </c>
    </row>
    <row r="7" spans="1:23">
      <c r="A7" s="2803" t="s">
        <v>588</v>
      </c>
      <c r="B7" s="2804" t="s">
        <v>2696</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2883</v>
      </c>
    </row>
    <row r="52" spans="1:4">
      <c r="A52" s="1954" t="s">
        <v>2025</v>
      </c>
      <c r="B52" s="1954" t="s">
        <v>2026</v>
      </c>
      <c r="C52" s="1162" t="s">
        <v>2027</v>
      </c>
      <c r="D52" s="1162" t="s">
        <v>2028</v>
      </c>
    </row>
    <row r="53" spans="1:4">
      <c r="A53" s="3366"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6"/>
      <c r="B54" s="2097" t="s">
        <v>2031</v>
      </c>
      <c r="C54" s="1162" t="s">
        <v>2880</v>
      </c>
    </row>
    <row r="55" spans="1:4">
      <c r="A55" s="3366"/>
      <c r="B55" s="2097" t="s">
        <v>2032</v>
      </c>
      <c r="C55" s="1162" t="s">
        <v>2881</v>
      </c>
    </row>
    <row r="56" spans="1:4">
      <c r="A56" s="3366"/>
      <c r="B56" s="2097" t="s">
        <v>2033</v>
      </c>
      <c r="C56" s="1162" t="s">
        <v>2891</v>
      </c>
    </row>
    <row r="57" spans="1:4">
      <c r="A57" s="3366"/>
      <c r="B57" s="2097" t="s">
        <v>2034</v>
      </c>
      <c r="C57" s="1162" t="s">
        <v>2882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16" sqref="L16"/>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75" t="str">
        <f>IF(B10="北京市","北京市",C10)&amp;F10&amp;IF(结果表!G1="在建","出让国有建设用地使用权及在建建筑物",IF(结果表!G1="土地","出让国有建设用地使用权",))&amp;B9&amp;"预评估"</f>
        <v>预评估</v>
      </c>
      <c r="C1" s="3376"/>
      <c r="D1" s="3376"/>
      <c r="E1" s="3376"/>
      <c r="F1" s="3376"/>
      <c r="G1" s="3376"/>
      <c r="H1" s="3376"/>
      <c r="I1" s="3377"/>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40"/>
      <c r="C3" s="1926" t="s">
        <v>2015</v>
      </c>
      <c r="D3" s="3240"/>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5"/>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2886</v>
      </c>
      <c r="B7" s="3296"/>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78"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79"/>
      <c r="E9" s="1958"/>
      <c r="F9" s="2895"/>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3"/>
      <c r="H10" s="2894"/>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2721</v>
      </c>
      <c r="F12" s="2027" t="s">
        <v>2722</v>
      </c>
      <c r="G12" s="2027" t="s">
        <v>2723</v>
      </c>
      <c r="H12" s="2027" t="s">
        <v>2724</v>
      </c>
      <c r="I12" s="2027" t="s">
        <v>2725</v>
      </c>
      <c r="J12" s="2003"/>
      <c r="K12" s="2106"/>
      <c r="L12" s="1999"/>
      <c r="M12" s="1999"/>
      <c r="N12" s="1197"/>
      <c r="O12" s="11"/>
      <c r="P12" s="1197"/>
      <c r="Q12" s="1197"/>
      <c r="R12" s="1197"/>
    </row>
    <row r="13" spans="1:19" ht="18" customHeight="1">
      <c r="A13" s="2011"/>
      <c r="B13" s="2086"/>
      <c r="C13" s="2087" t="s">
        <v>2105</v>
      </c>
      <c r="D13" s="3239"/>
      <c r="E13" s="3239"/>
      <c r="F13" s="3239"/>
      <c r="G13" s="3239"/>
      <c r="H13" s="3239"/>
      <c r="I13" s="2052"/>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t="str">
        <f>IF(B12="出让",IF(I13="","",ROUNDDOWN(MIN((I13-$D$3)/365,I14),2)),I14)</f>
        <v/>
      </c>
      <c r="J15" s="2003"/>
      <c r="K15" s="2108"/>
      <c r="L15" s="1231"/>
      <c r="M15" s="1231"/>
      <c r="N15" s="2023"/>
      <c r="O15" s="1231"/>
      <c r="P15" s="2023"/>
      <c r="Q15" s="1197"/>
      <c r="R15" s="1197"/>
    </row>
    <row r="16" spans="1:19" ht="30.75" customHeight="1">
      <c r="A16" s="1942" t="s">
        <v>2109</v>
      </c>
      <c r="B16" s="3385"/>
      <c r="C16" s="3386"/>
      <c r="D16" s="3387"/>
      <c r="E16" s="1959" t="s">
        <v>2036</v>
      </c>
      <c r="F16" s="3388"/>
      <c r="G16" s="3389"/>
      <c r="H16" s="3389"/>
      <c r="I16" s="3390"/>
      <c r="J16" s="1197"/>
      <c r="K16" s="2108"/>
      <c r="L16" s="1231"/>
      <c r="M16" s="1231"/>
      <c r="N16" s="2023"/>
      <c r="O16" s="1231"/>
      <c r="P16" s="2023"/>
      <c r="Q16" s="1197"/>
      <c r="R16" s="1197"/>
    </row>
    <row r="17" spans="1:22" ht="18" customHeight="1">
      <c r="A17" s="2010" t="s">
        <v>1965</v>
      </c>
      <c r="B17" s="1943" t="s">
        <v>1966</v>
      </c>
      <c r="C17" s="2089">
        <f>'数据-汇总表'!E3</f>
        <v>0</v>
      </c>
      <c r="D17" s="1944" t="s">
        <v>1967</v>
      </c>
      <c r="E17" s="3391" t="s">
        <v>2023</v>
      </c>
      <c r="F17" s="3392"/>
      <c r="G17" s="3392"/>
      <c r="H17" s="3392"/>
      <c r="I17" s="3393"/>
      <c r="J17" s="1197"/>
      <c r="K17" s="2699"/>
      <c r="L17" s="1231"/>
      <c r="M17" s="1231"/>
      <c r="N17" s="2023"/>
      <c r="O17" s="1231"/>
      <c r="P17" s="2023"/>
      <c r="Q17" s="1197"/>
      <c r="R17" s="1197"/>
      <c r="S17" s="1197"/>
      <c r="T17" s="1197"/>
      <c r="U17" s="1197"/>
      <c r="V17" s="1197"/>
    </row>
    <row r="18" spans="1:22" ht="36" customHeight="1" thickBot="1">
      <c r="A18" s="2901" t="s">
        <v>2717</v>
      </c>
      <c r="B18" s="1927" t="s">
        <v>1968</v>
      </c>
      <c r="C18" s="2902" t="e">
        <f>'数据-汇总表'!D3</f>
        <v>#DIV/0!</v>
      </c>
      <c r="D18" s="2903" t="s">
        <v>1967</v>
      </c>
      <c r="E18" s="3394" t="s">
        <v>3029</v>
      </c>
      <c r="F18" s="3395"/>
      <c r="G18" s="3395"/>
      <c r="H18" s="3395"/>
      <c r="I18" s="3396"/>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1" t="s">
        <v>2061</v>
      </c>
      <c r="C20" s="3382"/>
      <c r="D20" s="3383" t="s">
        <v>2062</v>
      </c>
      <c r="E20" s="3384"/>
      <c r="F20" s="2071" t="s">
        <v>2063</v>
      </c>
      <c r="G20" s="2003"/>
      <c r="H20" s="2003"/>
      <c r="I20" s="2003"/>
      <c r="J20" s="2003"/>
      <c r="K20" s="3380"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0"/>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0"/>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68"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68"/>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68"/>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69"/>
      <c r="B30" s="1943" t="s">
        <v>2081</v>
      </c>
      <c r="C30" s="3370"/>
      <c r="D30" s="3371"/>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372"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373"/>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373"/>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367" t="s">
        <v>2118</v>
      </c>
      <c r="T34" s="2016" t="str">
        <f>NUMBERSTRING(7-K34,1)&amp;"通"</f>
        <v>七通</v>
      </c>
      <c r="U34" s="1197"/>
      <c r="V34" s="1197"/>
    </row>
    <row r="35" spans="1:22" ht="18" customHeight="1">
      <c r="A35" s="2017"/>
      <c r="B35" s="3374" t="s">
        <v>1881</v>
      </c>
      <c r="C35" s="3374"/>
      <c r="D35" s="3374"/>
      <c r="E35" s="3374"/>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67"/>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3049</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c r="B3" s="302">
        <f>IF(C3="否",G5-AT5,G5)</f>
        <v>0</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0</v>
      </c>
      <c r="H5" s="305">
        <f t="shared" ref="H5:AT5" si="0">SUM(H13:H656)</f>
        <v>0</v>
      </c>
      <c r="I5" s="305">
        <f t="shared" si="0"/>
        <v>0</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0</v>
      </c>
      <c r="BA5" s="307">
        <f t="shared" si="1"/>
        <v>0</v>
      </c>
      <c r="BB5" s="307">
        <f t="shared" si="1"/>
        <v>0</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t="e">
        <f>H6+AC6+AT6</f>
        <v>#DIV/0!</v>
      </c>
      <c r="F6" s="305" t="s">
        <v>23</v>
      </c>
      <c r="G6" s="305" t="s">
        <v>25</v>
      </c>
      <c r="H6" s="309" t="e">
        <f>SUMIF(I$12:AB$12,"总值",I6:AB6)</f>
        <v>#DIV/0!</v>
      </c>
      <c r="I6" s="305" t="e">
        <f t="shared" ref="I6:AB6" si="2">ROUND($A$3*I5/$B$3,2)</f>
        <v>#DIV/0!</v>
      </c>
      <c r="J6" s="305" t="e">
        <f t="shared" si="2"/>
        <v>#DIV/0!</v>
      </c>
      <c r="K6" s="305" t="e">
        <f t="shared" si="2"/>
        <v>#DIV/0!</v>
      </c>
      <c r="L6" s="305" t="e">
        <f t="shared" si="2"/>
        <v>#DIV/0!</v>
      </c>
      <c r="M6" s="305" t="e">
        <f t="shared" si="2"/>
        <v>#DIV/0!</v>
      </c>
      <c r="N6" s="305" t="e">
        <f t="shared" si="2"/>
        <v>#DIV/0!</v>
      </c>
      <c r="O6" s="305" t="e">
        <f t="shared" si="2"/>
        <v>#DIV/0!</v>
      </c>
      <c r="P6" s="305" t="e">
        <f t="shared" si="2"/>
        <v>#DIV/0!</v>
      </c>
      <c r="Q6" s="305" t="e">
        <f t="shared" si="2"/>
        <v>#DIV/0!</v>
      </c>
      <c r="R6" s="305" t="e">
        <f t="shared" si="2"/>
        <v>#DIV/0!</v>
      </c>
      <c r="S6" s="305" t="e">
        <f t="shared" si="2"/>
        <v>#DIV/0!</v>
      </c>
      <c r="T6" s="305" t="e">
        <f t="shared" si="2"/>
        <v>#DIV/0!</v>
      </c>
      <c r="U6" s="305" t="e">
        <f t="shared" si="2"/>
        <v>#DIV/0!</v>
      </c>
      <c r="V6" s="305" t="e">
        <f t="shared" si="2"/>
        <v>#DIV/0!</v>
      </c>
      <c r="W6" s="305" t="e">
        <f t="shared" si="2"/>
        <v>#DIV/0!</v>
      </c>
      <c r="X6" s="305" t="e">
        <f t="shared" si="2"/>
        <v>#DIV/0!</v>
      </c>
      <c r="Y6" s="305" t="e">
        <f t="shared" si="2"/>
        <v>#DIV/0!</v>
      </c>
      <c r="Z6" s="305" t="e">
        <f t="shared" si="2"/>
        <v>#DIV/0!</v>
      </c>
      <c r="AA6" s="305" t="e">
        <f t="shared" si="2"/>
        <v>#DIV/0!</v>
      </c>
      <c r="AB6" s="305" t="e">
        <f t="shared" si="2"/>
        <v>#DIV/0!</v>
      </c>
      <c r="AC6" s="309" t="e">
        <f>SUMIF(AD$12:AS$12,"总值",AD6:AS6)</f>
        <v>#DIV/0!</v>
      </c>
      <c r="AD6" s="305" t="e">
        <f t="shared" ref="AD6:AS6" si="3">ROUND($A$3*AD5/$B$3,2)</f>
        <v>#DIV/0!</v>
      </c>
      <c r="AE6" s="305" t="e">
        <f t="shared" si="3"/>
        <v>#DIV/0!</v>
      </c>
      <c r="AF6" s="305" t="e">
        <f t="shared" si="3"/>
        <v>#DIV/0!</v>
      </c>
      <c r="AG6" s="305" t="e">
        <f t="shared" si="3"/>
        <v>#DIV/0!</v>
      </c>
      <c r="AH6" s="305" t="e">
        <f t="shared" si="3"/>
        <v>#DIV/0!</v>
      </c>
      <c r="AI6" s="305" t="e">
        <f t="shared" si="3"/>
        <v>#DIV/0!</v>
      </c>
      <c r="AJ6" s="305" t="e">
        <f t="shared" si="3"/>
        <v>#DIV/0!</v>
      </c>
      <c r="AK6" s="305" t="e">
        <f t="shared" si="3"/>
        <v>#DIV/0!</v>
      </c>
      <c r="AL6" s="305" t="e">
        <f t="shared" si="3"/>
        <v>#DIV/0!</v>
      </c>
      <c r="AM6" s="305" t="e">
        <f t="shared" si="3"/>
        <v>#DIV/0!</v>
      </c>
      <c r="AN6" s="305" t="e">
        <f t="shared" si="3"/>
        <v>#DIV/0!</v>
      </c>
      <c r="AO6" s="305" t="e">
        <f t="shared" si="3"/>
        <v>#DIV/0!</v>
      </c>
      <c r="AP6" s="305" t="e">
        <f t="shared" si="3"/>
        <v>#DIV/0!</v>
      </c>
      <c r="AQ6" s="305" t="e">
        <f t="shared" si="3"/>
        <v>#DIV/0!</v>
      </c>
      <c r="AR6" s="305" t="e">
        <f t="shared" si="3"/>
        <v>#DIV/0!</v>
      </c>
      <c r="AS6" s="305" t="e">
        <f t="shared" si="3"/>
        <v>#DIV/0!</v>
      </c>
      <c r="AT6" s="309">
        <f>IF(C3="是",ROUND($A$3*AT5/$B$3,2),0)</f>
        <v>0</v>
      </c>
      <c r="AU6" s="225"/>
      <c r="AV6" s="83" t="s">
        <v>621</v>
      </c>
      <c r="AW6" s="223"/>
      <c r="AX6" s="223"/>
      <c r="AY6" s="310" t="e">
        <f>IF(AY3&gt;0,AY3,ROUND($A$3*AZ5/$B$3,2))</f>
        <v>#DIV/0!</v>
      </c>
      <c r="AZ6" s="305" t="s">
        <v>29</v>
      </c>
      <c r="BA6" s="305" t="e">
        <f>ROUND($AY$6*BA5/$AZ$5,2)</f>
        <v>#DIV/0!</v>
      </c>
      <c r="BB6" s="305" t="e">
        <f>ROUND($AY$6*BB5/$AZ$5,2)</f>
        <v>#DIV/0!</v>
      </c>
      <c r="BC6" s="305" t="e">
        <f t="shared" ref="BC6:BH6" si="4">ROUND($AY$6*BC5/$AZ$5,2)</f>
        <v>#DIV/0!</v>
      </c>
      <c r="BD6" s="305" t="e">
        <f t="shared" si="4"/>
        <v>#DIV/0!</v>
      </c>
      <c r="BE6" s="305" t="e">
        <f t="shared" si="4"/>
        <v>#DIV/0!</v>
      </c>
      <c r="BF6" s="305" t="e">
        <f t="shared" si="4"/>
        <v>#DIV/0!</v>
      </c>
      <c r="BG6" s="305" t="e">
        <f t="shared" si="4"/>
        <v>#DIV/0!</v>
      </c>
      <c r="BH6" s="305" t="e">
        <f t="shared" si="4"/>
        <v>#DIV/0!</v>
      </c>
      <c r="BI6" s="305" t="e">
        <f t="shared" ref="BI6:BT6" si="5">ROUND($AY$6*BI5/$AZ$5,2)</f>
        <v>#DIV/0!</v>
      </c>
      <c r="BJ6" s="305" t="e">
        <f t="shared" si="5"/>
        <v>#DIV/0!</v>
      </c>
      <c r="BK6" s="305" t="e">
        <f t="shared" si="5"/>
        <v>#DIV/0!</v>
      </c>
      <c r="BL6" s="305" t="e">
        <f t="shared" si="5"/>
        <v>#DIV/0!</v>
      </c>
      <c r="BM6" s="305" t="e">
        <f t="shared" si="5"/>
        <v>#DIV/0!</v>
      </c>
      <c r="BN6" s="305" t="e">
        <f t="shared" si="5"/>
        <v>#DIV/0!</v>
      </c>
      <c r="BO6" s="305" t="e">
        <f t="shared" si="5"/>
        <v>#DIV/0!</v>
      </c>
      <c r="BP6" s="305" t="e">
        <f t="shared" si="5"/>
        <v>#DIV/0!</v>
      </c>
      <c r="BQ6" s="305" t="e">
        <f t="shared" si="5"/>
        <v>#DIV/0!</v>
      </c>
      <c r="BR6" s="305" t="e">
        <f t="shared" si="5"/>
        <v>#DIV/0!</v>
      </c>
      <c r="BS6" s="305" t="e">
        <f t="shared" si="5"/>
        <v>#DIV/0!</v>
      </c>
      <c r="BT6" s="311" t="e">
        <f t="shared" si="5"/>
        <v>#DIV/0!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f>I9</f>
        <v>0</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f>I10</f>
        <v>0</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c r="E13" s="305" t="e">
        <f>IF($C$3="是",ROUND($A$3*G13/$B$3,2),ROUND($A$3*(G13-AT13)/$B$3,2))</f>
        <v>#DIV/0!</v>
      </c>
      <c r="F13" s="321"/>
      <c r="G13" s="322">
        <f>H13+AC13+AT13</f>
        <v>0</v>
      </c>
      <c r="H13" s="309">
        <f>SUMIF(I$12:AB$12,"总值",I13:AB13)</f>
        <v>0</v>
      </c>
      <c r="I13" s="1418"/>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t="e">
        <f>ROUND($AY$6*AZ13/$AZ$5,2)</f>
        <v>#DIV/0!</v>
      </c>
      <c r="AZ13" s="305">
        <f>BA13+BL13</f>
        <v>0</v>
      </c>
      <c r="BA13" s="305">
        <f>SUM(BB13:BK13)</f>
        <v>0</v>
      </c>
      <c r="BB13" s="305">
        <f>IF($D13="是",I13-J13,0)</f>
        <v>0</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t="e">
        <f>IF($C$3="是",ROUND($A$3*G14/$B$3,2),ROUND($A$3*(G14-AT14)/$B$3,2))</f>
        <v>#DIV/0!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t="e">
        <f>ROUND($AY$6*AZ14/$AZ$5,2)</f>
        <v>#DIV/0!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t="e">
        <f>IF($C$3="是",ROUND($A$3*G15/$B$3,2),ROUND($A$3*(G15-AT15)/$B$3,2))</f>
        <v>#DIV/0!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t="e">
        <f>ROUND($AY$6*AZ15/$AZ$5,2)</f>
        <v>#DIV/0!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t="e">
        <f>IF($C$3="是",ROUND($A$3*G16/$B$3,2),ROUND($A$3*(G16-AT16)/$B$3,2))</f>
        <v>#DIV/0!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t="e">
        <f>ROUND($AY$6*AZ16/$AZ$5,2)</f>
        <v>#DIV/0!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t="e">
        <f>IF($C$3="是",ROUND($A$3*G17/$B$3,2),ROUND($A$3*(G17-AT17)/$B$3,2))</f>
        <v>#DIV/0!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t="e">
        <f>ROUND($AY$6*AZ17/$AZ$5,2)</f>
        <v>#DIV/0!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t="e">
        <f t="shared" ref="E18:E112" si="7">IF($C$3="是",ROUND($A$3*G18/$B$3,2),ROUND($A$3*(G18-AT18)/$B$3,2))</f>
        <v>#DIV/0!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t="e">
        <f t="shared" ref="AY18:AY109" si="14">ROUND($AY$6*AZ18/$AZ$5,2)</f>
        <v>#DIV/0!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t="e">
        <f t="shared" si="7"/>
        <v>#DIV/0!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t="e">
        <f t="shared" si="14"/>
        <v>#DIV/0!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t="e">
        <f t="shared" si="7"/>
        <v>#DIV/0!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t="e">
        <f t="shared" si="14"/>
        <v>#DIV/0!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t="e">
        <f t="shared" si="7"/>
        <v>#DIV/0!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t="e">
        <f t="shared" si="14"/>
        <v>#DIV/0!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t="e">
        <f t="shared" si="7"/>
        <v>#DIV/0!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t="e">
        <f t="shared" si="14"/>
        <v>#DIV/0!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t="e">
        <f t="shared" si="7"/>
        <v>#DIV/0!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t="e">
        <f t="shared" si="14"/>
        <v>#DIV/0!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t="e">
        <f t="shared" si="7"/>
        <v>#DIV/0!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t="e">
        <f t="shared" si="14"/>
        <v>#DIV/0!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t="e">
        <f t="shared" si="7"/>
        <v>#DIV/0!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t="e">
        <f t="shared" si="14"/>
        <v>#DIV/0!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t="e">
        <f t="shared" si="7"/>
        <v>#DIV/0!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t="e">
        <f t="shared" si="14"/>
        <v>#DIV/0!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t="e">
        <f t="shared" si="7"/>
        <v>#DIV/0!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t="e">
        <f t="shared" si="14"/>
        <v>#DIV/0!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t="e">
        <f t="shared" si="7"/>
        <v>#DIV/0!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t="e">
        <f t="shared" si="14"/>
        <v>#DIV/0!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t="e">
        <f t="shared" si="7"/>
        <v>#DIV/0!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t="e">
        <f t="shared" si="14"/>
        <v>#DIV/0!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t="e">
        <f t="shared" si="7"/>
        <v>#DIV/0!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t="e">
        <f t="shared" si="14"/>
        <v>#DIV/0!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t="e">
        <f t="shared" si="7"/>
        <v>#DIV/0!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t="e">
        <f t="shared" si="14"/>
        <v>#DIV/0!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t="e">
        <f t="shared" si="7"/>
        <v>#DIV/0!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t="e">
        <f t="shared" si="14"/>
        <v>#DIV/0!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t="e">
        <f t="shared" si="7"/>
        <v>#DIV/0!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t="e">
        <f t="shared" si="14"/>
        <v>#DIV/0!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t="e">
        <f t="shared" si="7"/>
        <v>#DIV/0!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t="e">
        <f t="shared" si="14"/>
        <v>#DIV/0!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t="e">
        <f t="shared" si="7"/>
        <v>#DIV/0!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t="e">
        <f t="shared" si="14"/>
        <v>#DIV/0!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t="e">
        <f t="shared" si="7"/>
        <v>#DIV/0!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t="e">
        <f t="shared" si="14"/>
        <v>#DIV/0!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t="e">
        <f t="shared" si="7"/>
        <v>#DIV/0!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t="e">
        <f t="shared" si="14"/>
        <v>#DIV/0!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t="e">
        <f t="shared" si="7"/>
        <v>#DIV/0!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t="e">
        <f t="shared" si="14"/>
        <v>#DIV/0!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t="e">
        <f t="shared" si="7"/>
        <v>#DIV/0!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t="e">
        <f t="shared" si="14"/>
        <v>#DIV/0!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t="e">
        <f t="shared" si="7"/>
        <v>#DIV/0!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t="e">
        <f t="shared" si="14"/>
        <v>#DIV/0!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t="e">
        <f t="shared" si="7"/>
        <v>#DIV/0!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t="e">
        <f t="shared" si="14"/>
        <v>#DIV/0!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t="e">
        <f t="shared" si="7"/>
        <v>#DIV/0!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t="e">
        <f t="shared" si="14"/>
        <v>#DIV/0!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t="e">
        <f t="shared" si="7"/>
        <v>#DIV/0!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t="e">
        <f t="shared" si="14"/>
        <v>#DIV/0!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t="e">
        <f t="shared" si="7"/>
        <v>#DIV/0!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t="e">
        <f t="shared" si="14"/>
        <v>#DIV/0!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t="e">
        <f t="shared" si="7"/>
        <v>#DIV/0!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t="e">
        <f t="shared" si="14"/>
        <v>#DIV/0!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t="e">
        <f t="shared" si="7"/>
        <v>#DIV/0!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t="e">
        <f t="shared" si="14"/>
        <v>#DIV/0!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t="e">
        <f t="shared" si="7"/>
        <v>#DIV/0!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t="e">
        <f t="shared" si="14"/>
        <v>#DIV/0!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t="e">
        <f t="shared" si="7"/>
        <v>#DIV/0!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t="e">
        <f t="shared" si="14"/>
        <v>#DIV/0!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t="e">
        <f t="shared" si="7"/>
        <v>#DIV/0!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t="e">
        <f t="shared" si="14"/>
        <v>#DIV/0!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t="e">
        <f t="shared" si="7"/>
        <v>#DIV/0!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t="e">
        <f t="shared" si="14"/>
        <v>#DIV/0!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t="e">
        <f t="shared" si="7"/>
        <v>#DIV/0!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t="e">
        <f t="shared" si="14"/>
        <v>#DIV/0!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t="e">
        <f t="shared" si="7"/>
        <v>#DIV/0!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t="e">
        <f t="shared" si="14"/>
        <v>#DIV/0!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t="e">
        <f t="shared" si="7"/>
        <v>#DIV/0!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t="e">
        <f t="shared" si="14"/>
        <v>#DIV/0!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t="e">
        <f t="shared" si="7"/>
        <v>#DIV/0!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t="e">
        <f t="shared" si="14"/>
        <v>#DIV/0!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t="e">
        <f t="shared" si="7"/>
        <v>#DIV/0!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t="e">
        <f t="shared" si="14"/>
        <v>#DIV/0!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t="e">
        <f t="shared" si="7"/>
        <v>#DIV/0!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t="e">
        <f t="shared" si="14"/>
        <v>#DIV/0!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t="e">
        <f t="shared" si="7"/>
        <v>#DIV/0!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t="e">
        <f t="shared" si="14"/>
        <v>#DIV/0!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t="e">
        <f t="shared" si="7"/>
        <v>#DIV/0!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t="e">
        <f t="shared" si="14"/>
        <v>#DIV/0!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t="e">
        <f t="shared" si="7"/>
        <v>#DIV/0!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t="e">
        <f t="shared" si="14"/>
        <v>#DIV/0!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t="e">
        <f t="shared" si="7"/>
        <v>#DIV/0!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t="e">
        <f t="shared" si="14"/>
        <v>#DIV/0!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t="e">
        <f t="shared" si="7"/>
        <v>#DIV/0!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t="e">
        <f t="shared" si="14"/>
        <v>#DIV/0!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t="e">
        <f t="shared" si="7"/>
        <v>#DIV/0!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t="e">
        <f t="shared" si="14"/>
        <v>#DIV/0!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t="e">
        <f t="shared" si="7"/>
        <v>#DIV/0!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t="e">
        <f t="shared" si="14"/>
        <v>#DIV/0!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t="e">
        <f t="shared" si="7"/>
        <v>#DIV/0!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t="e">
        <f t="shared" si="14"/>
        <v>#DIV/0!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t="e">
        <f t="shared" si="7"/>
        <v>#DIV/0!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t="e">
        <f t="shared" si="14"/>
        <v>#DIV/0!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t="e">
        <f t="shared" si="7"/>
        <v>#DIV/0!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t="e">
        <f t="shared" si="14"/>
        <v>#DIV/0!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t="e">
        <f t="shared" si="7"/>
        <v>#DIV/0!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t="e">
        <f t="shared" si="14"/>
        <v>#DIV/0!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t="e">
        <f t="shared" si="7"/>
        <v>#DIV/0!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t="e">
        <f t="shared" si="14"/>
        <v>#DIV/0!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t="e">
        <f t="shared" si="7"/>
        <v>#DIV/0!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t="e">
        <f t="shared" si="14"/>
        <v>#DIV/0!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t="e">
        <f t="shared" si="7"/>
        <v>#DIV/0!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t="e">
        <f t="shared" si="14"/>
        <v>#DIV/0!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t="e">
        <f t="shared" si="7"/>
        <v>#DIV/0!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t="e">
        <f t="shared" si="14"/>
        <v>#DIV/0!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t="e">
        <f t="shared" si="7"/>
        <v>#DIV/0!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t="e">
        <f t="shared" si="14"/>
        <v>#DIV/0!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t="e">
        <f t="shared" si="7"/>
        <v>#DIV/0!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t="e">
        <f t="shared" si="14"/>
        <v>#DIV/0!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t="e">
        <f t="shared" si="7"/>
        <v>#DIV/0!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t="e">
        <f t="shared" si="14"/>
        <v>#DIV/0!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t="e">
        <f t="shared" si="7"/>
        <v>#DIV/0!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t="e">
        <f t="shared" si="14"/>
        <v>#DIV/0!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t="e">
        <f t="shared" si="7"/>
        <v>#DIV/0!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t="e">
        <f t="shared" si="14"/>
        <v>#DIV/0!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t="e">
        <f t="shared" si="7"/>
        <v>#DIV/0!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t="e">
        <f t="shared" si="14"/>
        <v>#DIV/0!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t="e">
        <f t="shared" si="7"/>
        <v>#DIV/0!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t="e">
        <f t="shared" si="14"/>
        <v>#DIV/0!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t="e">
        <f t="shared" si="7"/>
        <v>#DIV/0!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t="e">
        <f t="shared" si="14"/>
        <v>#DIV/0!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t="e">
        <f t="shared" si="7"/>
        <v>#DIV/0!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t="e">
        <f t="shared" si="14"/>
        <v>#DIV/0!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t="e">
        <f t="shared" si="7"/>
        <v>#DIV/0!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t="e">
        <f t="shared" si="14"/>
        <v>#DIV/0!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t="e">
        <f t="shared" si="7"/>
        <v>#DIV/0!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t="e">
        <f t="shared" si="14"/>
        <v>#DIV/0!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t="e">
        <f t="shared" si="7"/>
        <v>#DIV/0!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t="e">
        <f t="shared" si="14"/>
        <v>#DIV/0!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t="e">
        <f t="shared" si="7"/>
        <v>#DIV/0!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t="e">
        <f t="shared" si="14"/>
        <v>#DIV/0!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t="e">
        <f t="shared" si="7"/>
        <v>#DIV/0!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t="e">
        <f t="shared" si="14"/>
        <v>#DIV/0!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t="e">
        <f t="shared" si="7"/>
        <v>#DIV/0!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t="e">
        <f t="shared" si="14"/>
        <v>#DIV/0!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t="e">
        <f t="shared" si="7"/>
        <v>#DIV/0!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t="e">
        <f t="shared" si="14"/>
        <v>#DIV/0!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t="e">
        <f t="shared" si="7"/>
        <v>#DIV/0!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t="e">
        <f t="shared" si="14"/>
        <v>#DIV/0!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t="e">
        <f t="shared" si="7"/>
        <v>#DIV/0!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t="e">
        <f t="shared" si="14"/>
        <v>#DIV/0!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t="e">
        <f t="shared" si="7"/>
        <v>#DIV/0!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t="e">
        <f t="shared" si="14"/>
        <v>#DIV/0!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t="e">
        <f t="shared" si="7"/>
        <v>#DIV/0!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t="e">
        <f t="shared" si="14"/>
        <v>#DIV/0!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t="e">
        <f t="shared" si="7"/>
        <v>#DIV/0!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t="e">
        <f t="shared" si="14"/>
        <v>#DIV/0!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t="e">
        <f t="shared" si="7"/>
        <v>#DIV/0!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t="e">
        <f t="shared" si="14"/>
        <v>#DIV/0!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t="e">
        <f t="shared" si="7"/>
        <v>#DIV/0!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t="e">
        <f t="shared" si="14"/>
        <v>#DIV/0!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t="e">
        <f t="shared" si="7"/>
        <v>#DIV/0!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t="e">
        <f t="shared" si="14"/>
        <v>#DIV/0!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t="e">
        <f t="shared" si="7"/>
        <v>#DIV/0!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t="e">
        <f t="shared" si="14"/>
        <v>#DIV/0!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t="e">
        <f t="shared" si="7"/>
        <v>#DIV/0!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t="e">
        <f t="shared" si="14"/>
        <v>#DIV/0!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t="e">
        <f t="shared" si="7"/>
        <v>#DIV/0!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t="e">
        <f t="shared" si="14"/>
        <v>#DIV/0!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t="e">
        <f t="shared" si="7"/>
        <v>#DIV/0!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t="e">
        <f t="shared" si="14"/>
        <v>#DIV/0!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t="e">
        <f t="shared" si="7"/>
        <v>#DIV/0!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t="e">
        <f t="shared" si="14"/>
        <v>#DIV/0!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t="e">
        <f t="shared" si="7"/>
        <v>#DIV/0!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t="e">
        <f t="shared" si="14"/>
        <v>#DIV/0!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t="e">
        <f t="shared" si="7"/>
        <v>#DIV/0!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t="e">
        <f t="shared" si="14"/>
        <v>#DIV/0!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t="e">
        <f t="shared" si="7"/>
        <v>#DIV/0!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t="e">
        <f t="shared" si="14"/>
        <v>#DIV/0!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t="e">
        <f t="shared" si="7"/>
        <v>#DIV/0!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t="e">
        <f t="shared" si="14"/>
        <v>#DIV/0!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t="e">
        <f t="shared" si="7"/>
        <v>#DIV/0!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t="e">
        <f t="shared" si="14"/>
        <v>#DIV/0!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t="e">
        <f t="shared" si="7"/>
        <v>#DIV/0!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t="e">
        <f t="shared" si="14"/>
        <v>#DIV/0!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t="e">
        <f t="shared" si="7"/>
        <v>#DIV/0!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t="e">
        <f t="shared" si="14"/>
        <v>#DIV/0!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t="e">
        <f t="shared" si="7"/>
        <v>#DIV/0!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t="e">
        <f t="shared" si="14"/>
        <v>#DIV/0!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t="e">
        <f t="shared" si="7"/>
        <v>#DIV/0!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t="e">
        <f t="shared" si="14"/>
        <v>#DIV/0!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t="e">
        <f t="shared" si="7"/>
        <v>#DIV/0!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t="e">
        <f t="shared" ref="AY110:AY141" si="39">ROUND($AY$6*AZ110/$AZ$5,2)</f>
        <v>#DIV/0!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t="e">
        <f t="shared" si="7"/>
        <v>#DIV/0!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t="e">
        <f t="shared" si="39"/>
        <v>#DIV/0!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t="e">
        <f t="shared" si="7"/>
        <v>#DIV/0!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t="e">
        <f t="shared" si="39"/>
        <v>#DIV/0!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t="e">
        <f t="shared" ref="E113:E144" si="61">IF($C$3="是",ROUND($A$3*G113/$B$3,2),ROUND($A$3*(G113-AT113)/$B$3,2))</f>
        <v>#DIV/0!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t="e">
        <f t="shared" si="39"/>
        <v>#DIV/0!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t="e">
        <f t="shared" si="61"/>
        <v>#DIV/0!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t="e">
        <f t="shared" si="39"/>
        <v>#DIV/0!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t="e">
        <f t="shared" si="61"/>
        <v>#DIV/0!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t="e">
        <f t="shared" si="39"/>
        <v>#DIV/0!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t="e">
        <f t="shared" si="61"/>
        <v>#DIV/0!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t="e">
        <f t="shared" si="39"/>
        <v>#DIV/0!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t="e">
        <f t="shared" si="61"/>
        <v>#DIV/0!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t="e">
        <f t="shared" si="39"/>
        <v>#DIV/0!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t="e">
        <f t="shared" si="61"/>
        <v>#DIV/0!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t="e">
        <f t="shared" si="39"/>
        <v>#DIV/0!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t="e">
        <f t="shared" si="61"/>
        <v>#DIV/0!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t="e">
        <f t="shared" si="39"/>
        <v>#DIV/0!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t="e">
        <f t="shared" si="61"/>
        <v>#DIV/0!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t="e">
        <f t="shared" si="39"/>
        <v>#DIV/0!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t="e">
        <f t="shared" si="61"/>
        <v>#DIV/0!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t="e">
        <f t="shared" si="39"/>
        <v>#DIV/0!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t="e">
        <f t="shared" si="61"/>
        <v>#DIV/0!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t="e">
        <f t="shared" si="39"/>
        <v>#DIV/0!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t="e">
        <f t="shared" si="61"/>
        <v>#DIV/0!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t="e">
        <f t="shared" si="39"/>
        <v>#DIV/0!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t="e">
        <f t="shared" si="61"/>
        <v>#DIV/0!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t="e">
        <f t="shared" si="39"/>
        <v>#DIV/0!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t="e">
        <f t="shared" si="61"/>
        <v>#DIV/0!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t="e">
        <f t="shared" si="39"/>
        <v>#DIV/0!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t="e">
        <f t="shared" si="61"/>
        <v>#DIV/0!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t="e">
        <f t="shared" si="39"/>
        <v>#DIV/0!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t="e">
        <f t="shared" si="61"/>
        <v>#DIV/0!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t="e">
        <f t="shared" si="39"/>
        <v>#DIV/0!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t="e">
        <f t="shared" si="61"/>
        <v>#DIV/0!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t="e">
        <f t="shared" si="39"/>
        <v>#DIV/0!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t="e">
        <f t="shared" si="61"/>
        <v>#DIV/0!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t="e">
        <f t="shared" si="39"/>
        <v>#DIV/0!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t="e">
        <f t="shared" si="61"/>
        <v>#DIV/0!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t="e">
        <f t="shared" si="39"/>
        <v>#DIV/0!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t="e">
        <f t="shared" si="61"/>
        <v>#DIV/0!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t="e">
        <f t="shared" si="39"/>
        <v>#DIV/0!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t="e">
        <f t="shared" si="61"/>
        <v>#DIV/0!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t="e">
        <f t="shared" si="39"/>
        <v>#DIV/0!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t="e">
        <f t="shared" si="61"/>
        <v>#DIV/0!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t="e">
        <f t="shared" si="39"/>
        <v>#DIV/0!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t="e">
        <f t="shared" si="61"/>
        <v>#DIV/0!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t="e">
        <f t="shared" si="39"/>
        <v>#DIV/0!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t="e">
        <f t="shared" si="61"/>
        <v>#DIV/0!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t="e">
        <f t="shared" si="39"/>
        <v>#DIV/0!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t="e">
        <f t="shared" si="61"/>
        <v>#DIV/0!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t="e">
        <f t="shared" si="39"/>
        <v>#DIV/0!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t="e">
        <f t="shared" si="61"/>
        <v>#DIV/0!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t="e">
        <f t="shared" si="39"/>
        <v>#DIV/0!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t="e">
        <f t="shared" si="61"/>
        <v>#DIV/0!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t="e">
        <f t="shared" si="39"/>
        <v>#DIV/0!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t="e">
        <f t="shared" si="61"/>
        <v>#DIV/0!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t="e">
        <f t="shared" si="39"/>
        <v>#DIV/0!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t="e">
        <f t="shared" si="61"/>
        <v>#DIV/0!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t="e">
        <f t="shared" si="39"/>
        <v>#DIV/0!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t="e">
        <f t="shared" si="61"/>
        <v>#DIV/0!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t="e">
        <f t="shared" si="39"/>
        <v>#DIV/0!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t="e">
        <f t="shared" si="61"/>
        <v>#DIV/0!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t="e">
        <f t="shared" ref="AY142:AY173" si="68">ROUND($AY$6*AZ142/$AZ$5,2)</f>
        <v>#DIV/0!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t="e">
        <f t="shared" si="61"/>
        <v>#DIV/0!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t="e">
        <f t="shared" si="68"/>
        <v>#DIV/0!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t="e">
        <f t="shared" si="61"/>
        <v>#DIV/0!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t="e">
        <f t="shared" si="68"/>
        <v>#DIV/0!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t="e">
        <f t="shared" ref="E145:E176" si="90">IF($C$3="是",ROUND($A$3*G145/$B$3,2),ROUND($A$3*(G145-AT145)/$B$3,2))</f>
        <v>#DIV/0!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t="e">
        <f t="shared" si="68"/>
        <v>#DIV/0!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t="e">
        <f t="shared" si="90"/>
        <v>#DIV/0!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t="e">
        <f t="shared" si="68"/>
        <v>#DIV/0!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t="e">
        <f t="shared" si="90"/>
        <v>#DIV/0!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t="e">
        <f t="shared" si="68"/>
        <v>#DIV/0!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t="e">
        <f t="shared" si="90"/>
        <v>#DIV/0!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t="e">
        <f t="shared" si="68"/>
        <v>#DIV/0!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t="e">
        <f t="shared" si="90"/>
        <v>#DIV/0!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t="e">
        <f t="shared" si="68"/>
        <v>#DIV/0!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t="e">
        <f t="shared" si="90"/>
        <v>#DIV/0!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t="e">
        <f t="shared" si="68"/>
        <v>#DIV/0!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t="e">
        <f t="shared" si="90"/>
        <v>#DIV/0!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t="e">
        <f t="shared" si="68"/>
        <v>#DIV/0!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t="e">
        <f t="shared" si="90"/>
        <v>#DIV/0!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t="e">
        <f t="shared" si="68"/>
        <v>#DIV/0!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t="e">
        <f t="shared" si="90"/>
        <v>#DIV/0!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t="e">
        <f t="shared" si="68"/>
        <v>#DIV/0!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t="e">
        <f t="shared" si="90"/>
        <v>#DIV/0!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t="e">
        <f t="shared" si="68"/>
        <v>#DIV/0!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t="e">
        <f t="shared" si="90"/>
        <v>#DIV/0!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t="e">
        <f t="shared" si="68"/>
        <v>#DIV/0!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t="e">
        <f t="shared" si="90"/>
        <v>#DIV/0!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t="e">
        <f t="shared" si="68"/>
        <v>#DIV/0!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t="e">
        <f t="shared" si="90"/>
        <v>#DIV/0!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t="e">
        <f t="shared" si="68"/>
        <v>#DIV/0!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t="e">
        <f t="shared" si="90"/>
        <v>#DIV/0!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t="e">
        <f t="shared" si="68"/>
        <v>#DIV/0!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t="e">
        <f t="shared" si="90"/>
        <v>#DIV/0!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t="e">
        <f t="shared" si="68"/>
        <v>#DIV/0!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t="e">
        <f t="shared" si="90"/>
        <v>#DIV/0!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t="e">
        <f t="shared" si="68"/>
        <v>#DIV/0!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t="e">
        <f t="shared" si="90"/>
        <v>#DIV/0!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t="e">
        <f t="shared" si="68"/>
        <v>#DIV/0!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t="e">
        <f t="shared" si="90"/>
        <v>#DIV/0!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t="e">
        <f t="shared" si="68"/>
        <v>#DIV/0!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t="e">
        <f t="shared" si="90"/>
        <v>#DIV/0!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t="e">
        <f t="shared" si="68"/>
        <v>#DIV/0!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t="e">
        <f t="shared" si="90"/>
        <v>#DIV/0!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t="e">
        <f t="shared" si="68"/>
        <v>#DIV/0!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t="e">
        <f t="shared" si="90"/>
        <v>#DIV/0!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t="e">
        <f t="shared" si="68"/>
        <v>#DIV/0!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t="e">
        <f t="shared" si="90"/>
        <v>#DIV/0!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t="e">
        <f t="shared" si="68"/>
        <v>#DIV/0!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t="e">
        <f t="shared" si="90"/>
        <v>#DIV/0!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t="e">
        <f t="shared" si="68"/>
        <v>#DIV/0!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t="e">
        <f t="shared" si="90"/>
        <v>#DIV/0!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t="e">
        <f t="shared" si="68"/>
        <v>#DIV/0!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t="e">
        <f t="shared" si="90"/>
        <v>#DIV/0!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t="e">
        <f t="shared" si="68"/>
        <v>#DIV/0!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t="e">
        <f t="shared" si="90"/>
        <v>#DIV/0!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t="e">
        <f t="shared" si="68"/>
        <v>#DIV/0!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t="e">
        <f t="shared" si="90"/>
        <v>#DIV/0!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t="e">
        <f t="shared" si="68"/>
        <v>#DIV/0!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t="e">
        <f t="shared" si="90"/>
        <v>#DIV/0!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t="e">
        <f t="shared" si="68"/>
        <v>#DIV/0!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t="e">
        <f t="shared" si="90"/>
        <v>#DIV/0!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t="e">
        <f t="shared" si="68"/>
        <v>#DIV/0!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t="e">
        <f t="shared" si="90"/>
        <v>#DIV/0!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t="e">
        <f t="shared" ref="AY174:AY205" si="97">ROUND($AY$6*AZ174/$AZ$5,2)</f>
        <v>#DIV/0!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t="e">
        <f t="shared" si="90"/>
        <v>#DIV/0!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t="e">
        <f t="shared" si="97"/>
        <v>#DIV/0!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t="e">
        <f t="shared" si="90"/>
        <v>#DIV/0!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t="e">
        <f t="shared" si="97"/>
        <v>#DIV/0!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t="e">
        <f t="shared" ref="E177:E207" si="119">IF($C$3="是",ROUND($A$3*G177/$B$3,2),ROUND($A$3*(G177-AT177)/$B$3,2))</f>
        <v>#DIV/0!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t="e">
        <f t="shared" si="97"/>
        <v>#DIV/0!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t="e">
        <f t="shared" si="119"/>
        <v>#DIV/0!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t="e">
        <f t="shared" si="97"/>
        <v>#DIV/0!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t="e">
        <f t="shared" si="119"/>
        <v>#DIV/0!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t="e">
        <f t="shared" si="97"/>
        <v>#DIV/0!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t="e">
        <f t="shared" si="119"/>
        <v>#DIV/0!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t="e">
        <f t="shared" si="97"/>
        <v>#DIV/0!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t="e">
        <f t="shared" si="119"/>
        <v>#DIV/0!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t="e">
        <f t="shared" si="97"/>
        <v>#DIV/0!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t="e">
        <f t="shared" si="119"/>
        <v>#DIV/0!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t="e">
        <f t="shared" si="97"/>
        <v>#DIV/0!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t="e">
        <f t="shared" si="119"/>
        <v>#DIV/0!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t="e">
        <f t="shared" si="97"/>
        <v>#DIV/0!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t="e">
        <f t="shared" si="119"/>
        <v>#DIV/0!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t="e">
        <f t="shared" si="97"/>
        <v>#DIV/0!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t="e">
        <f t="shared" si="119"/>
        <v>#DIV/0!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t="e">
        <f t="shared" si="97"/>
        <v>#DIV/0!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t="e">
        <f t="shared" si="119"/>
        <v>#DIV/0!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t="e">
        <f t="shared" si="97"/>
        <v>#DIV/0!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t="e">
        <f t="shared" si="119"/>
        <v>#DIV/0!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t="e">
        <f t="shared" si="97"/>
        <v>#DIV/0!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t="e">
        <f t="shared" si="119"/>
        <v>#DIV/0!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t="e">
        <f t="shared" si="97"/>
        <v>#DIV/0!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t="e">
        <f t="shared" si="119"/>
        <v>#DIV/0!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t="e">
        <f t="shared" si="97"/>
        <v>#DIV/0!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t="e">
        <f t="shared" si="119"/>
        <v>#DIV/0!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t="e">
        <f t="shared" si="97"/>
        <v>#DIV/0!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t="e">
        <f t="shared" si="119"/>
        <v>#DIV/0!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t="e">
        <f t="shared" si="97"/>
        <v>#DIV/0!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t="e">
        <f t="shared" si="119"/>
        <v>#DIV/0!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t="e">
        <f t="shared" si="97"/>
        <v>#DIV/0!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t="e">
        <f t="shared" si="119"/>
        <v>#DIV/0!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t="e">
        <f t="shared" si="97"/>
        <v>#DIV/0!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t="e">
        <f t="shared" si="119"/>
        <v>#DIV/0!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t="e">
        <f t="shared" si="97"/>
        <v>#DIV/0!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t="e">
        <f t="shared" si="119"/>
        <v>#DIV/0!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t="e">
        <f t="shared" si="97"/>
        <v>#DIV/0!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t="e">
        <f t="shared" si="119"/>
        <v>#DIV/0!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t="e">
        <f t="shared" si="97"/>
        <v>#DIV/0!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t="e">
        <f t="shared" si="119"/>
        <v>#DIV/0!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t="e">
        <f t="shared" si="97"/>
        <v>#DIV/0!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t="e">
        <f t="shared" si="119"/>
        <v>#DIV/0!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t="e">
        <f t="shared" si="97"/>
        <v>#DIV/0!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t="e">
        <f t="shared" si="119"/>
        <v>#DIV/0!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t="e">
        <f t="shared" si="97"/>
        <v>#DIV/0!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t="e">
        <f t="shared" si="119"/>
        <v>#DIV/0!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t="e">
        <f t="shared" si="97"/>
        <v>#DIV/0!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t="e">
        <f t="shared" si="119"/>
        <v>#DIV/0!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t="e">
        <f t="shared" si="97"/>
        <v>#DIV/0!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t="e">
        <f t="shared" si="119"/>
        <v>#DIV/0!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t="e">
        <f t="shared" si="97"/>
        <v>#DIV/0!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t="e">
        <f t="shared" si="119"/>
        <v>#DIV/0!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t="e">
        <f t="shared" si="97"/>
        <v>#DIV/0!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t="e">
        <f t="shared" si="119"/>
        <v>#DIV/0!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t="e">
        <f t="shared" si="97"/>
        <v>#DIV/0!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t="e">
        <f t="shared" si="119"/>
        <v>#DIV/0!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t="e">
        <f t="shared" si="97"/>
        <v>#DIV/0!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t="e">
        <f t="shared" si="119"/>
        <v>#DIV/0!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t="e">
        <f>ROUND($AY$6*AZ206/$AZ$5,2)</f>
        <v>#DIV/0!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t="e">
        <f t="shared" si="119"/>
        <v>#DIV/0!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t="e">
        <f>ROUND($AY$6*AZ207/$AZ$5,2)</f>
        <v>#DIV/0!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t="e">
        <f t="shared" ref="E208:E302" si="123">IF($C$3="是",ROUND($A$3*G208/$B$3,2),ROUND($A$3*(G208-AT208)/$B$3,2))</f>
        <v>#DIV/0!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t="e">
        <f t="shared" ref="AY208:AY299" si="130">ROUND($AY$6*AZ208/$AZ$5,2)</f>
        <v>#DIV/0!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t="e">
        <f t="shared" si="123"/>
        <v>#DIV/0!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t="e">
        <f t="shared" si="130"/>
        <v>#DIV/0!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t="e">
        <f t="shared" si="123"/>
        <v>#DIV/0!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t="e">
        <f t="shared" si="130"/>
        <v>#DIV/0!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t="e">
        <f t="shared" si="123"/>
        <v>#DIV/0!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t="e">
        <f t="shared" si="130"/>
        <v>#DIV/0!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t="e">
        <f t="shared" si="123"/>
        <v>#DIV/0!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t="e">
        <f t="shared" si="130"/>
        <v>#DIV/0!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t="e">
        <f t="shared" si="123"/>
        <v>#DIV/0!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t="e">
        <f t="shared" si="130"/>
        <v>#DIV/0!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t="e">
        <f t="shared" si="123"/>
        <v>#DIV/0!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t="e">
        <f t="shared" si="130"/>
        <v>#DIV/0!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t="e">
        <f t="shared" si="123"/>
        <v>#DIV/0!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t="e">
        <f t="shared" si="130"/>
        <v>#DIV/0!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t="e">
        <f t="shared" si="123"/>
        <v>#DIV/0!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t="e">
        <f t="shared" si="130"/>
        <v>#DIV/0!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t="e">
        <f t="shared" si="123"/>
        <v>#DIV/0!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t="e">
        <f t="shared" si="130"/>
        <v>#DIV/0!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t="e">
        <f t="shared" si="123"/>
        <v>#DIV/0!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t="e">
        <f t="shared" si="130"/>
        <v>#DIV/0!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t="e">
        <f t="shared" si="123"/>
        <v>#DIV/0!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t="e">
        <f t="shared" si="130"/>
        <v>#DIV/0!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t="e">
        <f t="shared" si="123"/>
        <v>#DIV/0!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t="e">
        <f t="shared" si="130"/>
        <v>#DIV/0!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t="e">
        <f t="shared" si="123"/>
        <v>#DIV/0!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t="e">
        <f t="shared" si="130"/>
        <v>#DIV/0!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t="e">
        <f t="shared" si="123"/>
        <v>#DIV/0!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t="e">
        <f t="shared" si="130"/>
        <v>#DIV/0!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t="e">
        <f t="shared" si="123"/>
        <v>#DIV/0!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t="e">
        <f t="shared" si="130"/>
        <v>#DIV/0!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t="e">
        <f t="shared" si="123"/>
        <v>#DIV/0!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t="e">
        <f t="shared" si="130"/>
        <v>#DIV/0!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t="e">
        <f t="shared" si="123"/>
        <v>#DIV/0!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t="e">
        <f t="shared" si="130"/>
        <v>#DIV/0!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t="e">
        <f t="shared" si="123"/>
        <v>#DIV/0!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t="e">
        <f t="shared" si="130"/>
        <v>#DIV/0!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t="e">
        <f t="shared" si="123"/>
        <v>#DIV/0!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t="e">
        <f t="shared" si="130"/>
        <v>#DIV/0!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t="e">
        <f t="shared" si="123"/>
        <v>#DIV/0!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t="e">
        <f t="shared" si="130"/>
        <v>#DIV/0!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t="e">
        <f t="shared" si="123"/>
        <v>#DIV/0!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t="e">
        <f t="shared" si="130"/>
        <v>#DIV/0!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t="e">
        <f t="shared" si="123"/>
        <v>#DIV/0!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t="e">
        <f t="shared" si="130"/>
        <v>#DIV/0!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t="e">
        <f t="shared" si="123"/>
        <v>#DIV/0!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t="e">
        <f t="shared" si="130"/>
        <v>#DIV/0!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t="e">
        <f t="shared" si="123"/>
        <v>#DIV/0!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t="e">
        <f t="shared" si="130"/>
        <v>#DIV/0!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t="e">
        <f t="shared" si="123"/>
        <v>#DIV/0!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t="e">
        <f t="shared" si="130"/>
        <v>#DIV/0!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t="e">
        <f t="shared" si="123"/>
        <v>#DIV/0!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t="e">
        <f t="shared" si="130"/>
        <v>#DIV/0!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t="e">
        <f t="shared" si="123"/>
        <v>#DIV/0!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t="e">
        <f t="shared" si="130"/>
        <v>#DIV/0!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t="e">
        <f t="shared" si="123"/>
        <v>#DIV/0!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t="e">
        <f t="shared" si="130"/>
        <v>#DIV/0!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t="e">
        <f t="shared" si="123"/>
        <v>#DIV/0!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t="e">
        <f t="shared" si="130"/>
        <v>#DIV/0!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t="e">
        <f t="shared" si="123"/>
        <v>#DIV/0!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t="e">
        <f t="shared" si="130"/>
        <v>#DIV/0!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t="e">
        <f t="shared" si="123"/>
        <v>#DIV/0!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t="e">
        <f t="shared" si="130"/>
        <v>#DIV/0!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t="e">
        <f t="shared" si="123"/>
        <v>#DIV/0!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t="e">
        <f t="shared" si="130"/>
        <v>#DIV/0!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t="e">
        <f t="shared" si="123"/>
        <v>#DIV/0!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t="e">
        <f t="shared" si="130"/>
        <v>#DIV/0!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t="e">
        <f t="shared" si="123"/>
        <v>#DIV/0!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t="e">
        <f t="shared" si="130"/>
        <v>#DIV/0!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t="e">
        <f t="shared" si="123"/>
        <v>#DIV/0!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t="e">
        <f t="shared" si="130"/>
        <v>#DIV/0!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t="e">
        <f t="shared" si="123"/>
        <v>#DIV/0!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t="e">
        <f t="shared" si="130"/>
        <v>#DIV/0!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t="e">
        <f t="shared" si="123"/>
        <v>#DIV/0!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t="e">
        <f t="shared" si="130"/>
        <v>#DIV/0!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t="e">
        <f t="shared" si="123"/>
        <v>#DIV/0!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t="e">
        <f t="shared" si="130"/>
        <v>#DIV/0!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t="e">
        <f t="shared" si="123"/>
        <v>#DIV/0!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t="e">
        <f t="shared" si="130"/>
        <v>#DIV/0!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t="e">
        <f t="shared" si="123"/>
        <v>#DIV/0!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t="e">
        <f t="shared" si="130"/>
        <v>#DIV/0!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t="e">
        <f t="shared" si="123"/>
        <v>#DIV/0!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t="e">
        <f t="shared" si="130"/>
        <v>#DIV/0!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t="e">
        <f t="shared" si="123"/>
        <v>#DIV/0!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t="e">
        <f t="shared" si="130"/>
        <v>#DIV/0!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t="e">
        <f t="shared" si="123"/>
        <v>#DIV/0!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t="e">
        <f t="shared" si="130"/>
        <v>#DIV/0!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t="e">
        <f t="shared" si="123"/>
        <v>#DIV/0!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t="e">
        <f t="shared" si="130"/>
        <v>#DIV/0!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t="e">
        <f t="shared" si="123"/>
        <v>#DIV/0!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t="e">
        <f t="shared" si="130"/>
        <v>#DIV/0!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t="e">
        <f t="shared" si="123"/>
        <v>#DIV/0!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t="e">
        <f t="shared" si="130"/>
        <v>#DIV/0!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t="e">
        <f t="shared" si="123"/>
        <v>#DIV/0!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t="e">
        <f t="shared" si="130"/>
        <v>#DIV/0!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t="e">
        <f t="shared" si="123"/>
        <v>#DIV/0!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t="e">
        <f t="shared" si="130"/>
        <v>#DIV/0!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t="e">
        <f t="shared" si="123"/>
        <v>#DIV/0!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t="e">
        <f t="shared" si="130"/>
        <v>#DIV/0!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t="e">
        <f t="shared" si="123"/>
        <v>#DIV/0!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t="e">
        <f t="shared" si="130"/>
        <v>#DIV/0!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t="e">
        <f t="shared" si="123"/>
        <v>#DIV/0!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t="e">
        <f t="shared" si="130"/>
        <v>#DIV/0!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t="e">
        <f t="shared" si="123"/>
        <v>#DIV/0!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t="e">
        <f t="shared" si="130"/>
        <v>#DIV/0!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t="e">
        <f t="shared" si="123"/>
        <v>#DIV/0!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t="e">
        <f t="shared" si="130"/>
        <v>#DIV/0!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t="e">
        <f t="shared" si="123"/>
        <v>#DIV/0!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t="e">
        <f t="shared" si="130"/>
        <v>#DIV/0!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t="e">
        <f t="shared" si="123"/>
        <v>#DIV/0!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t="e">
        <f t="shared" si="130"/>
        <v>#DIV/0!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t="e">
        <f t="shared" si="123"/>
        <v>#DIV/0!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t="e">
        <f t="shared" si="130"/>
        <v>#DIV/0!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t="e">
        <f t="shared" si="123"/>
        <v>#DIV/0!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t="e">
        <f t="shared" si="130"/>
        <v>#DIV/0!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t="e">
        <f t="shared" si="123"/>
        <v>#DIV/0!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t="e">
        <f t="shared" si="130"/>
        <v>#DIV/0!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t="e">
        <f t="shared" si="123"/>
        <v>#DIV/0!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t="e">
        <f t="shared" si="130"/>
        <v>#DIV/0!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t="e">
        <f t="shared" si="123"/>
        <v>#DIV/0!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t="e">
        <f t="shared" si="130"/>
        <v>#DIV/0!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t="e">
        <f t="shared" si="123"/>
        <v>#DIV/0!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t="e">
        <f t="shared" si="130"/>
        <v>#DIV/0!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t="e">
        <f t="shared" si="123"/>
        <v>#DIV/0!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t="e">
        <f t="shared" si="130"/>
        <v>#DIV/0!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t="e">
        <f t="shared" si="123"/>
        <v>#DIV/0!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t="e">
        <f t="shared" si="130"/>
        <v>#DIV/0!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t="e">
        <f t="shared" si="123"/>
        <v>#DIV/0!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t="e">
        <f t="shared" si="130"/>
        <v>#DIV/0!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t="e">
        <f t="shared" si="123"/>
        <v>#DIV/0!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t="e">
        <f t="shared" si="130"/>
        <v>#DIV/0!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t="e">
        <f t="shared" si="123"/>
        <v>#DIV/0!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t="e">
        <f t="shared" si="130"/>
        <v>#DIV/0!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t="e">
        <f t="shared" si="123"/>
        <v>#DIV/0!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t="e">
        <f t="shared" si="130"/>
        <v>#DIV/0!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t="e">
        <f t="shared" si="123"/>
        <v>#DIV/0!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t="e">
        <f t="shared" si="130"/>
        <v>#DIV/0!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t="e">
        <f t="shared" si="123"/>
        <v>#DIV/0!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t="e">
        <f t="shared" si="130"/>
        <v>#DIV/0!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t="e">
        <f t="shared" si="123"/>
        <v>#DIV/0!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t="e">
        <f t="shared" si="130"/>
        <v>#DIV/0!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t="e">
        <f t="shared" si="123"/>
        <v>#DIV/0!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t="e">
        <f t="shared" si="130"/>
        <v>#DIV/0!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t="e">
        <f t="shared" si="123"/>
        <v>#DIV/0!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t="e">
        <f t="shared" si="130"/>
        <v>#DIV/0!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t="e">
        <f t="shared" si="123"/>
        <v>#DIV/0!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t="e">
        <f t="shared" si="130"/>
        <v>#DIV/0!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t="e">
        <f t="shared" si="123"/>
        <v>#DIV/0!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t="e">
        <f t="shared" si="130"/>
        <v>#DIV/0!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t="e">
        <f t="shared" si="123"/>
        <v>#DIV/0!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t="e">
        <f t="shared" si="130"/>
        <v>#DIV/0!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t="e">
        <f t="shared" si="123"/>
        <v>#DIV/0!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t="e">
        <f t="shared" si="130"/>
        <v>#DIV/0!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t="e">
        <f t="shared" si="123"/>
        <v>#DIV/0!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t="e">
        <f t="shared" si="130"/>
        <v>#DIV/0!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t="e">
        <f t="shared" si="123"/>
        <v>#DIV/0!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t="e">
        <f t="shared" si="130"/>
        <v>#DIV/0!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t="e">
        <f t="shared" si="123"/>
        <v>#DIV/0!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t="e">
        <f t="shared" si="130"/>
        <v>#DIV/0!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t="e">
        <f t="shared" si="123"/>
        <v>#DIV/0!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t="e">
        <f t="shared" si="130"/>
        <v>#DIV/0!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t="e">
        <f t="shared" si="123"/>
        <v>#DIV/0!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t="e">
        <f t="shared" si="130"/>
        <v>#DIV/0!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t="e">
        <f t="shared" si="123"/>
        <v>#DIV/0!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t="e">
        <f t="shared" si="130"/>
        <v>#DIV/0!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t="e">
        <f t="shared" si="123"/>
        <v>#DIV/0!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t="e">
        <f t="shared" si="130"/>
        <v>#DIV/0!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t="e">
        <f t="shared" si="123"/>
        <v>#DIV/0!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t="e">
        <f t="shared" si="130"/>
        <v>#DIV/0!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t="e">
        <f t="shared" si="123"/>
        <v>#DIV/0!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t="e">
        <f t="shared" si="130"/>
        <v>#DIV/0!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t="e">
        <f t="shared" si="123"/>
        <v>#DIV/0!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t="e">
        <f t="shared" si="130"/>
        <v>#DIV/0!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t="e">
        <f t="shared" si="123"/>
        <v>#DIV/0!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t="e">
        <f t="shared" si="130"/>
        <v>#DIV/0!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t="e">
        <f t="shared" si="123"/>
        <v>#DIV/0!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t="e">
        <f t="shared" si="130"/>
        <v>#DIV/0!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t="e">
        <f t="shared" si="123"/>
        <v>#DIV/0!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t="e">
        <f t="shared" si="130"/>
        <v>#DIV/0!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t="e">
        <f t="shared" si="123"/>
        <v>#DIV/0!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t="e">
        <f t="shared" si="130"/>
        <v>#DIV/0!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t="e">
        <f t="shared" si="123"/>
        <v>#DIV/0!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t="e">
        <f t="shared" si="130"/>
        <v>#DIV/0!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t="e">
        <f t="shared" si="123"/>
        <v>#DIV/0!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t="e">
        <f t="shared" ref="AY300:AY331" si="155">ROUND($AY$6*AZ300/$AZ$5,2)</f>
        <v>#DIV/0!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t="e">
        <f t="shared" si="123"/>
        <v>#DIV/0!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t="e">
        <f t="shared" si="155"/>
        <v>#DIV/0!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t="e">
        <f t="shared" si="123"/>
        <v>#DIV/0!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t="e">
        <f t="shared" si="155"/>
        <v>#DIV/0!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t="e">
        <f t="shared" ref="E303:E334" si="177">IF($C$3="是",ROUND($A$3*G303/$B$3,2),ROUND($A$3*(G303-AT303)/$B$3,2))</f>
        <v>#DIV/0!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t="e">
        <f t="shared" si="155"/>
        <v>#DIV/0!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t="e">
        <f t="shared" si="177"/>
        <v>#DIV/0!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t="e">
        <f t="shared" si="155"/>
        <v>#DIV/0!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t="e">
        <f t="shared" si="177"/>
        <v>#DIV/0!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t="e">
        <f t="shared" si="155"/>
        <v>#DIV/0!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t="e">
        <f t="shared" si="177"/>
        <v>#DIV/0!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t="e">
        <f t="shared" si="155"/>
        <v>#DIV/0!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t="e">
        <f t="shared" si="177"/>
        <v>#DIV/0!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t="e">
        <f t="shared" si="155"/>
        <v>#DIV/0!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t="e">
        <f t="shared" si="177"/>
        <v>#DIV/0!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t="e">
        <f t="shared" si="155"/>
        <v>#DIV/0!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t="e">
        <f t="shared" si="177"/>
        <v>#DIV/0!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t="e">
        <f t="shared" si="155"/>
        <v>#DIV/0!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t="e">
        <f t="shared" si="177"/>
        <v>#DIV/0!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t="e">
        <f t="shared" si="155"/>
        <v>#DIV/0!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t="e">
        <f t="shared" si="177"/>
        <v>#DIV/0!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t="e">
        <f t="shared" si="155"/>
        <v>#DIV/0!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t="e">
        <f t="shared" si="177"/>
        <v>#DIV/0!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t="e">
        <f t="shared" si="155"/>
        <v>#DIV/0!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t="e">
        <f t="shared" si="177"/>
        <v>#DIV/0!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t="e">
        <f t="shared" si="155"/>
        <v>#DIV/0!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t="e">
        <f t="shared" si="177"/>
        <v>#DIV/0!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t="e">
        <f t="shared" si="155"/>
        <v>#DIV/0!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t="e">
        <f t="shared" si="177"/>
        <v>#DIV/0!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t="e">
        <f t="shared" si="155"/>
        <v>#DIV/0!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t="e">
        <f t="shared" si="177"/>
        <v>#DIV/0!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t="e">
        <f t="shared" si="155"/>
        <v>#DIV/0!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t="e">
        <f t="shared" si="177"/>
        <v>#DIV/0!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t="e">
        <f t="shared" si="155"/>
        <v>#DIV/0!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t="e">
        <f t="shared" si="177"/>
        <v>#DIV/0!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t="e">
        <f t="shared" si="155"/>
        <v>#DIV/0!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t="e">
        <f t="shared" si="177"/>
        <v>#DIV/0!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t="e">
        <f t="shared" si="155"/>
        <v>#DIV/0!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t="e">
        <f t="shared" si="177"/>
        <v>#DIV/0!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t="e">
        <f t="shared" si="155"/>
        <v>#DIV/0!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t="e">
        <f t="shared" si="177"/>
        <v>#DIV/0!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t="e">
        <f t="shared" si="155"/>
        <v>#DIV/0!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t="e">
        <f t="shared" si="177"/>
        <v>#DIV/0!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t="e">
        <f t="shared" si="155"/>
        <v>#DIV/0!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t="e">
        <f t="shared" si="177"/>
        <v>#DIV/0!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t="e">
        <f t="shared" si="155"/>
        <v>#DIV/0!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t="e">
        <f t="shared" si="177"/>
        <v>#DIV/0!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t="e">
        <f t="shared" si="155"/>
        <v>#DIV/0!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t="e">
        <f t="shared" si="177"/>
        <v>#DIV/0!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t="e">
        <f t="shared" si="155"/>
        <v>#DIV/0!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t="e">
        <f t="shared" si="177"/>
        <v>#DIV/0!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t="e">
        <f t="shared" si="155"/>
        <v>#DIV/0!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t="e">
        <f t="shared" si="177"/>
        <v>#DIV/0!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t="e">
        <f t="shared" si="155"/>
        <v>#DIV/0!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t="e">
        <f t="shared" si="177"/>
        <v>#DIV/0!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t="e">
        <f t="shared" si="155"/>
        <v>#DIV/0!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t="e">
        <f t="shared" si="177"/>
        <v>#DIV/0!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t="e">
        <f t="shared" si="155"/>
        <v>#DIV/0!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t="e">
        <f t="shared" si="177"/>
        <v>#DIV/0!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t="e">
        <f t="shared" si="155"/>
        <v>#DIV/0!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t="e">
        <f t="shared" si="177"/>
        <v>#DIV/0!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t="e">
        <f t="shared" si="155"/>
        <v>#DIV/0!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t="e">
        <f t="shared" si="177"/>
        <v>#DIV/0!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t="e">
        <f t="shared" ref="AY332:AY363" si="184">ROUND($AY$6*AZ332/$AZ$5,2)</f>
        <v>#DIV/0!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t="e">
        <f t="shared" si="177"/>
        <v>#DIV/0!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t="e">
        <f t="shared" si="184"/>
        <v>#DIV/0!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t="e">
        <f t="shared" si="177"/>
        <v>#DIV/0!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t="e">
        <f t="shared" si="184"/>
        <v>#DIV/0!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t="e">
        <f t="shared" ref="E335:E366" si="206">IF($C$3="是",ROUND($A$3*G335/$B$3,2),ROUND($A$3*(G335-AT335)/$B$3,2))</f>
        <v>#DIV/0!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t="e">
        <f t="shared" si="184"/>
        <v>#DIV/0!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t="e">
        <f t="shared" si="206"/>
        <v>#DIV/0!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t="e">
        <f t="shared" si="184"/>
        <v>#DIV/0!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t="e">
        <f t="shared" si="206"/>
        <v>#DIV/0!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t="e">
        <f t="shared" si="184"/>
        <v>#DIV/0!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t="e">
        <f t="shared" si="206"/>
        <v>#DIV/0!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t="e">
        <f t="shared" si="184"/>
        <v>#DIV/0!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t="e">
        <f t="shared" si="206"/>
        <v>#DIV/0!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t="e">
        <f t="shared" si="184"/>
        <v>#DIV/0!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t="e">
        <f t="shared" si="206"/>
        <v>#DIV/0!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t="e">
        <f t="shared" si="184"/>
        <v>#DIV/0!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t="e">
        <f t="shared" si="206"/>
        <v>#DIV/0!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t="e">
        <f t="shared" si="184"/>
        <v>#DIV/0!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t="e">
        <f t="shared" si="206"/>
        <v>#DIV/0!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t="e">
        <f t="shared" si="184"/>
        <v>#DIV/0!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t="e">
        <f t="shared" si="206"/>
        <v>#DIV/0!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t="e">
        <f t="shared" si="184"/>
        <v>#DIV/0!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t="e">
        <f t="shared" si="206"/>
        <v>#DIV/0!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t="e">
        <f t="shared" si="184"/>
        <v>#DIV/0!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t="e">
        <f t="shared" si="206"/>
        <v>#DIV/0!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t="e">
        <f t="shared" si="184"/>
        <v>#DIV/0!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t="e">
        <f t="shared" si="206"/>
        <v>#DIV/0!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t="e">
        <f t="shared" si="184"/>
        <v>#DIV/0!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t="e">
        <f t="shared" si="206"/>
        <v>#DIV/0!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t="e">
        <f t="shared" si="184"/>
        <v>#DIV/0!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t="e">
        <f t="shared" si="206"/>
        <v>#DIV/0!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t="e">
        <f t="shared" si="184"/>
        <v>#DIV/0!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t="e">
        <f t="shared" si="206"/>
        <v>#DIV/0!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t="e">
        <f t="shared" si="184"/>
        <v>#DIV/0!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t="e">
        <f t="shared" si="206"/>
        <v>#DIV/0!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t="e">
        <f t="shared" si="184"/>
        <v>#DIV/0!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t="e">
        <f t="shared" si="206"/>
        <v>#DIV/0!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t="e">
        <f t="shared" si="184"/>
        <v>#DIV/0!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t="e">
        <f t="shared" si="206"/>
        <v>#DIV/0!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t="e">
        <f t="shared" si="184"/>
        <v>#DIV/0!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t="e">
        <f t="shared" si="206"/>
        <v>#DIV/0!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t="e">
        <f t="shared" si="184"/>
        <v>#DIV/0!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t="e">
        <f t="shared" si="206"/>
        <v>#DIV/0!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t="e">
        <f t="shared" si="184"/>
        <v>#DIV/0!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t="e">
        <f t="shared" si="206"/>
        <v>#DIV/0!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t="e">
        <f t="shared" si="184"/>
        <v>#DIV/0!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t="e">
        <f t="shared" si="206"/>
        <v>#DIV/0!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t="e">
        <f t="shared" si="184"/>
        <v>#DIV/0!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t="e">
        <f t="shared" si="206"/>
        <v>#DIV/0!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t="e">
        <f t="shared" si="184"/>
        <v>#DIV/0!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t="e">
        <f t="shared" si="206"/>
        <v>#DIV/0!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t="e">
        <f t="shared" si="184"/>
        <v>#DIV/0!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t="e">
        <f t="shared" si="206"/>
        <v>#DIV/0!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t="e">
        <f t="shared" si="184"/>
        <v>#DIV/0!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t="e">
        <f t="shared" si="206"/>
        <v>#DIV/0!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t="e">
        <f t="shared" si="184"/>
        <v>#DIV/0!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t="e">
        <f t="shared" si="206"/>
        <v>#DIV/0!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t="e">
        <f t="shared" si="184"/>
        <v>#DIV/0!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t="e">
        <f t="shared" si="206"/>
        <v>#DIV/0!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t="e">
        <f t="shared" si="184"/>
        <v>#DIV/0!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t="e">
        <f t="shared" si="206"/>
        <v>#DIV/0!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t="e">
        <f t="shared" si="184"/>
        <v>#DIV/0!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t="e">
        <f t="shared" si="206"/>
        <v>#DIV/0!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t="e">
        <f t="shared" ref="AY364:AY395" si="213">ROUND($AY$6*AZ364/$AZ$5,2)</f>
        <v>#DIV/0!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t="e">
        <f t="shared" si="206"/>
        <v>#DIV/0!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t="e">
        <f t="shared" si="213"/>
        <v>#DIV/0!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t="e">
        <f t="shared" si="206"/>
        <v>#DIV/0!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t="e">
        <f t="shared" si="213"/>
        <v>#DIV/0!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t="e">
        <f t="shared" ref="E367:E397" si="235">IF($C$3="是",ROUND($A$3*G367/$B$3,2),ROUND($A$3*(G367-AT367)/$B$3,2))</f>
        <v>#DIV/0!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t="e">
        <f t="shared" si="213"/>
        <v>#DIV/0!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t="e">
        <f t="shared" si="235"/>
        <v>#DIV/0!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t="e">
        <f t="shared" si="213"/>
        <v>#DIV/0!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t="e">
        <f t="shared" si="235"/>
        <v>#DIV/0!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t="e">
        <f t="shared" si="213"/>
        <v>#DIV/0!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t="e">
        <f t="shared" si="235"/>
        <v>#DIV/0!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t="e">
        <f t="shared" si="213"/>
        <v>#DIV/0!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t="e">
        <f t="shared" si="235"/>
        <v>#DIV/0!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t="e">
        <f t="shared" si="213"/>
        <v>#DIV/0!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t="e">
        <f t="shared" si="235"/>
        <v>#DIV/0!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t="e">
        <f t="shared" si="213"/>
        <v>#DIV/0!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t="e">
        <f t="shared" si="235"/>
        <v>#DIV/0!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t="e">
        <f t="shared" si="213"/>
        <v>#DIV/0!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t="e">
        <f t="shared" si="235"/>
        <v>#DIV/0!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t="e">
        <f t="shared" si="213"/>
        <v>#DIV/0!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t="e">
        <f t="shared" si="235"/>
        <v>#DIV/0!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t="e">
        <f t="shared" si="213"/>
        <v>#DIV/0!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t="e">
        <f t="shared" si="235"/>
        <v>#DIV/0!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t="e">
        <f t="shared" si="213"/>
        <v>#DIV/0!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t="e">
        <f t="shared" si="235"/>
        <v>#DIV/0!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t="e">
        <f t="shared" si="213"/>
        <v>#DIV/0!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t="e">
        <f t="shared" si="235"/>
        <v>#DIV/0!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t="e">
        <f t="shared" si="213"/>
        <v>#DIV/0!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t="e">
        <f t="shared" si="235"/>
        <v>#DIV/0!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t="e">
        <f t="shared" si="213"/>
        <v>#DIV/0!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t="e">
        <f t="shared" si="235"/>
        <v>#DIV/0!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t="e">
        <f t="shared" si="213"/>
        <v>#DIV/0!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t="e">
        <f t="shared" si="235"/>
        <v>#DIV/0!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t="e">
        <f t="shared" si="213"/>
        <v>#DIV/0!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t="e">
        <f t="shared" si="235"/>
        <v>#DIV/0!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t="e">
        <f t="shared" si="213"/>
        <v>#DIV/0!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t="e">
        <f t="shared" si="235"/>
        <v>#DIV/0!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t="e">
        <f t="shared" si="213"/>
        <v>#DIV/0!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t="e">
        <f t="shared" si="235"/>
        <v>#DIV/0!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t="e">
        <f t="shared" si="213"/>
        <v>#DIV/0!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t="e">
        <f t="shared" si="235"/>
        <v>#DIV/0!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t="e">
        <f t="shared" si="213"/>
        <v>#DIV/0!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t="e">
        <f t="shared" si="235"/>
        <v>#DIV/0!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t="e">
        <f t="shared" si="213"/>
        <v>#DIV/0!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t="e">
        <f t="shared" si="235"/>
        <v>#DIV/0!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t="e">
        <f t="shared" si="213"/>
        <v>#DIV/0!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t="e">
        <f t="shared" si="235"/>
        <v>#DIV/0!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t="e">
        <f t="shared" si="213"/>
        <v>#DIV/0!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t="e">
        <f t="shared" si="235"/>
        <v>#DIV/0!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t="e">
        <f t="shared" si="213"/>
        <v>#DIV/0!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t="e">
        <f t="shared" si="235"/>
        <v>#DIV/0!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t="e">
        <f t="shared" si="213"/>
        <v>#DIV/0!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t="e">
        <f t="shared" si="235"/>
        <v>#DIV/0!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t="e">
        <f t="shared" si="213"/>
        <v>#DIV/0!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t="e">
        <f t="shared" si="235"/>
        <v>#DIV/0!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t="e">
        <f t="shared" si="213"/>
        <v>#DIV/0!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t="e">
        <f t="shared" si="235"/>
        <v>#DIV/0!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t="e">
        <f t="shared" si="213"/>
        <v>#DIV/0!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t="e">
        <f t="shared" si="235"/>
        <v>#DIV/0!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t="e">
        <f t="shared" si="213"/>
        <v>#DIV/0!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t="e">
        <f t="shared" si="235"/>
        <v>#DIV/0!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t="e">
        <f t="shared" si="213"/>
        <v>#DIV/0!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t="e">
        <f t="shared" si="235"/>
        <v>#DIV/0!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t="e">
        <f>ROUND($AY$6*AZ396/$AZ$5,2)</f>
        <v>#DIV/0!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t="e">
        <f t="shared" si="235"/>
        <v>#DIV/0!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t="e">
        <f>ROUND($AY$6*AZ397/$AZ$5,2)</f>
        <v>#DIV/0!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t="e">
        <f t="shared" ref="E398:E492" si="239">IF($C$3="是",ROUND($A$3*G398/$B$3,2),ROUND($A$3*(G398-AT398)/$B$3,2))</f>
        <v>#DIV/0!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t="e">
        <f t="shared" ref="AY398:AY489" si="246">ROUND($AY$6*AZ398/$AZ$5,2)</f>
        <v>#DIV/0!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t="e">
        <f t="shared" si="239"/>
        <v>#DIV/0!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t="e">
        <f t="shared" si="246"/>
        <v>#DIV/0!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t="e">
        <f t="shared" si="239"/>
        <v>#DIV/0!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t="e">
        <f t="shared" si="246"/>
        <v>#DIV/0!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t="e">
        <f t="shared" si="239"/>
        <v>#DIV/0!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t="e">
        <f t="shared" si="246"/>
        <v>#DIV/0!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t="e">
        <f t="shared" si="239"/>
        <v>#DIV/0!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t="e">
        <f t="shared" si="246"/>
        <v>#DIV/0!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t="e">
        <f t="shared" si="239"/>
        <v>#DIV/0!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t="e">
        <f t="shared" si="246"/>
        <v>#DIV/0!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t="e">
        <f t="shared" si="239"/>
        <v>#DIV/0!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t="e">
        <f t="shared" si="246"/>
        <v>#DIV/0!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t="e">
        <f t="shared" si="239"/>
        <v>#DIV/0!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t="e">
        <f t="shared" si="246"/>
        <v>#DIV/0!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t="e">
        <f t="shared" si="239"/>
        <v>#DIV/0!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t="e">
        <f t="shared" si="246"/>
        <v>#DIV/0!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t="e">
        <f t="shared" si="239"/>
        <v>#DIV/0!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t="e">
        <f t="shared" si="246"/>
        <v>#DIV/0!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t="e">
        <f t="shared" si="239"/>
        <v>#DIV/0!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t="e">
        <f t="shared" si="246"/>
        <v>#DIV/0!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t="e">
        <f t="shared" si="239"/>
        <v>#DIV/0!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t="e">
        <f t="shared" si="246"/>
        <v>#DIV/0!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t="e">
        <f t="shared" si="239"/>
        <v>#DIV/0!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t="e">
        <f t="shared" si="246"/>
        <v>#DIV/0!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t="e">
        <f t="shared" si="239"/>
        <v>#DIV/0!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t="e">
        <f t="shared" si="246"/>
        <v>#DIV/0!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t="e">
        <f t="shared" si="239"/>
        <v>#DIV/0!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t="e">
        <f t="shared" si="246"/>
        <v>#DIV/0!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t="e">
        <f t="shared" si="239"/>
        <v>#DIV/0!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t="e">
        <f t="shared" si="246"/>
        <v>#DIV/0!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t="e">
        <f t="shared" si="239"/>
        <v>#DIV/0!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t="e">
        <f t="shared" si="246"/>
        <v>#DIV/0!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t="e">
        <f t="shared" si="239"/>
        <v>#DIV/0!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t="e">
        <f t="shared" si="246"/>
        <v>#DIV/0!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t="e">
        <f t="shared" si="239"/>
        <v>#DIV/0!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t="e">
        <f t="shared" si="246"/>
        <v>#DIV/0!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t="e">
        <f t="shared" si="239"/>
        <v>#DIV/0!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t="e">
        <f t="shared" si="246"/>
        <v>#DIV/0!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t="e">
        <f t="shared" si="239"/>
        <v>#DIV/0!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t="e">
        <f t="shared" si="246"/>
        <v>#DIV/0!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t="e">
        <f t="shared" si="239"/>
        <v>#DIV/0!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t="e">
        <f t="shared" si="246"/>
        <v>#DIV/0!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t="e">
        <f t="shared" si="239"/>
        <v>#DIV/0!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t="e">
        <f t="shared" si="246"/>
        <v>#DIV/0!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t="e">
        <f t="shared" si="239"/>
        <v>#DIV/0!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t="e">
        <f t="shared" si="246"/>
        <v>#DIV/0!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t="e">
        <f t="shared" si="239"/>
        <v>#DIV/0!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t="e">
        <f t="shared" si="246"/>
        <v>#DIV/0!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t="e">
        <f t="shared" si="239"/>
        <v>#DIV/0!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t="e">
        <f t="shared" si="246"/>
        <v>#DIV/0!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t="e">
        <f t="shared" si="239"/>
        <v>#DIV/0!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t="e">
        <f t="shared" si="246"/>
        <v>#DIV/0!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t="e">
        <f t="shared" si="239"/>
        <v>#DIV/0!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t="e">
        <f t="shared" si="246"/>
        <v>#DIV/0!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t="e">
        <f t="shared" si="239"/>
        <v>#DIV/0!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t="e">
        <f t="shared" si="246"/>
        <v>#DIV/0!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t="e">
        <f t="shared" si="239"/>
        <v>#DIV/0!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t="e">
        <f t="shared" si="246"/>
        <v>#DIV/0!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t="e">
        <f t="shared" si="239"/>
        <v>#DIV/0!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t="e">
        <f t="shared" si="246"/>
        <v>#DIV/0!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t="e">
        <f t="shared" si="239"/>
        <v>#DIV/0!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t="e">
        <f t="shared" si="246"/>
        <v>#DIV/0!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t="e">
        <f t="shared" si="239"/>
        <v>#DIV/0!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t="e">
        <f t="shared" si="246"/>
        <v>#DIV/0!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t="e">
        <f t="shared" si="239"/>
        <v>#DIV/0!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t="e">
        <f t="shared" si="246"/>
        <v>#DIV/0!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t="e">
        <f t="shared" si="239"/>
        <v>#DIV/0!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t="e">
        <f t="shared" si="246"/>
        <v>#DIV/0!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t="e">
        <f t="shared" si="239"/>
        <v>#DIV/0!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t="e">
        <f t="shared" si="246"/>
        <v>#DIV/0!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t="e">
        <f t="shared" si="239"/>
        <v>#DIV/0!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t="e">
        <f t="shared" si="246"/>
        <v>#DIV/0!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t="e">
        <f t="shared" si="239"/>
        <v>#DIV/0!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t="e">
        <f t="shared" si="246"/>
        <v>#DIV/0!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t="e">
        <f t="shared" si="239"/>
        <v>#DIV/0!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t="e">
        <f t="shared" si="246"/>
        <v>#DIV/0!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t="e">
        <f t="shared" si="239"/>
        <v>#DIV/0!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t="e">
        <f t="shared" si="246"/>
        <v>#DIV/0!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t="e">
        <f t="shared" si="239"/>
        <v>#DIV/0!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t="e">
        <f t="shared" si="246"/>
        <v>#DIV/0!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t="e">
        <f t="shared" si="239"/>
        <v>#DIV/0!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t="e">
        <f t="shared" si="246"/>
        <v>#DIV/0!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t="e">
        <f t="shared" si="239"/>
        <v>#DIV/0!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t="e">
        <f t="shared" si="246"/>
        <v>#DIV/0!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t="e">
        <f t="shared" si="239"/>
        <v>#DIV/0!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t="e">
        <f t="shared" si="246"/>
        <v>#DIV/0!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t="e">
        <f t="shared" si="239"/>
        <v>#DIV/0!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t="e">
        <f t="shared" si="246"/>
        <v>#DIV/0!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t="e">
        <f t="shared" si="239"/>
        <v>#DIV/0!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t="e">
        <f t="shared" si="246"/>
        <v>#DIV/0!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t="e">
        <f t="shared" si="239"/>
        <v>#DIV/0!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t="e">
        <f t="shared" si="246"/>
        <v>#DIV/0!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t="e">
        <f t="shared" si="239"/>
        <v>#DIV/0!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t="e">
        <f t="shared" si="246"/>
        <v>#DIV/0!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t="e">
        <f t="shared" si="239"/>
        <v>#DIV/0!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t="e">
        <f t="shared" si="246"/>
        <v>#DIV/0!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t="e">
        <f t="shared" si="239"/>
        <v>#DIV/0!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t="e">
        <f t="shared" si="246"/>
        <v>#DIV/0!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t="e">
        <f t="shared" si="239"/>
        <v>#DIV/0!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t="e">
        <f t="shared" si="246"/>
        <v>#DIV/0!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t="e">
        <f t="shared" si="239"/>
        <v>#DIV/0!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t="e">
        <f t="shared" si="246"/>
        <v>#DIV/0!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t="e">
        <f t="shared" si="239"/>
        <v>#DIV/0!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t="e">
        <f t="shared" si="246"/>
        <v>#DIV/0!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t="e">
        <f t="shared" si="239"/>
        <v>#DIV/0!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t="e">
        <f t="shared" si="246"/>
        <v>#DIV/0!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t="e">
        <f t="shared" si="239"/>
        <v>#DIV/0!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t="e">
        <f t="shared" si="246"/>
        <v>#DIV/0!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t="e">
        <f t="shared" si="239"/>
        <v>#DIV/0!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t="e">
        <f t="shared" si="246"/>
        <v>#DIV/0!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t="e">
        <f t="shared" si="239"/>
        <v>#DIV/0!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t="e">
        <f t="shared" si="246"/>
        <v>#DIV/0!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t="e">
        <f t="shared" si="239"/>
        <v>#DIV/0!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t="e">
        <f t="shared" si="246"/>
        <v>#DIV/0!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t="e">
        <f t="shared" si="239"/>
        <v>#DIV/0!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t="e">
        <f t="shared" si="246"/>
        <v>#DIV/0!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t="e">
        <f t="shared" si="239"/>
        <v>#DIV/0!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t="e">
        <f t="shared" si="246"/>
        <v>#DIV/0!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t="e">
        <f t="shared" si="239"/>
        <v>#DIV/0!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t="e">
        <f t="shared" si="246"/>
        <v>#DIV/0!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t="e">
        <f t="shared" si="239"/>
        <v>#DIV/0!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t="e">
        <f t="shared" si="246"/>
        <v>#DIV/0!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t="e">
        <f t="shared" si="239"/>
        <v>#DIV/0!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t="e">
        <f t="shared" si="246"/>
        <v>#DIV/0!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t="e">
        <f t="shared" si="239"/>
        <v>#DIV/0!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t="e">
        <f t="shared" si="246"/>
        <v>#DIV/0!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t="e">
        <f t="shared" si="239"/>
        <v>#DIV/0!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t="e">
        <f t="shared" si="246"/>
        <v>#DIV/0!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t="e">
        <f t="shared" si="239"/>
        <v>#DIV/0!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t="e">
        <f t="shared" si="246"/>
        <v>#DIV/0!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t="e">
        <f t="shared" si="239"/>
        <v>#DIV/0!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t="e">
        <f t="shared" si="246"/>
        <v>#DIV/0!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t="e">
        <f t="shared" si="239"/>
        <v>#DIV/0!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t="e">
        <f t="shared" si="246"/>
        <v>#DIV/0!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t="e">
        <f t="shared" si="239"/>
        <v>#DIV/0!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t="e">
        <f t="shared" si="246"/>
        <v>#DIV/0!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t="e">
        <f t="shared" si="239"/>
        <v>#DIV/0!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t="e">
        <f t="shared" si="246"/>
        <v>#DIV/0!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t="e">
        <f t="shared" si="239"/>
        <v>#DIV/0!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t="e">
        <f t="shared" si="246"/>
        <v>#DIV/0!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t="e">
        <f t="shared" si="239"/>
        <v>#DIV/0!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t="e">
        <f t="shared" si="246"/>
        <v>#DIV/0!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t="e">
        <f t="shared" si="239"/>
        <v>#DIV/0!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t="e">
        <f t="shared" si="246"/>
        <v>#DIV/0!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t="e">
        <f t="shared" si="239"/>
        <v>#DIV/0!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t="e">
        <f t="shared" si="246"/>
        <v>#DIV/0!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t="e">
        <f t="shared" si="239"/>
        <v>#DIV/0!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t="e">
        <f t="shared" si="246"/>
        <v>#DIV/0!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t="e">
        <f t="shared" si="239"/>
        <v>#DIV/0!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t="e">
        <f t="shared" si="246"/>
        <v>#DIV/0!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t="e">
        <f t="shared" si="239"/>
        <v>#DIV/0!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t="e">
        <f t="shared" si="246"/>
        <v>#DIV/0!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t="e">
        <f t="shared" si="239"/>
        <v>#DIV/0!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t="e">
        <f t="shared" si="246"/>
        <v>#DIV/0!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t="e">
        <f t="shared" si="239"/>
        <v>#DIV/0!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t="e">
        <f t="shared" si="246"/>
        <v>#DIV/0!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t="e">
        <f t="shared" si="239"/>
        <v>#DIV/0!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t="e">
        <f t="shared" si="246"/>
        <v>#DIV/0!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t="e">
        <f t="shared" si="239"/>
        <v>#DIV/0!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t="e">
        <f t="shared" si="246"/>
        <v>#DIV/0!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t="e">
        <f t="shared" si="239"/>
        <v>#DIV/0!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t="e">
        <f t="shared" si="246"/>
        <v>#DIV/0!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t="e">
        <f t="shared" si="239"/>
        <v>#DIV/0!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t="e">
        <f t="shared" si="246"/>
        <v>#DIV/0!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t="e">
        <f t="shared" si="239"/>
        <v>#DIV/0!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t="e">
        <f t="shared" si="246"/>
        <v>#DIV/0!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t="e">
        <f t="shared" si="239"/>
        <v>#DIV/0!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t="e">
        <f t="shared" si="246"/>
        <v>#DIV/0!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t="e">
        <f t="shared" si="239"/>
        <v>#DIV/0!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t="e">
        <f t="shared" si="246"/>
        <v>#DIV/0!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t="e">
        <f t="shared" si="239"/>
        <v>#DIV/0!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t="e">
        <f t="shared" si="246"/>
        <v>#DIV/0!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t="e">
        <f t="shared" si="239"/>
        <v>#DIV/0!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t="e">
        <f t="shared" si="246"/>
        <v>#DIV/0!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t="e">
        <f t="shared" si="239"/>
        <v>#DIV/0!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t="e">
        <f t="shared" si="246"/>
        <v>#DIV/0!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t="e">
        <f t="shared" si="239"/>
        <v>#DIV/0!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t="e">
        <f t="shared" si="246"/>
        <v>#DIV/0!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t="e">
        <f t="shared" si="239"/>
        <v>#DIV/0!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t="e">
        <f t="shared" si="246"/>
        <v>#DIV/0!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t="e">
        <f t="shared" si="239"/>
        <v>#DIV/0!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t="e">
        <f t="shared" si="246"/>
        <v>#DIV/0!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t="e">
        <f t="shared" si="239"/>
        <v>#DIV/0!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t="e">
        <f t="shared" ref="AY490:AY521" si="271">ROUND($AY$6*AZ490/$AZ$5,2)</f>
        <v>#DIV/0!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t="e">
        <f t="shared" si="239"/>
        <v>#DIV/0!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t="e">
        <f t="shared" si="271"/>
        <v>#DIV/0!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t="e">
        <f t="shared" si="239"/>
        <v>#DIV/0!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t="e">
        <f t="shared" si="271"/>
        <v>#DIV/0!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t="e">
        <f t="shared" ref="E493:E519" si="293">IF($C$3="是",ROUND($A$3*G493/$B$3,2),ROUND($A$3*(G493-AT493)/$B$3,2))</f>
        <v>#DIV/0!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t="e">
        <f t="shared" si="271"/>
        <v>#DIV/0!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t="e">
        <f t="shared" si="293"/>
        <v>#DIV/0!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t="e">
        <f t="shared" si="271"/>
        <v>#DIV/0!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t="e">
        <f t="shared" si="293"/>
        <v>#DIV/0!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t="e">
        <f t="shared" si="271"/>
        <v>#DIV/0!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t="e">
        <f t="shared" si="293"/>
        <v>#DIV/0!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t="e">
        <f t="shared" si="271"/>
        <v>#DIV/0!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t="e">
        <f t="shared" si="293"/>
        <v>#DIV/0!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t="e">
        <f t="shared" si="271"/>
        <v>#DIV/0!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t="e">
        <f t="shared" si="293"/>
        <v>#DIV/0!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t="e">
        <f t="shared" si="271"/>
        <v>#DIV/0!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t="e">
        <f t="shared" si="293"/>
        <v>#DIV/0!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t="e">
        <f t="shared" si="271"/>
        <v>#DIV/0!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t="e">
        <f t="shared" si="293"/>
        <v>#DIV/0!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t="e">
        <f t="shared" si="271"/>
        <v>#DIV/0!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t="e">
        <f t="shared" si="293"/>
        <v>#DIV/0!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t="e">
        <f t="shared" si="271"/>
        <v>#DIV/0!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t="e">
        <f t="shared" si="293"/>
        <v>#DIV/0!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t="e">
        <f t="shared" si="271"/>
        <v>#DIV/0!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t="e">
        <f t="shared" si="293"/>
        <v>#DIV/0!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t="e">
        <f t="shared" si="271"/>
        <v>#DIV/0!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t="e">
        <f t="shared" si="293"/>
        <v>#DIV/0!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t="e">
        <f t="shared" si="271"/>
        <v>#DIV/0!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t="e">
        <f t="shared" si="293"/>
        <v>#DIV/0!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t="e">
        <f t="shared" si="271"/>
        <v>#DIV/0!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t="e">
        <f t="shared" si="293"/>
        <v>#DIV/0!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t="e">
        <f t="shared" si="271"/>
        <v>#DIV/0!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t="e">
        <f t="shared" si="293"/>
        <v>#DIV/0!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t="e">
        <f t="shared" si="271"/>
        <v>#DIV/0!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t="e">
        <f t="shared" si="293"/>
        <v>#DIV/0!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t="e">
        <f t="shared" si="271"/>
        <v>#DIV/0!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t="e">
        <f t="shared" si="293"/>
        <v>#DIV/0!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t="e">
        <f t="shared" si="271"/>
        <v>#DIV/0!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t="e">
        <f t="shared" si="293"/>
        <v>#DIV/0!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t="e">
        <f t="shared" si="271"/>
        <v>#DIV/0!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t="e">
        <f t="shared" si="293"/>
        <v>#DIV/0!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t="e">
        <f t="shared" si="271"/>
        <v>#DIV/0!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t="e">
        <f t="shared" si="293"/>
        <v>#DIV/0!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t="e">
        <f t="shared" si="271"/>
        <v>#DIV/0!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t="e">
        <f t="shared" si="293"/>
        <v>#DIV/0!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t="e">
        <f t="shared" si="271"/>
        <v>#DIV/0!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t="e">
        <f t="shared" si="293"/>
        <v>#DIV/0!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t="e">
        <f t="shared" si="271"/>
        <v>#DIV/0!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t="e">
        <f t="shared" si="293"/>
        <v>#DIV/0!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t="e">
        <f t="shared" si="271"/>
        <v>#DIV/0!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t="e">
        <f t="shared" si="293"/>
        <v>#DIV/0!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t="e">
        <f t="shared" si="271"/>
        <v>#DIV/0!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t="e">
        <f t="shared" si="293"/>
        <v>#DIV/0!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t="e">
        <f t="shared" si="271"/>
        <v>#DIV/0!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t="e">
        <f t="shared" si="293"/>
        <v>#DIV/0!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t="e">
        <f t="shared" si="271"/>
        <v>#DIV/0!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t="e">
        <f t="shared" si="293"/>
        <v>#DIV/0!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t="e">
        <f t="shared" si="271"/>
        <v>#DIV/0!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t="e">
        <f t="shared" ref="E520:E551" si="297">IF($C$3="是",ROUND($A$3*G520/$B$3,2),ROUND($A$3*(G520-AT520)/$B$3,2))</f>
        <v>#DIV/0!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t="e">
        <f t="shared" si="271"/>
        <v>#DIV/0!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t="e">
        <f t="shared" si="297"/>
        <v>#DIV/0!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t="e">
        <f t="shared" si="271"/>
        <v>#DIV/0!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t="e">
        <f t="shared" si="297"/>
        <v>#DIV/0!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t="e">
        <f t="shared" ref="AY522:AY552" si="304">ROUND($AY$6*AZ522/$AZ$5,2)</f>
        <v>#DIV/0!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t="e">
        <f t="shared" si="297"/>
        <v>#DIV/0!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t="e">
        <f t="shared" si="304"/>
        <v>#DIV/0!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t="e">
        <f t="shared" si="297"/>
        <v>#DIV/0!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t="e">
        <f t="shared" si="304"/>
        <v>#DIV/0!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t="e">
        <f t="shared" si="297"/>
        <v>#DIV/0!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t="e">
        <f t="shared" si="304"/>
        <v>#DIV/0!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t="e">
        <f t="shared" si="297"/>
        <v>#DIV/0!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t="e">
        <f t="shared" si="304"/>
        <v>#DIV/0!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t="e">
        <f t="shared" si="297"/>
        <v>#DIV/0!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t="e">
        <f t="shared" si="304"/>
        <v>#DIV/0!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t="e">
        <f t="shared" si="297"/>
        <v>#DIV/0!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t="e">
        <f t="shared" si="304"/>
        <v>#DIV/0!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t="e">
        <f t="shared" si="297"/>
        <v>#DIV/0!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t="e">
        <f t="shared" si="304"/>
        <v>#DIV/0!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t="e">
        <f t="shared" si="297"/>
        <v>#DIV/0!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t="e">
        <f t="shared" si="304"/>
        <v>#DIV/0!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t="e">
        <f t="shared" si="297"/>
        <v>#DIV/0!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t="e">
        <f t="shared" si="304"/>
        <v>#DIV/0!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t="e">
        <f t="shared" si="297"/>
        <v>#DIV/0!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t="e">
        <f t="shared" si="304"/>
        <v>#DIV/0!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t="e">
        <f t="shared" si="297"/>
        <v>#DIV/0!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t="e">
        <f t="shared" si="304"/>
        <v>#DIV/0!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t="e">
        <f t="shared" si="297"/>
        <v>#DIV/0!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t="e">
        <f t="shared" si="304"/>
        <v>#DIV/0!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t="e">
        <f t="shared" si="297"/>
        <v>#DIV/0!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t="e">
        <f t="shared" si="304"/>
        <v>#DIV/0!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t="e">
        <f t="shared" si="297"/>
        <v>#DIV/0!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t="e">
        <f t="shared" si="304"/>
        <v>#DIV/0!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t="e">
        <f t="shared" si="297"/>
        <v>#DIV/0!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t="e">
        <f t="shared" si="304"/>
        <v>#DIV/0!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t="e">
        <f t="shared" si="297"/>
        <v>#DIV/0!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t="e">
        <f t="shared" si="304"/>
        <v>#DIV/0!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t="e">
        <f t="shared" si="297"/>
        <v>#DIV/0!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t="e">
        <f t="shared" si="304"/>
        <v>#DIV/0!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t="e">
        <f t="shared" si="297"/>
        <v>#DIV/0!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t="e">
        <f t="shared" si="304"/>
        <v>#DIV/0!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t="e">
        <f t="shared" si="297"/>
        <v>#DIV/0!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t="e">
        <f t="shared" si="304"/>
        <v>#DIV/0!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t="e">
        <f t="shared" si="297"/>
        <v>#DIV/0!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t="e">
        <f t="shared" si="304"/>
        <v>#DIV/0!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t="e">
        <f t="shared" si="297"/>
        <v>#DIV/0!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t="e">
        <f t="shared" si="304"/>
        <v>#DIV/0!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t="e">
        <f t="shared" si="297"/>
        <v>#DIV/0!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t="e">
        <f t="shared" si="304"/>
        <v>#DIV/0!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t="e">
        <f t="shared" si="297"/>
        <v>#DIV/0!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t="e">
        <f t="shared" si="304"/>
        <v>#DIV/0!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t="e">
        <f t="shared" si="297"/>
        <v>#DIV/0!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t="e">
        <f t="shared" si="304"/>
        <v>#DIV/0!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t="e">
        <f t="shared" si="297"/>
        <v>#DIV/0!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t="e">
        <f t="shared" si="304"/>
        <v>#DIV/0!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t="e">
        <f t="shared" si="297"/>
        <v>#DIV/0!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t="e">
        <f t="shared" si="304"/>
        <v>#DIV/0!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t="e">
        <f t="shared" si="297"/>
        <v>#DIV/0!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t="e">
        <f t="shared" si="304"/>
        <v>#DIV/0!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t="e">
        <f t="shared" si="297"/>
        <v>#DIV/0!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t="e">
        <f t="shared" si="304"/>
        <v>#DIV/0!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t="e">
        <f t="shared" si="297"/>
        <v>#DIV/0!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t="e">
        <f t="shared" si="304"/>
        <v>#DIV/0!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t="e">
        <f t="shared" ref="E552:E587" si="326">IF($C$3="是",ROUND($A$3*G552/$B$3,2),ROUND($A$3*(G552-AT552)/$B$3,2))</f>
        <v>#DIV/0!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t="e">
        <f t="shared" si="304"/>
        <v>#DIV/0!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t="e">
        <f t="shared" si="326"/>
        <v>#DIV/0!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t="e">
        <f t="shared" ref="AY553:AY584" si="333">ROUND($AY$6*AZ553/$AZ$5,2)</f>
        <v>#DIV/0!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t="e">
        <f t="shared" si="326"/>
        <v>#DIV/0!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t="e">
        <f t="shared" si="333"/>
        <v>#DIV/0!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t="e">
        <f t="shared" si="326"/>
        <v>#DIV/0!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t="e">
        <f t="shared" si="333"/>
        <v>#DIV/0!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t="e">
        <f t="shared" si="326"/>
        <v>#DIV/0!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t="e">
        <f t="shared" si="333"/>
        <v>#DIV/0!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t="e">
        <f t="shared" si="326"/>
        <v>#DIV/0!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t="e">
        <f t="shared" si="333"/>
        <v>#DIV/0!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t="e">
        <f t="shared" si="326"/>
        <v>#DIV/0!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t="e">
        <f t="shared" si="333"/>
        <v>#DIV/0!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t="e">
        <f t="shared" si="326"/>
        <v>#DIV/0!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t="e">
        <f t="shared" si="333"/>
        <v>#DIV/0!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t="e">
        <f t="shared" si="326"/>
        <v>#DIV/0!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t="e">
        <f t="shared" si="333"/>
        <v>#DIV/0!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t="e">
        <f t="shared" si="326"/>
        <v>#DIV/0!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t="e">
        <f t="shared" si="333"/>
        <v>#DIV/0!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t="e">
        <f t="shared" si="326"/>
        <v>#DIV/0!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t="e">
        <f t="shared" si="333"/>
        <v>#DIV/0!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t="e">
        <f t="shared" si="326"/>
        <v>#DIV/0!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t="e">
        <f t="shared" si="333"/>
        <v>#DIV/0!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t="e">
        <f t="shared" si="326"/>
        <v>#DIV/0!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t="e">
        <f t="shared" si="333"/>
        <v>#DIV/0!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t="e">
        <f t="shared" si="326"/>
        <v>#DIV/0!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t="e">
        <f t="shared" si="333"/>
        <v>#DIV/0!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t="e">
        <f t="shared" si="326"/>
        <v>#DIV/0!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t="e">
        <f t="shared" si="333"/>
        <v>#DIV/0!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t="e">
        <f t="shared" si="326"/>
        <v>#DIV/0!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t="e">
        <f t="shared" si="333"/>
        <v>#DIV/0!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t="e">
        <f t="shared" si="326"/>
        <v>#DIV/0!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t="e">
        <f t="shared" si="333"/>
        <v>#DIV/0!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t="e">
        <f t="shared" si="326"/>
        <v>#DIV/0!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t="e">
        <f t="shared" si="333"/>
        <v>#DIV/0!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t="e">
        <f t="shared" si="326"/>
        <v>#DIV/0!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t="e">
        <f t="shared" si="333"/>
        <v>#DIV/0!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t="e">
        <f t="shared" si="326"/>
        <v>#DIV/0!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t="e">
        <f t="shared" si="333"/>
        <v>#DIV/0!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t="e">
        <f t="shared" si="326"/>
        <v>#DIV/0!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t="e">
        <f t="shared" si="333"/>
        <v>#DIV/0!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t="e">
        <f t="shared" si="326"/>
        <v>#DIV/0!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t="e">
        <f t="shared" si="333"/>
        <v>#DIV/0!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t="e">
        <f t="shared" si="326"/>
        <v>#DIV/0!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t="e">
        <f t="shared" si="333"/>
        <v>#DIV/0!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t="e">
        <f t="shared" si="326"/>
        <v>#DIV/0!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t="e">
        <f t="shared" si="333"/>
        <v>#DIV/0!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t="e">
        <f t="shared" si="326"/>
        <v>#DIV/0!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t="e">
        <f t="shared" si="333"/>
        <v>#DIV/0!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t="e">
        <f t="shared" si="326"/>
        <v>#DIV/0!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t="e">
        <f t="shared" si="333"/>
        <v>#DIV/0!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t="e">
        <f t="shared" si="326"/>
        <v>#DIV/0!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t="e">
        <f t="shared" si="333"/>
        <v>#DIV/0!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t="e">
        <f t="shared" si="326"/>
        <v>#DIV/0!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t="e">
        <f t="shared" si="333"/>
        <v>#DIV/0!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t="e">
        <f t="shared" si="326"/>
        <v>#DIV/0!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t="e">
        <f t="shared" si="333"/>
        <v>#DIV/0!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t="e">
        <f t="shared" si="326"/>
        <v>#DIV/0!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t="e">
        <f t="shared" si="333"/>
        <v>#DIV/0!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t="e">
        <f t="shared" si="326"/>
        <v>#DIV/0!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t="e">
        <f t="shared" si="333"/>
        <v>#DIV/0!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t="e">
        <f t="shared" si="326"/>
        <v>#DIV/0!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t="e">
        <f t="shared" si="333"/>
        <v>#DIV/0!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t="e">
        <f t="shared" si="326"/>
        <v>#DIV/0!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t="e">
        <f t="shared" si="333"/>
        <v>#DIV/0!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t="e">
        <f t="shared" si="326"/>
        <v>#DIV/0!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t="e">
        <f>ROUND($AY$6*AZ585/$AZ$5,2)</f>
        <v>#DIV/0!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t="e">
        <f t="shared" si="326"/>
        <v>#DIV/0!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t="e">
        <f>ROUND($AY$6*AZ586/$AZ$5,2)</f>
        <v>#DIV/0!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t="e">
        <f t="shared" si="326"/>
        <v>#DIV/0!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t="e">
        <f>ROUND($AY$6*AZ587/$AZ$5,2)</f>
        <v>#DIV/0!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0" t="s">
        <v>2</v>
      </c>
      <c r="B1" s="3340" t="s">
        <v>37</v>
      </c>
      <c r="C1" s="3340" t="s">
        <v>38</v>
      </c>
      <c r="D1" s="3397" t="s">
        <v>200</v>
      </c>
      <c r="E1" s="3397" t="s">
        <v>201</v>
      </c>
      <c r="F1" s="3397"/>
      <c r="G1" s="3397"/>
      <c r="H1" s="3397"/>
      <c r="I1" s="3397"/>
      <c r="J1" s="3397"/>
      <c r="K1" s="3397"/>
      <c r="L1" s="3397"/>
      <c r="M1" s="3397"/>
    </row>
    <row r="2" spans="1:13" ht="27" customHeight="1">
      <c r="A2" s="3340"/>
      <c r="B2" s="3340"/>
      <c r="C2" s="3340"/>
      <c r="D2" s="3397"/>
      <c r="E2" s="3397" t="s">
        <v>184</v>
      </c>
      <c r="F2" s="3397" t="s">
        <v>185</v>
      </c>
      <c r="G2" s="3397"/>
      <c r="H2" s="3397"/>
      <c r="I2" s="3397"/>
      <c r="J2" s="3397" t="s">
        <v>186</v>
      </c>
      <c r="K2" s="3397"/>
      <c r="L2" s="3397"/>
      <c r="M2" s="3397"/>
    </row>
    <row r="3" spans="1:13" ht="28.5">
      <c r="A3" s="3340"/>
      <c r="B3" s="3340"/>
      <c r="C3" s="3340"/>
      <c r="D3" s="3397"/>
      <c r="E3" s="339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7" t="s">
        <v>202</v>
      </c>
      <c r="B9" s="3397"/>
      <c r="C9" s="339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07" t="s">
        <v>645</v>
      </c>
      <c r="B2" s="3407"/>
      <c r="C2" s="3407"/>
      <c r="D2" s="2212" t="s">
        <v>646</v>
      </c>
      <c r="E2" s="19" t="s">
        <v>647</v>
      </c>
      <c r="F2" s="2228"/>
      <c r="G2" s="1180"/>
      <c r="H2" s="1181"/>
      <c r="I2" s="2220" t="s">
        <v>648</v>
      </c>
      <c r="J2" s="2228"/>
      <c r="K2" s="2228"/>
      <c r="L2" s="2228"/>
      <c r="M2" s="2228"/>
      <c r="N2" s="2237"/>
      <c r="O2" s="2228"/>
      <c r="P2" s="2228"/>
    </row>
    <row r="3" spans="1:16" ht="15.75" thickBot="1">
      <c r="A3" s="3408" t="s">
        <v>649</v>
      </c>
      <c r="B3" s="3408"/>
      <c r="C3" s="3408"/>
      <c r="D3" s="335" t="e">
        <f>'数据-基础表'!AY6</f>
        <v>#DIV/0!</v>
      </c>
      <c r="E3" s="335">
        <f>'数据-基础表'!AZ5</f>
        <v>0</v>
      </c>
      <c r="F3" s="2228"/>
      <c r="G3" s="442"/>
      <c r="H3" s="440" t="s">
        <v>650</v>
      </c>
      <c r="I3" s="344" t="e">
        <f>ROUND('数据-基础表'!B3/'数据-基础表'!A3,2)</f>
        <v>#DIV/0!</v>
      </c>
      <c r="J3" s="2228"/>
      <c r="K3" s="2228"/>
      <c r="L3" s="2228"/>
      <c r="M3" s="2228"/>
      <c r="N3" s="2237"/>
      <c r="O3" s="2228"/>
      <c r="P3" s="2228"/>
    </row>
    <row r="4" spans="1:16" ht="14.25">
      <c r="A4" s="3409"/>
      <c r="B4" s="3410"/>
      <c r="C4" s="3411"/>
      <c r="D4" s="20" t="s">
        <v>646</v>
      </c>
      <c r="E4" s="21" t="s">
        <v>647</v>
      </c>
      <c r="F4" s="2228"/>
      <c r="G4" s="1182" t="s">
        <v>1799</v>
      </c>
      <c r="H4" s="440" t="s">
        <v>651</v>
      </c>
      <c r="I4" s="344" t="e">
        <f>ROUND(SUMIF('数据-基础表'!I9:AS9,"地上",'数据-基础表'!I5:AS5)/'数据-基础表'!A3,2)</f>
        <v>#DIV/0!</v>
      </c>
      <c r="J4" s="2228"/>
      <c r="K4" s="2228"/>
      <c r="L4" s="2228"/>
      <c r="M4" s="2228"/>
      <c r="N4" s="2237"/>
      <c r="O4" s="2228"/>
      <c r="P4" s="2228"/>
    </row>
    <row r="5" spans="1:16" ht="14.25">
      <c r="A5" s="22" t="s">
        <v>652</v>
      </c>
      <c r="B5" s="3412" t="s">
        <v>653</v>
      </c>
      <c r="C5" s="3412"/>
      <c r="D5" s="337" t="e">
        <f>ROUND($D$3*E5/$E$3,2)</f>
        <v>#DIV/0!</v>
      </c>
      <c r="E5" s="338">
        <f>SUMIF('数据-基础表'!$11:$11,"住宅",'数据-基础表'!$5:$5)</f>
        <v>0</v>
      </c>
      <c r="F5" s="2228"/>
      <c r="G5" s="442"/>
      <c r="H5" s="440" t="s">
        <v>650</v>
      </c>
      <c r="I5" s="344" t="e">
        <f>ROUND(E31/D31,2)</f>
        <v>#DIV/0!</v>
      </c>
      <c r="J5" s="2228"/>
      <c r="K5" s="2228"/>
      <c r="L5" s="2228"/>
      <c r="M5" s="2228"/>
      <c r="N5" s="2228"/>
      <c r="O5" s="2228"/>
      <c r="P5" s="2228"/>
    </row>
    <row r="6" spans="1:16" ht="15" thickBot="1">
      <c r="A6" s="24"/>
      <c r="B6" s="3412" t="s">
        <v>654</v>
      </c>
      <c r="C6" s="3412"/>
      <c r="D6" s="337" t="e">
        <f>ROUND($D$3*E6/$E$3,2)</f>
        <v>#DIV/0!</v>
      </c>
      <c r="E6" s="338">
        <f>E3-E5</f>
        <v>0</v>
      </c>
      <c r="F6" s="2228"/>
      <c r="G6" s="1762" t="s">
        <v>1800</v>
      </c>
      <c r="H6" s="442" t="s">
        <v>651</v>
      </c>
      <c r="I6" s="1763" t="e">
        <f>ROUND(F31/D31,2)</f>
        <v>#DIV/0!</v>
      </c>
      <c r="J6" s="2228"/>
      <c r="K6" s="2228"/>
      <c r="L6" s="2228"/>
      <c r="M6" s="2228"/>
      <c r="N6" s="2228"/>
      <c r="O6" s="2228"/>
      <c r="P6" s="2228"/>
    </row>
    <row r="7" spans="1:16" ht="14.25">
      <c r="A7" s="3404"/>
      <c r="B7" s="3405"/>
      <c r="C7" s="3406"/>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t="e">
        <f t="shared" ref="D8:D15" si="0">ROUND($D$3*E8/$E$3,2)</f>
        <v>#DIV/0!</v>
      </c>
      <c r="E8" s="340">
        <f>SUMIF('数据-基础表'!BB10:BK10,"地上",'数据-基础表'!BB5:BK5)</f>
        <v>0</v>
      </c>
      <c r="F8" s="2228"/>
      <c r="G8" s="2229"/>
      <c r="H8" s="2229"/>
      <c r="I8" s="2228"/>
      <c r="J8" s="2228"/>
      <c r="K8" s="2228"/>
      <c r="L8" s="2228"/>
      <c r="M8" s="2228"/>
      <c r="N8" s="2228"/>
      <c r="O8" s="2228"/>
      <c r="P8" s="2228"/>
    </row>
    <row r="9" spans="1:16" ht="14.25">
      <c r="A9" s="27"/>
      <c r="B9" s="28"/>
      <c r="C9" s="23" t="s">
        <v>658</v>
      </c>
      <c r="D9" s="337" t="e">
        <f t="shared" si="0"/>
        <v>#DIV/0!</v>
      </c>
      <c r="E9" s="341">
        <v>0</v>
      </c>
      <c r="F9" s="2228"/>
      <c r="G9" s="2229"/>
      <c r="H9" s="2229"/>
      <c r="I9" s="2228"/>
      <c r="J9" s="2228"/>
      <c r="K9" s="2228"/>
      <c r="L9" s="2228"/>
      <c r="M9" s="2228"/>
      <c r="N9" s="2228"/>
      <c r="O9" s="2228"/>
      <c r="P9" s="2228"/>
    </row>
    <row r="10" spans="1:16" ht="14.25">
      <c r="A10" s="27"/>
      <c r="B10" s="28"/>
      <c r="C10" s="23" t="s">
        <v>659</v>
      </c>
      <c r="D10" s="337" t="e">
        <f t="shared" si="0"/>
        <v>#DIV/0!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t="e">
        <f t="shared" si="0"/>
        <v>#DIV/0!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t="e">
        <f t="shared" si="0"/>
        <v>#DIV/0!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t="e">
        <f t="shared" si="0"/>
        <v>#DIV/0!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t="e">
        <f t="shared" si="0"/>
        <v>#DIV/0!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t="e">
        <f t="shared" si="0"/>
        <v>#DIV/0!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t="e">
        <f>SUM(D8:D15)</f>
        <v>#DIV/0!</v>
      </c>
      <c r="E16" s="342">
        <f>SUM(E8:E15)</f>
        <v>0</v>
      </c>
      <c r="F16" s="2228"/>
      <c r="G16" s="2229"/>
      <c r="H16" s="1179" t="s">
        <v>535</v>
      </c>
      <c r="I16" s="1183"/>
      <c r="J16" s="2228"/>
      <c r="K16" s="3401" t="s">
        <v>535</v>
      </c>
      <c r="L16" s="3402"/>
      <c r="M16" s="3402"/>
      <c r="N16" s="3402"/>
      <c r="O16" s="3402"/>
      <c r="P16" s="3403"/>
    </row>
    <row r="17" spans="1:19" ht="14.25">
      <c r="A17" s="29" t="s">
        <v>665</v>
      </c>
      <c r="B17" s="30" t="s">
        <v>666</v>
      </c>
      <c r="C17" s="34" t="s">
        <v>2402</v>
      </c>
      <c r="D17" s="2078" t="s">
        <v>646</v>
      </c>
      <c r="E17" s="2076" t="s">
        <v>647</v>
      </c>
      <c r="F17" s="36"/>
      <c r="G17" s="37"/>
      <c r="H17" s="1184" t="s">
        <v>667</v>
      </c>
      <c r="I17" s="1185" t="s">
        <v>207</v>
      </c>
      <c r="J17" s="2228"/>
      <c r="K17" s="3398" t="s">
        <v>673</v>
      </c>
      <c r="L17" s="3399"/>
      <c r="M17" s="3400"/>
      <c r="N17" s="3398" t="s">
        <v>2705</v>
      </c>
      <c r="O17" s="3399"/>
      <c r="P17" s="3400"/>
      <c r="R17" s="2488" t="s">
        <v>2403</v>
      </c>
      <c r="S17" s="354"/>
    </row>
    <row r="18" spans="1:19">
      <c r="A18" s="27"/>
      <c r="B18" s="31"/>
      <c r="C18" s="35"/>
      <c r="D18" s="2079"/>
      <c r="E18" s="2077" t="s">
        <v>668</v>
      </c>
      <c r="F18" s="15" t="s">
        <v>669</v>
      </c>
      <c r="G18" s="16" t="s">
        <v>670</v>
      </c>
      <c r="H18" s="1186" t="s">
        <v>671</v>
      </c>
      <c r="I18" s="1187" t="s">
        <v>672</v>
      </c>
      <c r="J18" s="2228"/>
      <c r="K18" s="1186" t="s">
        <v>2698</v>
      </c>
      <c r="L18" s="6" t="s">
        <v>2706</v>
      </c>
      <c r="M18" s="2809" t="s">
        <v>2704</v>
      </c>
      <c r="N18" s="1186" t="s">
        <v>2698</v>
      </c>
      <c r="O18" s="6" t="s">
        <v>2706</v>
      </c>
      <c r="P18" s="2809" t="s">
        <v>2704</v>
      </c>
      <c r="R18" s="2489" t="s">
        <v>2404</v>
      </c>
      <c r="S18" s="2489" t="s">
        <v>2405</v>
      </c>
    </row>
    <row r="19" spans="1:19" ht="14.25">
      <c r="A19" s="32"/>
      <c r="B19" s="26" t="s">
        <v>119</v>
      </c>
      <c r="C19" s="1421"/>
      <c r="D19" s="337" t="e">
        <f>ROUND($D$3*E19/$E$3,2)</f>
        <v>#DIV/0!</v>
      </c>
      <c r="E19" s="345">
        <f t="shared" ref="E19:E26" si="1">SUM(F19:G19)</f>
        <v>0</v>
      </c>
      <c r="F19" s="346"/>
      <c r="G19" s="347"/>
      <c r="H19" s="1133" t="e">
        <f>ROUND($D$3*I19/$E$3,2)</f>
        <v>#DIV/0!</v>
      </c>
      <c r="I19" s="340" t="e">
        <f t="shared" ref="I19:I26" si="2">IF($I$17="自定义",P19,M19)</f>
        <v>#DIV/0!</v>
      </c>
      <c r="J19" s="2228"/>
      <c r="K19" s="2810" t="e">
        <f t="shared" ref="K19:K26" si="3">ROUND(E$28*E19/E$27,2)</f>
        <v>#DIV/0!</v>
      </c>
      <c r="L19" s="2490">
        <f t="shared" ref="L19:L26" si="4">ROUND(IF(COUNTIF(C19,"*住宅*")&gt;0,E$29*E19/E$32,0),2)</f>
        <v>0</v>
      </c>
      <c r="M19" s="2828" t="e">
        <f>K19+L19</f>
        <v>#DIV/0!</v>
      </c>
      <c r="N19" s="2826"/>
      <c r="O19" s="2808"/>
      <c r="P19" s="2811">
        <f>N19+O19</f>
        <v>0</v>
      </c>
      <c r="R19" s="2490" t="e">
        <f t="shared" ref="R19:S26" si="5">D19+H19</f>
        <v>#DIV/0!</v>
      </c>
      <c r="S19" s="2491" t="e">
        <f t="shared" si="5"/>
        <v>#DIV/0!</v>
      </c>
    </row>
    <row r="20" spans="1:19" ht="14.25">
      <c r="A20" s="33"/>
      <c r="B20" s="26" t="s">
        <v>639</v>
      </c>
      <c r="C20" s="1421"/>
      <c r="D20" s="337" t="e">
        <f t="shared" ref="D20:D26" si="6">ROUND($D$3*E20/$E$3,2)</f>
        <v>#DIV/0!</v>
      </c>
      <c r="E20" s="345">
        <f t="shared" si="1"/>
        <v>0</v>
      </c>
      <c r="F20" s="346"/>
      <c r="G20" s="347"/>
      <c r="H20" s="1133" t="e">
        <f t="shared" ref="H20:H26" si="7">ROUND($D$3*I20/$E$3,2)</f>
        <v>#DIV/0!</v>
      </c>
      <c r="I20" s="340" t="e">
        <f t="shared" si="2"/>
        <v>#DIV/0!</v>
      </c>
      <c r="J20" s="2228"/>
      <c r="K20" s="2810" t="e">
        <f t="shared" si="3"/>
        <v>#DIV/0!</v>
      </c>
      <c r="L20" s="2490">
        <f t="shared" si="4"/>
        <v>0</v>
      </c>
      <c r="M20" s="2828" t="e">
        <f t="shared" ref="M20:M26" si="8">K20+L20</f>
        <v>#DIV/0!</v>
      </c>
      <c r="N20" s="2826"/>
      <c r="O20" s="2808"/>
      <c r="P20" s="2811">
        <f t="shared" ref="P20:P26" si="9">N20+O20</f>
        <v>0</v>
      </c>
      <c r="R20" s="2490" t="e">
        <f t="shared" si="5"/>
        <v>#DIV/0!</v>
      </c>
      <c r="S20" s="2491" t="e">
        <f t="shared" si="5"/>
        <v>#DIV/0!</v>
      </c>
    </row>
    <row r="21" spans="1:19" ht="14.25">
      <c r="A21" s="33"/>
      <c r="B21" s="26" t="s">
        <v>639</v>
      </c>
      <c r="C21" s="1421"/>
      <c r="D21" s="337" t="e">
        <f t="shared" si="6"/>
        <v>#DIV/0!</v>
      </c>
      <c r="E21" s="345">
        <f t="shared" si="1"/>
        <v>0</v>
      </c>
      <c r="F21" s="346"/>
      <c r="G21" s="347"/>
      <c r="H21" s="1133" t="e">
        <f t="shared" si="7"/>
        <v>#DIV/0!</v>
      </c>
      <c r="I21" s="340" t="e">
        <f t="shared" si="2"/>
        <v>#DIV/0!</v>
      </c>
      <c r="J21" s="2228"/>
      <c r="K21" s="2810" t="e">
        <f t="shared" si="3"/>
        <v>#DIV/0!</v>
      </c>
      <c r="L21" s="2490">
        <f t="shared" si="4"/>
        <v>0</v>
      </c>
      <c r="M21" s="2828" t="e">
        <f t="shared" si="8"/>
        <v>#DIV/0!</v>
      </c>
      <c r="N21" s="2826"/>
      <c r="O21" s="2808"/>
      <c r="P21" s="2811">
        <f t="shared" si="9"/>
        <v>0</v>
      </c>
      <c r="R21" s="2490" t="e">
        <f t="shared" si="5"/>
        <v>#DIV/0!</v>
      </c>
      <c r="S21" s="2491" t="e">
        <f t="shared" si="5"/>
        <v>#DIV/0!</v>
      </c>
    </row>
    <row r="22" spans="1:19" ht="14.25">
      <c r="A22" s="33"/>
      <c r="B22" s="26" t="s">
        <v>639</v>
      </c>
      <c r="C22" s="349"/>
      <c r="D22" s="337" t="e">
        <f t="shared" si="6"/>
        <v>#DIV/0!</v>
      </c>
      <c r="E22" s="345">
        <f t="shared" si="1"/>
        <v>0</v>
      </c>
      <c r="F22" s="350"/>
      <c r="G22" s="351"/>
      <c r="H22" s="1133" t="e">
        <f t="shared" si="7"/>
        <v>#DIV/0!</v>
      </c>
      <c r="I22" s="340" t="e">
        <f t="shared" si="2"/>
        <v>#DIV/0!</v>
      </c>
      <c r="J22" s="2228"/>
      <c r="K22" s="2810" t="e">
        <f t="shared" si="3"/>
        <v>#DIV/0!</v>
      </c>
      <c r="L22" s="2490">
        <f t="shared" si="4"/>
        <v>0</v>
      </c>
      <c r="M22" s="2828" t="e">
        <f t="shared" si="8"/>
        <v>#DIV/0!</v>
      </c>
      <c r="N22" s="2826"/>
      <c r="O22" s="2808"/>
      <c r="P22" s="2811">
        <f t="shared" si="9"/>
        <v>0</v>
      </c>
      <c r="R22" s="2490" t="e">
        <f t="shared" si="5"/>
        <v>#DIV/0!</v>
      </c>
      <c r="S22" s="2491" t="e">
        <f t="shared" si="5"/>
        <v>#DIV/0!</v>
      </c>
    </row>
    <row r="23" spans="1:19" ht="14.25">
      <c r="A23" s="33"/>
      <c r="B23" s="26" t="s">
        <v>639</v>
      </c>
      <c r="C23" s="349"/>
      <c r="D23" s="337" t="e">
        <f>ROUND($D$3*E23/$E$3,2)</f>
        <v>#DIV/0!</v>
      </c>
      <c r="E23" s="345">
        <f>SUM(F23:G23)</f>
        <v>0</v>
      </c>
      <c r="F23" s="350"/>
      <c r="G23" s="351"/>
      <c r="H23" s="1133" t="e">
        <f>ROUND($D$3*I23/$E$3,2)</f>
        <v>#DIV/0!</v>
      </c>
      <c r="I23" s="340" t="e">
        <f t="shared" si="2"/>
        <v>#DIV/0!</v>
      </c>
      <c r="J23" s="2228"/>
      <c r="K23" s="2810" t="e">
        <f t="shared" si="3"/>
        <v>#DIV/0!</v>
      </c>
      <c r="L23" s="2490">
        <f t="shared" si="4"/>
        <v>0</v>
      </c>
      <c r="M23" s="2828" t="e">
        <f t="shared" si="8"/>
        <v>#DIV/0!</v>
      </c>
      <c r="N23" s="2826"/>
      <c r="O23" s="2808"/>
      <c r="P23" s="2811">
        <f t="shared" si="9"/>
        <v>0</v>
      </c>
      <c r="R23" s="2490" t="e">
        <f t="shared" si="5"/>
        <v>#DIV/0!</v>
      </c>
      <c r="S23" s="2491" t="e">
        <f t="shared" si="5"/>
        <v>#DIV/0!</v>
      </c>
    </row>
    <row r="24" spans="1:19" ht="14.25">
      <c r="A24" s="33"/>
      <c r="B24" s="26" t="s">
        <v>639</v>
      </c>
      <c r="C24" s="349"/>
      <c r="D24" s="337" t="e">
        <f>ROUND($D$3*E24/$E$3,2)</f>
        <v>#DIV/0!</v>
      </c>
      <c r="E24" s="345">
        <f>SUM(F24:G24)</f>
        <v>0</v>
      </c>
      <c r="F24" s="350"/>
      <c r="G24" s="351"/>
      <c r="H24" s="1133" t="e">
        <f>ROUND($D$3*I24/$E$3,2)</f>
        <v>#DIV/0!</v>
      </c>
      <c r="I24" s="340" t="e">
        <f t="shared" si="2"/>
        <v>#DIV/0!</v>
      </c>
      <c r="J24" s="2228"/>
      <c r="K24" s="2810" t="e">
        <f t="shared" si="3"/>
        <v>#DIV/0!</v>
      </c>
      <c r="L24" s="2490">
        <f t="shared" si="4"/>
        <v>0</v>
      </c>
      <c r="M24" s="2828" t="e">
        <f t="shared" si="8"/>
        <v>#DIV/0!</v>
      </c>
      <c r="N24" s="2826"/>
      <c r="O24" s="2808"/>
      <c r="P24" s="2811">
        <f t="shared" si="9"/>
        <v>0</v>
      </c>
      <c r="R24" s="2490" t="e">
        <f t="shared" si="5"/>
        <v>#DIV/0!</v>
      </c>
      <c r="S24" s="2491" t="e">
        <f t="shared" si="5"/>
        <v>#DIV/0!</v>
      </c>
    </row>
    <row r="25" spans="1:19" ht="14.25">
      <c r="A25" s="33"/>
      <c r="B25" s="26" t="s">
        <v>639</v>
      </c>
      <c r="C25" s="349"/>
      <c r="D25" s="337" t="e">
        <f t="shared" si="6"/>
        <v>#DIV/0!</v>
      </c>
      <c r="E25" s="345">
        <f t="shared" si="1"/>
        <v>0</v>
      </c>
      <c r="F25" s="350"/>
      <c r="G25" s="351"/>
      <c r="H25" s="336" t="e">
        <f t="shared" si="7"/>
        <v>#DIV/0!</v>
      </c>
      <c r="I25" s="340" t="e">
        <f t="shared" si="2"/>
        <v>#DIV/0!</v>
      </c>
      <c r="J25" s="2228"/>
      <c r="K25" s="2810" t="e">
        <f t="shared" si="3"/>
        <v>#DIV/0!</v>
      </c>
      <c r="L25" s="2490">
        <f t="shared" si="4"/>
        <v>0</v>
      </c>
      <c r="M25" s="2828" t="e">
        <f t="shared" si="8"/>
        <v>#DIV/0!</v>
      </c>
      <c r="N25" s="2826"/>
      <c r="O25" s="2808"/>
      <c r="P25" s="2811">
        <f t="shared" si="9"/>
        <v>0</v>
      </c>
      <c r="R25" s="2490" t="e">
        <f t="shared" si="5"/>
        <v>#DIV/0!</v>
      </c>
      <c r="S25" s="2491" t="e">
        <f t="shared" si="5"/>
        <v>#DIV/0!</v>
      </c>
    </row>
    <row r="26" spans="1:19" ht="14.25">
      <c r="A26" s="33"/>
      <c r="B26" s="26" t="s">
        <v>639</v>
      </c>
      <c r="C26" s="353"/>
      <c r="D26" s="337" t="e">
        <f t="shared" si="6"/>
        <v>#DIV/0!</v>
      </c>
      <c r="E26" s="345">
        <f t="shared" si="1"/>
        <v>0</v>
      </c>
      <c r="F26" s="350"/>
      <c r="G26" s="351"/>
      <c r="H26" s="336" t="e">
        <f t="shared" si="7"/>
        <v>#DIV/0!</v>
      </c>
      <c r="I26" s="340" t="e">
        <f t="shared" si="2"/>
        <v>#DIV/0!</v>
      </c>
      <c r="J26" s="2228"/>
      <c r="K26" s="2819" t="e">
        <f t="shared" si="3"/>
        <v>#DIV/0!</v>
      </c>
      <c r="L26" s="2820">
        <f t="shared" si="4"/>
        <v>0</v>
      </c>
      <c r="M26" s="357" t="e">
        <f t="shared" si="8"/>
        <v>#DIV/0!</v>
      </c>
      <c r="N26" s="2827"/>
      <c r="O26" s="2821"/>
      <c r="P26" s="2822">
        <f t="shared" si="9"/>
        <v>0</v>
      </c>
      <c r="R26" s="2490" t="e">
        <f t="shared" si="5"/>
        <v>#DIV/0!</v>
      </c>
      <c r="S26" s="2491" t="e">
        <f t="shared" si="5"/>
        <v>#DIV/0!</v>
      </c>
    </row>
    <row r="27" spans="1:19" ht="15.75" thickBot="1">
      <c r="A27" s="33"/>
      <c r="B27" s="23"/>
      <c r="C27" s="2781" t="s">
        <v>640</v>
      </c>
      <c r="D27" s="2813" t="e">
        <f>SUM(D19:D26)</f>
        <v>#DIV/0!</v>
      </c>
      <c r="E27" s="2814">
        <f>IF(SUM(E19:E26)='数据-基础表'!BA5,SUM(E19:E26),IF(F27="地上面积有误","面积有误","地下面积有误"))</f>
        <v>0</v>
      </c>
      <c r="F27" s="2813">
        <f>IF(SUM(F19:F26)=E8,SUM(F19:F26),"地上面积有误")</f>
        <v>0</v>
      </c>
      <c r="G27" s="2815">
        <f>SUM(G19:G26)</f>
        <v>0</v>
      </c>
      <c r="H27" s="2816" t="e">
        <f>SUM(H19:H26)</f>
        <v>#DIV/0!</v>
      </c>
      <c r="I27" s="2817" t="e">
        <f>SUM(I19:I26)</f>
        <v>#DIV/0!</v>
      </c>
      <c r="J27" s="2228"/>
      <c r="K27" s="2823" t="e">
        <f>SUM(K19:K26)</f>
        <v>#DIV/0!</v>
      </c>
      <c r="L27" s="2824">
        <f>SUM(L19:L26)</f>
        <v>0</v>
      </c>
      <c r="M27" s="2829" t="e">
        <f>SUM(M19:M26)</f>
        <v>#DIV/0!</v>
      </c>
      <c r="N27" s="2823">
        <f t="shared" ref="N27:O27" si="10">SUM(N19:N26)</f>
        <v>0</v>
      </c>
      <c r="O27" s="2824">
        <f t="shared" si="10"/>
        <v>0</v>
      </c>
      <c r="P27" s="2825">
        <f>SUM(P19:P26)</f>
        <v>0</v>
      </c>
      <c r="R27" s="2492" t="e">
        <f>IF(SUM(R19:R26)=$D$3,SUM(R19:R26),SUM(R19:R26)&amp;"误差"&amp;ROUND(SUM(R19:R26)-$D$3,2))</f>
        <v>#DIV/0!</v>
      </c>
      <c r="S27" s="2490" t="e">
        <f>IF(SUM(S19:S26)=$E$3,SUM(S19:S26),SUM(S19:S26)&amp;"误差"&amp;ROUND(SUM(S19:S26)-E3,2))</f>
        <v>#DIV/0!</v>
      </c>
    </row>
    <row r="28" spans="1:19" ht="14.25">
      <c r="A28" s="33"/>
      <c r="B28" s="26" t="s">
        <v>641</v>
      </c>
      <c r="C28" s="5" t="s">
        <v>642</v>
      </c>
      <c r="D28" s="337" t="e">
        <f>ROUND($D$3*E28/$E$3,2)</f>
        <v>#DIV/0!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t="e">
        <f>ROUND($D$3*E29/$E$3,2)</f>
        <v>#DIV/0!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t="e">
        <f>SUM(D28:D29)</f>
        <v>#DIV/0!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t="e">
        <f>D27+D30</f>
        <v>#DIV/0!</v>
      </c>
      <c r="E31" s="1189">
        <f>E27+E30</f>
        <v>0</v>
      </c>
      <c r="F31" s="1190">
        <f>F27+F30</f>
        <v>0</v>
      </c>
      <c r="G31" s="1191">
        <f>G27+G30</f>
        <v>0</v>
      </c>
      <c r="H31" s="2228"/>
      <c r="I31" s="2228"/>
      <c r="J31" s="2228"/>
      <c r="K31" s="2228"/>
      <c r="L31" s="2228"/>
      <c r="M31" s="2228"/>
      <c r="N31" s="2228"/>
      <c r="O31" s="2228"/>
      <c r="P31" s="2228"/>
    </row>
    <row r="32" spans="1:19" ht="14.25">
      <c r="A32" s="1182"/>
      <c r="B32" s="1182" t="s">
        <v>2719</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7" activePane="bottomRight" state="frozen"/>
      <selection activeCell="C50" sqref="C50"/>
      <selection pane="topRight" activeCell="C50" sqref="C50"/>
      <selection pane="bottomLeft" activeCell="C50" sqref="C50"/>
      <selection pane="bottomRight" activeCell="E41" sqref="E41"/>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0</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2699</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2690</v>
      </c>
      <c r="AP5" s="2897" t="s">
        <v>2700</v>
      </c>
      <c r="AQ5" s="2898" t="s">
        <v>2811</v>
      </c>
      <c r="AR5" s="2898" t="s">
        <v>2812</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f>'数据-汇总表'!C19</f>
        <v>0</v>
      </c>
      <c r="B6" s="2496" t="str">
        <f>IF(A6=0,"","经营性")</f>
        <v/>
      </c>
      <c r="C6" s="39"/>
      <c r="D6" s="2059">
        <f>SUMIF(项目基本情况!D$12:I$12,C6,项目基本情况!D$14:I$14)</f>
        <v>0</v>
      </c>
      <c r="E6" s="2053" t="str">
        <f>IF(B6="","",SUMIF(项目基本情况!D$12:I$12,C6,项目基本情况!D$13:I$13))</f>
        <v/>
      </c>
      <c r="F6" s="362">
        <f>SUMIF(项目基本情况!D$12:I$12,C6,项目基本情况!D$15:I$15)</f>
        <v>0</v>
      </c>
      <c r="G6" s="363">
        <f>IF(ISERROR(ROUND(POWER(1+H6,D6-F6)*(POWER(1+H6,F6)-1)/(POWER(1+H6,D6)-1),3)),0,ROUND(POWER(1+H6,D6-F6)*(POWER(1+H6,F6)-1)/(POWER(1+H6,D6)-1),3))</f>
        <v>0</v>
      </c>
      <c r="H6" s="1476"/>
      <c r="I6" s="1476"/>
      <c r="J6" s="364"/>
      <c r="K6" s="2499">
        <f>SUMIF('数据-汇总表'!C$19:C$33,A6,'数据-汇总表'!E$19:E$33)</f>
        <v>0</v>
      </c>
      <c r="L6" s="1477"/>
      <c r="M6" s="365">
        <f t="shared" ref="M6:M14" si="0">ROUND(K6*L6/10000,0)</f>
        <v>0</v>
      </c>
      <c r="N6" s="1475"/>
      <c r="O6" s="365" t="str">
        <f>IF($N$5="成新度","——",ROUND(M6*N6,0))</f>
        <v>——</v>
      </c>
      <c r="P6" s="366" t="str">
        <f>IF($N$5="成新度","——",M6-O6)</f>
        <v>——</v>
      </c>
      <c r="Q6" s="1478"/>
      <c r="R6" s="367">
        <f ca="1">SUMIF('数据-汇总表'!C$19:C$33,A6,'数据-汇总表'!R$19:R$27)</f>
        <v>0</v>
      </c>
      <c r="S6" s="343">
        <f>IF('数据-汇总表'!$I$17="按面积比例",SUMIF('数据-汇总表'!C$19:C$33,A6,'数据-汇总表'!K$19:K$33),SUMIF('数据-汇总表'!C$19:C$33,A6,'数据-汇总表'!N$19:N$33))</f>
        <v>0</v>
      </c>
      <c r="T6" s="2896">
        <f>ROUND($L$14*S6/10000,0)</f>
        <v>0</v>
      </c>
      <c r="U6" s="368"/>
      <c r="V6" s="369"/>
      <c r="W6" s="369"/>
      <c r="X6" s="2509"/>
      <c r="Y6" s="370"/>
      <c r="Z6" s="371"/>
      <c r="AA6" s="364"/>
      <c r="AB6" s="364"/>
      <c r="AC6" s="2509"/>
      <c r="AD6" s="372"/>
      <c r="AE6" s="2510">
        <f ca="1">IF(AN6="",0,SUMIF(INDIRECT("'"&amp;AN6&amp;"'"&amp;"!E:E"),$AE$5,INDIRECT("'"&amp;AN6&amp;"'"&amp;"!F:F")))</f>
        <v>0</v>
      </c>
      <c r="AF6" s="352"/>
      <c r="AG6" s="478">
        <f>IF(AF6="",0,AE6-AF6)</f>
        <v>0</v>
      </c>
      <c r="AH6" s="373"/>
      <c r="AI6" s="375"/>
      <c r="AJ6" s="376"/>
      <c r="AK6" s="377"/>
      <c r="AL6" s="378"/>
      <c r="AM6" s="379"/>
      <c r="AN6" s="2579"/>
      <c r="AO6" s="344" t="e">
        <f ca="1">SUMIF(INDIRECT("'"&amp;AN6&amp;"'"&amp;"!A:A"),"总价",INDIRECT("'"&amp;AN6&amp;"'"&amp;"!B:B"))</f>
        <v>#REF!</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t="e">
        <f>ROUND(SUMPRODUCT(G6:G13,K6:K13)/SUMPRODUCT((G6:G13&gt;0)*(K6:K13)),3)</f>
        <v>#DIV/0!</v>
      </c>
      <c r="H16" s="389" t="e">
        <f>ROUND(SUMPRODUCT(H6:H13,K6:K13)/SUMPRODUCT((H6:H13&gt;0)*(K6:K13)),3)</f>
        <v>#DIV/0!</v>
      </c>
      <c r="I16" s="390"/>
      <c r="J16" s="390"/>
      <c r="K16" s="391">
        <f>SUM(K6:K15)</f>
        <v>0</v>
      </c>
      <c r="L16" s="392" t="e">
        <f>ROUND(M16*10000/SUM(K6:K14),0)</f>
        <v>#DIV/0!</v>
      </c>
      <c r="M16" s="392">
        <f>SUM(M6:M14)</f>
        <v>0</v>
      </c>
      <c r="N16" s="393" t="e">
        <f>ROUND(SUMPRODUCT(M6:M14,N6:N14)/M16,3)</f>
        <v>#DIV/0!</v>
      </c>
      <c r="O16" s="392">
        <f>SUM(O6:O14)</f>
        <v>0</v>
      </c>
      <c r="P16" s="392">
        <f>SUM(P6:P14)</f>
        <v>0</v>
      </c>
      <c r="Q16" s="394" t="e">
        <f>ROUND(SUMPRODUCT(Q6:Q13,K6:K13)/SUMPRODUCT((Q6:Q13&gt;0)*(K6:K13)),2)</f>
        <v>#DIV/0!</v>
      </c>
      <c r="R16" s="2503">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0</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0</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2702</v>
      </c>
      <c r="B29" s="411"/>
      <c r="C29" s="2531" t="s">
        <v>2703</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c r="C33" s="3297" t="s">
        <v>3016</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c r="C34" s="3297" t="s">
        <v>3017</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c r="C35" s="3297" t="s">
        <v>3018</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c r="C36" s="3297" t="s">
        <v>3019</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c r="C37" s="3297" t="s">
        <v>3020</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c r="C38" s="3297" t="s">
        <v>3020</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2552</v>
      </c>
      <c r="B39" s="699">
        <f ca="1">存贷款利率!I1</f>
        <v>0</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2628</v>
      </c>
      <c r="B40" s="2639">
        <f ca="1">存贷款利率!G1</f>
        <v>0</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0.05</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2">
        <f>IF(B2&lt;DATE(2016,5,1),0,B42)</f>
        <v>0</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0</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c r="C44" s="3297" t="s">
        <v>3022</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c r="C45" s="3298" t="s">
        <v>3021</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c r="C46" s="3298" t="s">
        <v>3050</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c r="C48" s="3320" t="s">
        <v>3051</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c r="C49" s="3320" t="s">
        <v>3052</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0</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c r="C53" s="2237" t="s">
        <v>3023</v>
      </c>
      <c r="D53" s="2240" t="s">
        <v>3027</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3024</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3025</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3026</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13" t="s">
        <v>754</v>
      </c>
      <c r="B1" s="3414"/>
      <c r="C1" s="3414"/>
      <c r="D1" s="3414"/>
      <c r="E1" s="3414"/>
      <c r="F1" s="3414"/>
      <c r="G1" s="3414"/>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9" t="s">
        <v>758</v>
      </c>
      <c r="D3" s="2259"/>
      <c r="E3" s="1030" t="s">
        <v>757</v>
      </c>
      <c r="F3" s="1214" t="s">
        <v>99</v>
      </c>
      <c r="G3" s="3303" t="s">
        <v>3030</v>
      </c>
      <c r="H3" s="2258"/>
      <c r="I3" s="2258"/>
      <c r="J3" s="2258"/>
      <c r="K3" s="2258"/>
      <c r="L3" s="2258"/>
      <c r="M3" s="2258"/>
      <c r="N3" s="2258"/>
      <c r="O3" s="2258"/>
      <c r="P3" s="2258"/>
      <c r="Q3" s="2258"/>
      <c r="R3" s="2258"/>
    </row>
    <row r="4" spans="1:29" ht="40.5">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0.5">
      <c r="A5" s="1030"/>
      <c r="B5" s="2214" t="s">
        <v>763</v>
      </c>
      <c r="C5" s="3300" t="s">
        <v>764</v>
      </c>
      <c r="D5" s="2259"/>
      <c r="E5" s="1215"/>
      <c r="F5" s="2747" t="s">
        <v>2645</v>
      </c>
      <c r="G5" s="3301" t="s">
        <v>2647</v>
      </c>
      <c r="H5" s="2258"/>
      <c r="I5" s="2258"/>
      <c r="J5" s="2258"/>
      <c r="K5" s="2258"/>
      <c r="L5" s="2258"/>
      <c r="M5" s="2258"/>
      <c r="N5" s="2258"/>
      <c r="O5" s="2258"/>
      <c r="P5" s="2258"/>
      <c r="Q5" s="2258"/>
      <c r="R5" s="2258"/>
    </row>
    <row r="6" spans="1:29" ht="54">
      <c r="A6" s="1030"/>
      <c r="B6" s="2214" t="s">
        <v>72</v>
      </c>
      <c r="C6" s="3301" t="s">
        <v>738</v>
      </c>
      <c r="D6" s="2259"/>
      <c r="E6" s="1215"/>
      <c r="F6" s="2747" t="s">
        <v>2644</v>
      </c>
      <c r="G6" s="3301" t="s">
        <v>2646</v>
      </c>
      <c r="H6" s="2258"/>
      <c r="I6" s="2258"/>
      <c r="J6" s="2258"/>
      <c r="K6" s="2258"/>
      <c r="L6" s="2258"/>
      <c r="M6" s="2258"/>
      <c r="N6" s="2258"/>
      <c r="O6" s="2258"/>
      <c r="P6" s="2258"/>
      <c r="Q6" s="2258"/>
      <c r="R6" s="2258"/>
    </row>
    <row r="7" spans="1:29" ht="41.25" thickBot="1">
      <c r="A7" s="1030"/>
      <c r="B7" s="2214" t="s">
        <v>2645</v>
      </c>
      <c r="C7" s="3301" t="s">
        <v>2647</v>
      </c>
      <c r="D7" s="2260"/>
      <c r="E7" s="1216"/>
      <c r="F7" s="1217" t="s">
        <v>739</v>
      </c>
      <c r="G7" s="3304" t="s">
        <v>3031</v>
      </c>
      <c r="H7" s="2258"/>
      <c r="I7" s="2258"/>
      <c r="J7" s="2258"/>
      <c r="K7" s="2258"/>
      <c r="L7" s="2258"/>
      <c r="M7" s="2258"/>
      <c r="N7" s="2258"/>
      <c r="O7" s="2258"/>
      <c r="P7" s="2258"/>
      <c r="Q7" s="2258"/>
      <c r="R7" s="2258"/>
    </row>
    <row r="8" spans="1:29" ht="27">
      <c r="A8" s="1030"/>
      <c r="B8" s="2747" t="s">
        <v>2644</v>
      </c>
      <c r="C8" s="3301" t="s">
        <v>2646</v>
      </c>
      <c r="D8" s="2260"/>
      <c r="E8" s="2260"/>
      <c r="F8" s="2261"/>
      <c r="G8" s="2261"/>
      <c r="H8" s="2258"/>
      <c r="I8" s="2258"/>
      <c r="J8" s="2258"/>
      <c r="K8" s="2258"/>
      <c r="L8" s="2258"/>
      <c r="M8" s="2258"/>
      <c r="N8" s="2258"/>
      <c r="O8" s="2258"/>
      <c r="P8" s="2258"/>
      <c r="Q8" s="2258"/>
      <c r="R8" s="2258"/>
    </row>
    <row r="9" spans="1:29" ht="40.5">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2645</v>
      </c>
      <c r="G19" s="1025" t="str">
        <f>G5</f>
        <v>估价对象所在区域公共配套设施齐备情况</v>
      </c>
    </row>
    <row r="20" spans="1:18" ht="40.5">
      <c r="A20" s="2763"/>
      <c r="B20" s="1228" t="s">
        <v>90</v>
      </c>
      <c r="C20" s="1227" t="str">
        <f>C9</f>
        <v>区域自然环境：；人文环境；综合评价环境状况一般</v>
      </c>
      <c r="D20" s="2260"/>
      <c r="E20" s="2761"/>
      <c r="F20" s="2747" t="s">
        <v>2644</v>
      </c>
      <c r="G20" s="1025" t="str">
        <f>G6</f>
        <v>估价对象所在区域基础设施水平</v>
      </c>
    </row>
    <row r="21" spans="1:18" ht="27">
      <c r="A21" s="2763"/>
      <c r="B21" s="2747" t="s">
        <v>2645</v>
      </c>
      <c r="C21" s="1025" t="str">
        <f>C7</f>
        <v>估价对象所在区域公共配套设施齐备情况</v>
      </c>
      <c r="D21" s="2259"/>
      <c r="E21" s="2761"/>
      <c r="F21" s="1228" t="s">
        <v>89</v>
      </c>
      <c r="G21" s="283"/>
    </row>
    <row r="22" spans="1:18" ht="13.5" customHeight="1">
      <c r="A22" s="2763"/>
      <c r="B22" s="2747" t="s">
        <v>2644</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2999</v>
      </c>
      <c r="B1" s="3263">
        <f>SUM(B14:B23)</f>
        <v>0</v>
      </c>
      <c r="C1" s="3262"/>
      <c r="D1" s="3262"/>
      <c r="E1" s="3262"/>
      <c r="F1" s="3262"/>
      <c r="G1" s="3260"/>
    </row>
    <row r="2" spans="1:10" ht="16.5">
      <c r="A2" s="3263" t="s">
        <v>2987</v>
      </c>
      <c r="B2" s="3263" t="e">
        <f>SUM(C14:C23)</f>
        <v>#DIV/0!</v>
      </c>
      <c r="C2" s="3262"/>
      <c r="D2" s="3262"/>
      <c r="E2" s="3262"/>
      <c r="F2" s="3262"/>
      <c r="G2" s="3260"/>
    </row>
    <row r="3" spans="1:10" ht="16.5">
      <c r="A3" s="3263" t="s">
        <v>2996</v>
      </c>
      <c r="B3" s="3264">
        <f>项目基本情况!D3</f>
        <v>0</v>
      </c>
      <c r="C3" s="3262"/>
      <c r="D3" s="3262"/>
      <c r="E3" s="3262"/>
      <c r="F3" s="3262"/>
      <c r="G3" s="3260"/>
    </row>
    <row r="4" spans="1:10" ht="33">
      <c r="A4" s="3263" t="s">
        <v>2995</v>
      </c>
      <c r="B4" s="3263" t="s">
        <v>2994</v>
      </c>
      <c r="C4" s="3263" t="s">
        <v>2993</v>
      </c>
      <c r="D4" s="3263" t="s">
        <v>2992</v>
      </c>
      <c r="E4" s="3262"/>
      <c r="F4" s="3260"/>
      <c r="G4" s="3260"/>
    </row>
    <row r="5" spans="1:10" ht="16.5">
      <c r="A5" s="3263" t="s">
        <v>2991</v>
      </c>
      <c r="B5" s="3263" t="e">
        <f ca="1">SUM(D14:D23)</f>
        <v>#REF!</v>
      </c>
      <c r="C5" s="3263" t="e">
        <f ca="1">ROUND(B5*10000/$B$1,0)</f>
        <v>#REF!</v>
      </c>
      <c r="D5" s="3263" t="e">
        <f ca="1">ROUND(B5*10000/$B$2,0)</f>
        <v>#REF!</v>
      </c>
      <c r="E5" s="3262"/>
      <c r="F5" s="3260"/>
      <c r="G5" s="3260"/>
    </row>
    <row r="6" spans="1:10" ht="16.5">
      <c r="A6" s="3263" t="s">
        <v>2990</v>
      </c>
      <c r="B6" s="3263" t="e">
        <f ca="1">SUM(G14:G23)</f>
        <v>#REF!</v>
      </c>
      <c r="C6" s="3263" t="e">
        <f ca="1">ROUND(B6*10000/$B$1,0)</f>
        <v>#REF!</v>
      </c>
      <c r="D6" s="3263" t="e">
        <f ca="1">ROUND(B6*10000/$B$2,0)</f>
        <v>#REF!</v>
      </c>
      <c r="E6" s="3262"/>
      <c r="F6" s="3260"/>
      <c r="G6" s="3260"/>
    </row>
    <row r="7" spans="1:10" ht="16.5">
      <c r="A7" s="3263" t="s">
        <v>2998</v>
      </c>
      <c r="B7" s="3263">
        <f>SUM(H14:H23)</f>
        <v>0</v>
      </c>
      <c r="C7" s="3263" t="e">
        <f>ROUND(B7*10000/$B$1,0)</f>
        <v>#DIV/0!</v>
      </c>
      <c r="D7" s="3263" t="e">
        <f>ROUND(B7*10000/$B$2,0)</f>
        <v>#DIV/0!</v>
      </c>
      <c r="E7" s="3262"/>
      <c r="F7" s="3260"/>
      <c r="G7" s="3260"/>
    </row>
    <row r="8" spans="1:10" ht="16.5">
      <c r="A8" s="3263" t="s">
        <v>2887</v>
      </c>
      <c r="B8" s="3263">
        <f>SUM(I14:I23)</f>
        <v>0</v>
      </c>
      <c r="C8" s="3263" t="e">
        <f>ROUND(B8*10000/$B$1,0)</f>
        <v>#DIV/0!</v>
      </c>
      <c r="D8" s="3263" t="e">
        <f>ROUND(B8*10000/$B$2,0)</f>
        <v>#DIV/0!</v>
      </c>
      <c r="E8" s="3262"/>
      <c r="F8" s="3260"/>
      <c r="G8" s="3260"/>
    </row>
    <row r="9" spans="1:10" ht="16.5">
      <c r="A9" s="3263" t="s">
        <v>2989</v>
      </c>
      <c r="B9" s="3265"/>
      <c r="C9" s="3262"/>
      <c r="D9" s="3262"/>
      <c r="E9" s="3262"/>
      <c r="F9" s="3260"/>
      <c r="G9" s="3260"/>
    </row>
    <row r="10" spans="1:10" ht="16.5">
      <c r="A10" s="3263" t="s">
        <v>2988</v>
      </c>
      <c r="B10" s="3265"/>
      <c r="C10" s="3262"/>
      <c r="D10" s="3262"/>
      <c r="E10" s="3262"/>
      <c r="F10" s="3260"/>
      <c r="G10" s="3260"/>
    </row>
    <row r="11" spans="1:10" ht="16.5">
      <c r="A11" s="3263" t="s">
        <v>3004</v>
      </c>
      <c r="B11" s="3265"/>
      <c r="C11" s="3262"/>
      <c r="D11" s="3262"/>
      <c r="E11" s="3262"/>
      <c r="F11" s="3260"/>
      <c r="G11" s="3260"/>
    </row>
    <row r="12" spans="1:10" ht="16.5">
      <c r="A12" s="3262"/>
      <c r="B12" s="3262"/>
      <c r="C12" s="3262"/>
      <c r="D12" s="3262"/>
      <c r="E12" s="3262"/>
      <c r="F12" s="3260"/>
      <c r="G12" s="3260"/>
    </row>
    <row r="13" spans="1:10" ht="33">
      <c r="A13" s="3268" t="s">
        <v>3003</v>
      </c>
      <c r="B13" s="3261" t="s">
        <v>3000</v>
      </c>
      <c r="C13" s="3261" t="s">
        <v>3002</v>
      </c>
      <c r="D13" s="3261" t="s">
        <v>3001</v>
      </c>
      <c r="E13" s="3263" t="s">
        <v>2993</v>
      </c>
      <c r="F13" s="3263" t="s">
        <v>2992</v>
      </c>
      <c r="G13" s="3261" t="s">
        <v>2986</v>
      </c>
      <c r="H13" s="3261" t="s">
        <v>2997</v>
      </c>
      <c r="I13" s="3261" t="s">
        <v>2985</v>
      </c>
      <c r="J13" s="3260"/>
    </row>
    <row r="14" spans="1:10" ht="16.5">
      <c r="A14" s="3259" t="s">
        <v>2984</v>
      </c>
      <c r="B14" s="3261">
        <f>'数据-汇总表'!E3</f>
        <v>0</v>
      </c>
      <c r="C14" s="3261" t="e">
        <f>'数据-汇总表'!D3</f>
        <v>#DIV/0!</v>
      </c>
      <c r="D14" s="3261" t="e">
        <f ca="1">结果表!H118</f>
        <v>#REF!</v>
      </c>
      <c r="E14" s="3261" t="e">
        <f ca="1">ROUND(D14*10000/B14,0)</f>
        <v>#REF!</v>
      </c>
      <c r="F14" s="3261" t="e">
        <f ca="1">ROUND(D14*10000/C14,0)</f>
        <v>#REF!</v>
      </c>
      <c r="G14" s="3261" t="e">
        <f ca="1">结果表!D122</f>
        <v>#REF!</v>
      </c>
      <c r="H14" s="3261" t="str">
        <f>结果表!D124</f>
        <v>——</v>
      </c>
      <c r="I14" s="3261" t="str">
        <f>结果表!D126</f>
        <v>——</v>
      </c>
      <c r="J14" s="3260"/>
    </row>
    <row r="15" spans="1:10" ht="16.5">
      <c r="A15" s="3259" t="s">
        <v>2983</v>
      </c>
      <c r="B15" s="3266"/>
      <c r="C15" s="3266"/>
      <c r="D15" s="3266"/>
      <c r="E15" s="3261" t="e">
        <f t="shared" ref="E15:E23" si="0">ROUND(D15*10000/B15,0)</f>
        <v>#DIV/0!</v>
      </c>
      <c r="F15" s="3261" t="e">
        <f t="shared" ref="F15:F23" si="1">ROUND(D15*10000/C15,0)</f>
        <v>#DIV/0!</v>
      </c>
      <c r="G15" s="3267"/>
      <c r="H15" s="3267"/>
      <c r="I15" s="3266"/>
      <c r="J15" s="3260"/>
    </row>
    <row r="16" spans="1:10" ht="16.5">
      <c r="A16" s="3259" t="s">
        <v>2982</v>
      </c>
      <c r="B16" s="3266"/>
      <c r="C16" s="3266"/>
      <c r="D16" s="3266"/>
      <c r="E16" s="3261" t="e">
        <f t="shared" si="0"/>
        <v>#DIV/0!</v>
      </c>
      <c r="F16" s="3261" t="e">
        <f t="shared" si="1"/>
        <v>#DIV/0!</v>
      </c>
      <c r="G16" s="3267"/>
      <c r="H16" s="3267"/>
      <c r="I16" s="3266"/>
    </row>
    <row r="17" spans="1:9" ht="16.5">
      <c r="A17" s="3259" t="s">
        <v>2981</v>
      </c>
      <c r="B17" s="3266"/>
      <c r="C17" s="3266"/>
      <c r="D17" s="3266"/>
      <c r="E17" s="3261" t="e">
        <f t="shared" si="0"/>
        <v>#DIV/0!</v>
      </c>
      <c r="F17" s="3261" t="e">
        <f t="shared" si="1"/>
        <v>#DIV/0!</v>
      </c>
      <c r="G17" s="3267"/>
      <c r="H17" s="3267"/>
      <c r="I17" s="3266"/>
    </row>
    <row r="18" spans="1:9" ht="16.5">
      <c r="A18" s="3259" t="s">
        <v>2980</v>
      </c>
      <c r="B18" s="3266"/>
      <c r="C18" s="3266"/>
      <c r="D18" s="3266"/>
      <c r="E18" s="3261" t="e">
        <f t="shared" si="0"/>
        <v>#DIV/0!</v>
      </c>
      <c r="F18" s="3261" t="e">
        <f t="shared" si="1"/>
        <v>#DIV/0!</v>
      </c>
      <c r="G18" s="3266"/>
      <c r="H18" s="3266"/>
      <c r="I18" s="3266"/>
    </row>
    <row r="19" spans="1:9" ht="16.5">
      <c r="A19" s="3259" t="s">
        <v>2979</v>
      </c>
      <c r="B19" s="3266"/>
      <c r="C19" s="3266"/>
      <c r="D19" s="3266"/>
      <c r="E19" s="3261" t="e">
        <f t="shared" si="0"/>
        <v>#DIV/0!</v>
      </c>
      <c r="F19" s="3261" t="e">
        <f t="shared" si="1"/>
        <v>#DIV/0!</v>
      </c>
      <c r="G19" s="3266"/>
      <c r="H19" s="3266"/>
      <c r="I19" s="3266"/>
    </row>
    <row r="20" spans="1:9" ht="16.5">
      <c r="A20" s="3259" t="s">
        <v>2978</v>
      </c>
      <c r="B20" s="3266"/>
      <c r="C20" s="3266"/>
      <c r="D20" s="3266"/>
      <c r="E20" s="3261" t="e">
        <f t="shared" si="0"/>
        <v>#DIV/0!</v>
      </c>
      <c r="F20" s="3261" t="e">
        <f t="shared" si="1"/>
        <v>#DIV/0!</v>
      </c>
      <c r="G20" s="3266"/>
      <c r="H20" s="3266"/>
      <c r="I20" s="3266"/>
    </row>
    <row r="21" spans="1:9" ht="16.5">
      <c r="A21" s="3259" t="s">
        <v>2977</v>
      </c>
      <c r="B21" s="3266"/>
      <c r="C21" s="3266"/>
      <c r="D21" s="3266"/>
      <c r="E21" s="3261" t="e">
        <f t="shared" si="0"/>
        <v>#DIV/0!</v>
      </c>
      <c r="F21" s="3261" t="e">
        <f t="shared" si="1"/>
        <v>#DIV/0!</v>
      </c>
      <c r="G21" s="3266"/>
      <c r="H21" s="3266"/>
      <c r="I21" s="3266"/>
    </row>
    <row r="22" spans="1:9" ht="16.5">
      <c r="A22" s="3259" t="s">
        <v>2976</v>
      </c>
      <c r="B22" s="3266"/>
      <c r="C22" s="3266"/>
      <c r="D22" s="3266"/>
      <c r="E22" s="3261" t="e">
        <f t="shared" si="0"/>
        <v>#DIV/0!</v>
      </c>
      <c r="F22" s="3261" t="e">
        <f t="shared" si="1"/>
        <v>#DIV/0!</v>
      </c>
      <c r="G22" s="3266"/>
      <c r="H22" s="3266"/>
      <c r="I22" s="3266"/>
    </row>
    <row r="23" spans="1:9" ht="16.5">
      <c r="A23" s="3259" t="s">
        <v>2975</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5" zoomScaleNormal="100" zoomScaleSheetLayoutView="100" zoomScalePageLayoutView="80" workbookViewId="0">
      <selection activeCell="F80" sqref="F8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c r="D1" s="1243"/>
      <c r="E1" s="1243"/>
      <c r="F1" s="2084" t="s">
        <v>2119</v>
      </c>
      <c r="G1" s="2057"/>
      <c r="H1" s="2113" t="str">
        <f>IF(G1="现房","——","估价对象范围")</f>
        <v>估价对象范围</v>
      </c>
      <c r="I1" s="2090"/>
    </row>
    <row r="2" spans="1:12" ht="21.75" customHeight="1" thickBot="1">
      <c r="A2" s="3447" t="str">
        <f>项目基本情况!S2</f>
        <v>房地产</v>
      </c>
      <c r="B2" s="3448"/>
      <c r="C2" s="3448"/>
      <c r="D2" s="3448"/>
      <c r="E2" s="3448"/>
      <c r="F2" s="3448"/>
      <c r="G2" s="3448"/>
      <c r="H2" s="3448"/>
      <c r="I2" s="3449"/>
    </row>
    <row r="3" spans="1:12" ht="12">
      <c r="A3" s="3451" t="s">
        <v>10</v>
      </c>
      <c r="B3" s="3452"/>
      <c r="C3" s="3452"/>
      <c r="D3" s="3452"/>
      <c r="E3" s="3452"/>
      <c r="F3" s="3452"/>
      <c r="G3" s="3452"/>
      <c r="H3" s="3452"/>
      <c r="I3" s="3452"/>
    </row>
    <row r="4" spans="1:12" ht="13.5">
      <c r="A4" s="429" t="s">
        <v>11</v>
      </c>
      <c r="B4" s="430" t="s">
        <v>12</v>
      </c>
      <c r="C4" s="431"/>
      <c r="D4" s="431"/>
      <c r="E4" s="3453" t="s">
        <v>766</v>
      </c>
      <c r="F4" s="3454"/>
      <c r="G4" s="3454"/>
      <c r="H4" s="3454"/>
      <c r="I4" s="3455"/>
      <c r="K4" s="2186" t="str">
        <f>IF(ISNUMBER(FIND("比较法",结果表!C4)),"比较法",IF(ISNUMBER(FIND("成本法",结果表!C4)),"成本法",IF(ISNUMBER(FIND("假设开发法",结果表!C4)),"假设开发法",IF(ISNUMBER(FIND("收益法",结果表!C4)),"收益法","基准地价系数修正法"))))</f>
        <v>基准地价系数修正法</v>
      </c>
      <c r="L4" s="21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29" t="s">
        <v>13</v>
      </c>
      <c r="B5" s="3416">
        <v>25</v>
      </c>
      <c r="C5" s="3432"/>
      <c r="D5" s="3450"/>
      <c r="E5" s="471" t="s">
        <v>810</v>
      </c>
      <c r="F5" s="432"/>
      <c r="G5" s="432"/>
      <c r="H5" s="432"/>
      <c r="I5" s="433"/>
    </row>
    <row r="6" spans="1:12" ht="12.75">
      <c r="A6" s="3429"/>
      <c r="B6" s="3416"/>
      <c r="C6" s="3433"/>
      <c r="D6" s="3450"/>
      <c r="E6" s="471" t="s">
        <v>811</v>
      </c>
      <c r="F6" s="432"/>
      <c r="G6" s="432"/>
      <c r="H6" s="432"/>
      <c r="I6" s="433"/>
    </row>
    <row r="7" spans="1:12" ht="12.75">
      <c r="A7" s="3429"/>
      <c r="B7" s="3416"/>
      <c r="C7" s="3434"/>
      <c r="D7" s="3450"/>
      <c r="E7" s="471" t="s">
        <v>812</v>
      </c>
      <c r="F7" s="432"/>
      <c r="G7" s="432"/>
      <c r="H7" s="432"/>
      <c r="I7" s="433"/>
    </row>
    <row r="8" spans="1:12" ht="12.75">
      <c r="A8" s="3429" t="s">
        <v>14</v>
      </c>
      <c r="B8" s="3416">
        <v>15</v>
      </c>
      <c r="C8" s="3432"/>
      <c r="D8" s="3450"/>
      <c r="E8" s="471" t="s">
        <v>813</v>
      </c>
      <c r="F8" s="432"/>
      <c r="G8" s="432"/>
      <c r="H8" s="432"/>
      <c r="I8" s="433"/>
    </row>
    <row r="9" spans="1:12" ht="12.75">
      <c r="A9" s="3429"/>
      <c r="B9" s="3416"/>
      <c r="C9" s="3434"/>
      <c r="D9" s="3450"/>
      <c r="E9" s="471" t="s">
        <v>814</v>
      </c>
      <c r="F9" s="432"/>
      <c r="G9" s="432"/>
      <c r="H9" s="432"/>
      <c r="I9" s="433"/>
    </row>
    <row r="10" spans="1:12" ht="12.75">
      <c r="A10" s="3429" t="s">
        <v>15</v>
      </c>
      <c r="B10" s="3416">
        <v>15</v>
      </c>
      <c r="C10" s="3432"/>
      <c r="D10" s="3450"/>
      <c r="E10" s="471" t="s">
        <v>815</v>
      </c>
      <c r="F10" s="432"/>
      <c r="G10" s="432"/>
      <c r="H10" s="432"/>
      <c r="I10" s="433"/>
    </row>
    <row r="11" spans="1:12" ht="12.75">
      <c r="A11" s="3429"/>
      <c r="B11" s="3416"/>
      <c r="C11" s="3434"/>
      <c r="D11" s="3450"/>
      <c r="E11" s="471" t="s">
        <v>816</v>
      </c>
      <c r="F11" s="432"/>
      <c r="G11" s="432"/>
      <c r="H11" s="432"/>
      <c r="I11" s="433"/>
    </row>
    <row r="12" spans="1:12" ht="12.75">
      <c r="A12" s="3429" t="s">
        <v>16</v>
      </c>
      <c r="B12" s="3416">
        <v>15</v>
      </c>
      <c r="C12" s="3432"/>
      <c r="D12" s="3450"/>
      <c r="E12" s="471" t="s">
        <v>817</v>
      </c>
      <c r="F12" s="432"/>
      <c r="G12" s="432"/>
      <c r="H12" s="432"/>
      <c r="I12" s="433"/>
    </row>
    <row r="13" spans="1:12" ht="12.75">
      <c r="A13" s="3429"/>
      <c r="B13" s="3416"/>
      <c r="C13" s="3434"/>
      <c r="D13" s="3450"/>
      <c r="E13" s="471" t="s">
        <v>818</v>
      </c>
      <c r="F13" s="432"/>
      <c r="G13" s="432"/>
      <c r="H13" s="432"/>
      <c r="I13" s="433"/>
    </row>
    <row r="14" spans="1:12" ht="12.75">
      <c r="A14" s="3429" t="s">
        <v>17</v>
      </c>
      <c r="B14" s="3416">
        <v>30</v>
      </c>
      <c r="C14" s="3432"/>
      <c r="D14" s="3450"/>
      <c r="E14" s="471" t="s">
        <v>819</v>
      </c>
      <c r="F14" s="432"/>
      <c r="G14" s="432"/>
      <c r="H14" s="432"/>
      <c r="I14" s="433"/>
    </row>
    <row r="15" spans="1:12" ht="12.75">
      <c r="A15" s="3429"/>
      <c r="B15" s="3416"/>
      <c r="C15" s="3433"/>
      <c r="D15" s="3450"/>
      <c r="E15" s="471" t="s">
        <v>820</v>
      </c>
      <c r="F15" s="432"/>
      <c r="G15" s="432"/>
      <c r="H15" s="432"/>
      <c r="I15" s="433"/>
    </row>
    <row r="16" spans="1:12" ht="12.75">
      <c r="A16" s="3429"/>
      <c r="B16" s="3416"/>
      <c r="C16" s="3434"/>
      <c r="D16" s="3450"/>
      <c r="E16" s="471" t="s">
        <v>821</v>
      </c>
      <c r="F16" s="432"/>
      <c r="G16" s="432"/>
      <c r="H16" s="432"/>
      <c r="I16" s="433"/>
    </row>
    <row r="17" spans="1:35" ht="14.25">
      <c r="A17" s="434" t="s">
        <v>18</v>
      </c>
      <c r="B17" s="38"/>
      <c r="C17" s="472">
        <f>SUM(C5:C16)</f>
        <v>0</v>
      </c>
      <c r="D17" s="472">
        <f>SUM(D5:D16)</f>
        <v>0</v>
      </c>
      <c r="E17" s="2279"/>
      <c r="F17" s="2279"/>
      <c r="G17" s="2279"/>
      <c r="H17" s="2279"/>
      <c r="I17" s="2279"/>
      <c r="K17" s="2186"/>
      <c r="L17" s="2187" t="s">
        <v>2327</v>
      </c>
      <c r="M17" s="2187" t="s">
        <v>2328</v>
      </c>
    </row>
    <row r="18" spans="1:35" ht="15" thickBot="1">
      <c r="A18" s="435" t="s">
        <v>19</v>
      </c>
      <c r="B18" s="18"/>
      <c r="C18" s="473" t="e">
        <f>ROUND(C17/SUM(C17:D17),2)</f>
        <v>#DIV/0!</v>
      </c>
      <c r="D18" s="473" t="e">
        <f>1-C18</f>
        <v>#DIV/0!</v>
      </c>
      <c r="E18" s="2279"/>
      <c r="F18" s="2279"/>
      <c r="G18" s="2279"/>
      <c r="H18" s="2279"/>
      <c r="I18" s="2279"/>
      <c r="K18" s="2186" t="s">
        <v>2141</v>
      </c>
      <c r="L18" s="2186">
        <f>IF(C1="",'数据-汇总表'!E3,SUMIF(项目类型,C1,'数据-汇总表'!E17:E26)+SUMIF(项目类型,C1,'数据-汇总表'!I17:I26))</f>
        <v>0</v>
      </c>
      <c r="M18" s="2186">
        <f>IF(C1="",'数据-汇总表'!E3,SUMIF(项目类型,C1,'数据-汇总表'!E17:E26))</f>
        <v>0</v>
      </c>
    </row>
    <row r="19" spans="1:35" ht="14.25">
      <c r="A19" s="436" t="s">
        <v>180</v>
      </c>
      <c r="B19" s="437" t="s">
        <v>20</v>
      </c>
      <c r="C19" s="474" t="e">
        <f ca="1">SUMIF(INDIRECT("'"&amp;C4&amp;"'"&amp;"!A:A"),结果表!B19,INDIRECT("'"&amp;C4&amp;"'"&amp;"!B:B"))</f>
        <v>#REF!</v>
      </c>
      <c r="D19" s="475" t="e">
        <f ca="1">SUMIF(INDIRECT("'"&amp;D4&amp;"'"&amp;"!A:A"),结果表!B19,INDIRECT("'"&amp;D4&amp;"'"&amp;"!B:B"))</f>
        <v>#REF!</v>
      </c>
      <c r="E19" s="436" t="s">
        <v>179</v>
      </c>
      <c r="F19" s="437" t="s">
        <v>20</v>
      </c>
      <c r="G19" s="476" t="e">
        <f ca="1">ROUND(C19*$C$18+D19*$D$18,0)</f>
        <v>#REF!</v>
      </c>
      <c r="H19" s="438" t="s">
        <v>228</v>
      </c>
      <c r="I19" s="2279"/>
      <c r="K19" s="2186" t="s">
        <v>2142</v>
      </c>
      <c r="L19" s="2186" t="e">
        <f>IF(C1="",'数据-汇总表'!D3,SUMIF(项目类型,C1,'数据-汇总表'!D17:D26)+SUMIF(项目类型,C1,'数据-汇总表'!H17:H27))</f>
        <v>#DIV/0!</v>
      </c>
      <c r="M19" s="2186" t="e">
        <f>IF(C1="",'数据-汇总表'!D3,SUMIF(项目类型,C1,'数据-汇总表'!D17:D26))</f>
        <v>#DIV/0!</v>
      </c>
    </row>
    <row r="20" spans="1:35" ht="14.25">
      <c r="A20" s="439"/>
      <c r="B20" s="440" t="s">
        <v>21</v>
      </c>
      <c r="C20" s="477" t="e">
        <f ca="1">SUMIF(INDIRECT("'"&amp;C4&amp;"'"&amp;"!A:A"),结果表!B20,INDIRECT("'"&amp;C4&amp;"'"&amp;"!B:B"))</f>
        <v>#REF!</v>
      </c>
      <c r="D20" s="478" t="e">
        <f ca="1">SUMIF(INDIRECT("'"&amp;D4&amp;"'"&amp;"!A:A"),结果表!B20,INDIRECT("'"&amp;D4&amp;"'"&amp;"!B:B"))</f>
        <v>#REF!</v>
      </c>
      <c r="E20" s="439"/>
      <c r="F20" s="440" t="s">
        <v>21</v>
      </c>
      <c r="G20" s="479" t="e">
        <f ca="1">ROUND(C20*$C$18+D20*$D$18,0)</f>
        <v>#REF!</v>
      </c>
      <c r="H20" s="441" t="s">
        <v>227</v>
      </c>
      <c r="I20" s="2279"/>
    </row>
    <row r="21" spans="1:35" ht="15" customHeight="1" thickBot="1">
      <c r="A21" s="443"/>
      <c r="B21" s="444" t="s">
        <v>22</v>
      </c>
      <c r="C21" s="1422" t="e">
        <f ca="1">ROUND(C19*10000/L19,0)</f>
        <v>#REF!</v>
      </c>
      <c r="D21" s="1423" t="e">
        <f ca="1">ROUND(D19*10000/L19,0)</f>
        <v>#REF!</v>
      </c>
      <c r="E21" s="443"/>
      <c r="F21" s="444" t="s">
        <v>22</v>
      </c>
      <c r="G21" s="480" t="e">
        <f ca="1">ROUND(G19*10000/L19,0)</f>
        <v>#REF!</v>
      </c>
      <c r="H21" s="445" t="s">
        <v>227</v>
      </c>
      <c r="I21" s="2279"/>
    </row>
    <row r="22" spans="1:35" ht="15" thickBot="1">
      <c r="A22" s="275" t="s">
        <v>181</v>
      </c>
      <c r="B22" s="1424"/>
      <c r="C22" s="1425"/>
      <c r="D22" s="1426" t="e">
        <f ca="1">IF(C19&lt;D19,D19/C19-1,C19/D19-1)</f>
        <v>#REF!</v>
      </c>
      <c r="E22" s="2279"/>
      <c r="F22" s="2279"/>
      <c r="G22" s="2279"/>
      <c r="H22" s="2279"/>
      <c r="I22" s="2279"/>
    </row>
    <row r="23" spans="1:35" ht="12.75" thickBot="1">
      <c r="A23" s="1243"/>
      <c r="B23" s="1243"/>
      <c r="C23" s="1243"/>
      <c r="D23" s="1243"/>
      <c r="E23" s="2279"/>
      <c r="F23" s="2279"/>
      <c r="G23" s="2279"/>
      <c r="H23" s="2279"/>
      <c r="I23" s="2279"/>
    </row>
    <row r="24" spans="1:35" ht="14.25">
      <c r="A24" s="3423" t="s">
        <v>177</v>
      </c>
      <c r="B24" s="437" t="s">
        <v>20</v>
      </c>
      <c r="C24" s="476">
        <f>IF(B30=0,0,D30)</f>
        <v>0</v>
      </c>
      <c r="D24" s="446"/>
      <c r="E24" s="2279"/>
      <c r="F24" s="2279"/>
      <c r="G24" s="2279"/>
      <c r="H24" s="2279"/>
      <c r="I24" s="2279"/>
    </row>
    <row r="25" spans="1:35" ht="14.25">
      <c r="A25" s="3424"/>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t="e">
        <f ca="1">IF(D32="总价",G19-C24,G20-C25)</f>
        <v>#REF!</v>
      </c>
      <c r="D32" s="2094" t="s">
        <v>210</v>
      </c>
      <c r="E32" s="2279"/>
      <c r="F32" s="2279"/>
      <c r="G32" s="2279"/>
      <c r="H32" s="2279"/>
      <c r="I32" s="2279"/>
    </row>
    <row r="33" spans="1:15" ht="13.5">
      <c r="A33" s="457" t="s">
        <v>767</v>
      </c>
      <c r="B33" s="2093"/>
      <c r="C33" s="2879"/>
      <c r="D33" s="2882"/>
      <c r="E33" s="2091" t="s">
        <v>2121</v>
      </c>
      <c r="F33" s="2092" t="str">
        <f>IF(D32="楼面单价","取值（单价）","取值（总价）")</f>
        <v>取值（总价）</v>
      </c>
      <c r="G33" s="2279"/>
      <c r="H33" s="2279"/>
      <c r="I33" s="2279"/>
    </row>
    <row r="34" spans="1:15" ht="15">
      <c r="A34" s="458"/>
      <c r="B34" s="459" t="s">
        <v>770</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2122</v>
      </c>
      <c r="F34" s="3256"/>
      <c r="G34" s="2279"/>
      <c r="H34" s="2279"/>
      <c r="I34" s="2279"/>
    </row>
    <row r="35" spans="1:15" ht="15.75" thickBot="1">
      <c r="A35" s="461"/>
      <c r="B35" s="2883" t="s">
        <v>772</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2123</v>
      </c>
      <c r="F35" s="495"/>
      <c r="G35" s="2279"/>
      <c r="H35" s="2279"/>
      <c r="I35" s="2279"/>
    </row>
    <row r="36" spans="1:15" ht="15.75" thickBot="1">
      <c r="A36" s="3439" t="s">
        <v>768</v>
      </c>
      <c r="B36" s="455" t="s">
        <v>769</v>
      </c>
      <c r="C36" s="486"/>
      <c r="D36" s="456"/>
      <c r="E36" s="1246"/>
      <c r="F36" s="2280"/>
      <c r="G36" s="2279"/>
      <c r="H36" s="2279"/>
      <c r="I36" s="2279"/>
    </row>
    <row r="37" spans="1:15" ht="15.75" thickBot="1">
      <c r="A37" s="3440"/>
      <c r="B37" s="13" t="s">
        <v>771</v>
      </c>
      <c r="C37" s="488"/>
      <c r="D37" s="2228"/>
      <c r="E37" s="2228"/>
      <c r="F37" s="2280"/>
      <c r="G37" s="2279"/>
      <c r="H37" s="2279"/>
      <c r="I37" s="2279"/>
    </row>
    <row r="38" spans="1:15" ht="15.75" thickBot="1">
      <c r="A38" s="3441"/>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3" t="s">
        <v>214</v>
      </c>
      <c r="K44" s="3274"/>
      <c r="L44" s="3274"/>
      <c r="M44" s="3274"/>
      <c r="N44" s="3274"/>
      <c r="O44" s="3274"/>
    </row>
    <row r="45" spans="1:15" ht="14.25" customHeight="1" thickBot="1">
      <c r="A45" s="3420" t="s">
        <v>802</v>
      </c>
      <c r="B45" s="3421"/>
      <c r="C45" s="3422"/>
      <c r="D45" s="496" t="e">
        <f ca="1">ROUND(H101*F45,0)</f>
        <v>#REF!</v>
      </c>
      <c r="E45" s="497" t="s">
        <v>803</v>
      </c>
      <c r="F45" s="498">
        <v>1</v>
      </c>
      <c r="G45" s="499" t="s">
        <v>804</v>
      </c>
      <c r="H45" s="2279"/>
      <c r="I45" s="2279"/>
      <c r="J45" s="3481" t="s">
        <v>215</v>
      </c>
      <c r="K45" s="3481"/>
      <c r="L45" s="3481"/>
      <c r="M45" s="3481"/>
      <c r="N45" s="3481"/>
      <c r="O45" s="3481"/>
    </row>
    <row r="46" spans="1:15" ht="14.25" customHeight="1">
      <c r="A46" s="3417" t="s">
        <v>287</v>
      </c>
      <c r="B46" s="3418"/>
      <c r="C46" s="3418"/>
      <c r="D46" s="3418"/>
      <c r="E46" s="3418"/>
      <c r="F46" s="3418"/>
      <c r="G46" s="3419"/>
      <c r="H46" s="2281"/>
      <c r="I46" s="2234"/>
      <c r="J46" s="1501">
        <v>1</v>
      </c>
      <c r="K46" s="3481" t="s">
        <v>216</v>
      </c>
      <c r="L46" s="3481"/>
      <c r="M46" s="3505"/>
      <c r="N46" s="3505"/>
      <c r="O46" s="3505"/>
    </row>
    <row r="47" spans="1:15" ht="12" customHeight="1">
      <c r="A47" s="501" t="s">
        <v>288</v>
      </c>
      <c r="B47" s="502"/>
      <c r="C47" s="503"/>
      <c r="D47" s="504" t="s">
        <v>289</v>
      </c>
      <c r="E47" s="313" t="s">
        <v>290</v>
      </c>
      <c r="F47" s="505" t="s">
        <v>805</v>
      </c>
      <c r="G47" s="506" t="s">
        <v>806</v>
      </c>
      <c r="H47" s="2281"/>
      <c r="I47" s="2234"/>
      <c r="J47" s="1501">
        <v>2</v>
      </c>
      <c r="K47" s="3481" t="s">
        <v>217</v>
      </c>
      <c r="L47" s="3481"/>
      <c r="M47" s="3506">
        <f>'数据-取费表'!B2</f>
        <v>0</v>
      </c>
      <c r="N47" s="3506"/>
      <c r="O47" s="3506"/>
    </row>
    <row r="48" spans="1:15" ht="25.5">
      <c r="A48" s="3446" t="s">
        <v>291</v>
      </c>
      <c r="B48" s="3431"/>
      <c r="C48" s="3431"/>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81" t="s">
        <v>784</v>
      </c>
      <c r="L48" s="3481"/>
      <c r="M48" s="3507" t="e">
        <f ca="1">H101</f>
        <v>#REF!</v>
      </c>
      <c r="N48" s="3507"/>
      <c r="O48" s="3507"/>
    </row>
    <row r="49" spans="1:35" ht="25.5" customHeight="1">
      <c r="A49" s="508" t="s">
        <v>807</v>
      </c>
      <c r="B49" s="3415" t="s">
        <v>808</v>
      </c>
      <c r="C49" s="3415"/>
      <c r="D49" s="509">
        <v>0</v>
      </c>
      <c r="E49" s="312" t="s">
        <v>809</v>
      </c>
      <c r="F49" s="317" t="s">
        <v>171</v>
      </c>
      <c r="G49" s="3487"/>
      <c r="H49" s="2279"/>
      <c r="I49" s="2282"/>
      <c r="J49" s="1501">
        <v>4</v>
      </c>
      <c r="K49" s="3481" t="str">
        <f>IF(项目基本情况!E8="房地产抵押价值","房地产抵押价值","抵押担保权已注销时的房地产抵押价值")</f>
        <v>抵押担保权已注销时的房地产抵押价值</v>
      </c>
      <c r="L49" s="3481"/>
      <c r="M49" s="3507" t="str">
        <f>IF(项目基本情况!E8="房地产抵押价值",H107,H109)</f>
        <v>——</v>
      </c>
      <c r="N49" s="3507"/>
      <c r="O49" s="3507"/>
    </row>
    <row r="50" spans="1:35" ht="25.5" customHeight="1">
      <c r="A50" s="510"/>
      <c r="B50" s="3415" t="s">
        <v>294</v>
      </c>
      <c r="C50" s="3415"/>
      <c r="D50" s="511"/>
      <c r="E50" s="320"/>
      <c r="F50" s="512"/>
      <c r="G50" s="3488"/>
      <c r="H50" s="2279"/>
      <c r="I50" s="2282"/>
      <c r="J50" s="3481" t="s">
        <v>218</v>
      </c>
      <c r="K50" s="3481"/>
      <c r="L50" s="3481"/>
      <c r="M50" s="3481"/>
      <c r="N50" s="3481"/>
      <c r="O50" s="3481"/>
    </row>
    <row r="51" spans="1:35" ht="12" customHeight="1">
      <c r="A51" s="513"/>
      <c r="B51" s="3415" t="s">
        <v>295</v>
      </c>
      <c r="C51" s="3415"/>
      <c r="D51" s="514"/>
      <c r="E51" s="319"/>
      <c r="F51" s="512"/>
      <c r="G51" s="3489"/>
      <c r="H51" s="2279"/>
      <c r="I51" s="2282"/>
      <c r="J51" s="3275" t="s">
        <v>219</v>
      </c>
      <c r="K51" s="3481" t="s">
        <v>220</v>
      </c>
      <c r="L51" s="3481"/>
      <c r="M51" s="3275" t="s">
        <v>3012</v>
      </c>
      <c r="N51" s="3275" t="s">
        <v>221</v>
      </c>
      <c r="O51" s="3275" t="s">
        <v>222</v>
      </c>
    </row>
    <row r="52" spans="1:35" ht="24" customHeight="1">
      <c r="A52" s="515" t="s">
        <v>296</v>
      </c>
      <c r="B52" s="3415" t="s">
        <v>297</v>
      </c>
      <c r="C52" s="3415"/>
      <c r="D52" s="514" t="e">
        <f ca="1">ROUND(D45*'数据-取费表'!B41/(1+'数据-取费表'!C42),0)</f>
        <v>#REF!</v>
      </c>
      <c r="E52" s="299" t="s">
        <v>298</v>
      </c>
      <c r="F52" s="516">
        <f>'数据-取费表'!B41</f>
        <v>0.05</v>
      </c>
      <c r="G52" s="466"/>
      <c r="H52" s="2279"/>
      <c r="I52" s="2282"/>
      <c r="J52" s="1501">
        <v>1</v>
      </c>
      <c r="K52" s="3482" t="s">
        <v>785</v>
      </c>
      <c r="L52" s="3482"/>
      <c r="M52" s="3276">
        <f>D48</f>
        <v>0</v>
      </c>
      <c r="N52" s="1500" t="str">
        <f>E48</f>
        <v>销售额×税（费）率</v>
      </c>
      <c r="O52" s="3277" t="str">
        <f>F48</f>
        <v>免征</v>
      </c>
    </row>
    <row r="53" spans="1:35" ht="12" customHeight="1">
      <c r="A53" s="515" t="s">
        <v>299</v>
      </c>
      <c r="B53" s="3437" t="s">
        <v>300</v>
      </c>
      <c r="C53" s="3438"/>
      <c r="D53" s="514" t="e">
        <f ca="1">ROUND(D45*'数据-取费表'!B41/(1+'数据-取费表'!C42),0)</f>
        <v>#REF!</v>
      </c>
      <c r="E53" s="299" t="s">
        <v>298</v>
      </c>
      <c r="F53" s="516">
        <f>'数据-取费表'!B41</f>
        <v>0.05</v>
      </c>
      <c r="G53" s="466"/>
      <c r="H53" s="2279"/>
      <c r="I53" s="2282"/>
      <c r="J53" s="1501">
        <v>2</v>
      </c>
      <c r="K53" s="3482" t="s">
        <v>786</v>
      </c>
      <c r="L53" s="3482"/>
      <c r="M53" s="3276" t="e">
        <f t="shared" ref="M53:O54" ca="1" si="0">D55</f>
        <v>#REF!</v>
      </c>
      <c r="N53" s="1500" t="str">
        <f t="shared" si="0"/>
        <v>销售额×税（费）率</v>
      </c>
      <c r="O53" s="3277">
        <f t="shared" si="0"/>
        <v>0</v>
      </c>
    </row>
    <row r="54" spans="1:35" ht="12" customHeight="1">
      <c r="A54" s="515" t="s">
        <v>301</v>
      </c>
      <c r="B54" s="3437" t="s">
        <v>302</v>
      </c>
      <c r="C54" s="3438"/>
      <c r="D54" s="514" t="e">
        <f ca="1">C68</f>
        <v>#REF!</v>
      </c>
      <c r="E54" s="319" t="s">
        <v>303</v>
      </c>
      <c r="F54" s="516">
        <f>'数据-取费表'!B41</f>
        <v>0.05</v>
      </c>
      <c r="G54" s="466"/>
      <c r="H54" s="2283"/>
      <c r="I54" s="2282"/>
      <c r="J54" s="1501">
        <v>3</v>
      </c>
      <c r="K54" s="3482" t="s">
        <v>787</v>
      </c>
      <c r="L54" s="3482"/>
      <c r="M54" s="3276" t="e">
        <f t="shared" ca="1" si="0"/>
        <v>#REF!</v>
      </c>
      <c r="N54" s="1500" t="str">
        <f t="shared" si="0"/>
        <v>增值额×税（费）率</v>
      </c>
      <c r="O54" s="3278" t="str">
        <f t="shared" si="0"/>
        <v>——</v>
      </c>
    </row>
    <row r="55" spans="1:35" ht="24" customHeight="1">
      <c r="A55" s="3430" t="s">
        <v>304</v>
      </c>
      <c r="B55" s="3431"/>
      <c r="C55" s="3431"/>
      <c r="D55" s="517" t="e">
        <f ca="1">IF(H55="个人住宅",0,ROUND(D45*I55,0))</f>
        <v>#REF!</v>
      </c>
      <c r="E55" s="299" t="s">
        <v>305</v>
      </c>
      <c r="F55" s="516">
        <f>IF(H55="正常",I55,"免征")</f>
        <v>0</v>
      </c>
      <c r="G55" s="466"/>
      <c r="H55" s="1432" t="s">
        <v>155</v>
      </c>
      <c r="I55" s="518">
        <f>'数据-取费表'!B49</f>
        <v>0</v>
      </c>
      <c r="J55" s="1501" t="str">
        <f>IF(H59="非个人房产","",4)</f>
        <v/>
      </c>
      <c r="K55" s="3482" t="str">
        <f>IF(H59="非个人房产","——","个人所得税")</f>
        <v>——</v>
      </c>
      <c r="L55" s="3482"/>
      <c r="M55" s="3279" t="str">
        <f>D59</f>
        <v>——</v>
      </c>
      <c r="N55" s="3280" t="str">
        <f>E59</f>
        <v>——</v>
      </c>
      <c r="O55" s="3281" t="str">
        <f>F59</f>
        <v>——</v>
      </c>
    </row>
    <row r="56" spans="1:35" ht="24.75">
      <c r="A56" s="3430" t="s">
        <v>306</v>
      </c>
      <c r="B56" s="3431"/>
      <c r="C56" s="3431"/>
      <c r="D56" s="517" t="e">
        <f ca="1">IF(H56="个人住宅",D57,D58)</f>
        <v>#REF!</v>
      </c>
      <c r="E56" s="299" t="s">
        <v>307</v>
      </c>
      <c r="F56" s="516" t="str">
        <f>IF(H56="正常",F58,"免征")</f>
        <v>——</v>
      </c>
      <c r="G56" s="1256" t="s">
        <v>788</v>
      </c>
      <c r="H56" s="1431" t="s">
        <v>155</v>
      </c>
      <c r="I56" s="2284"/>
      <c r="J56" s="1501" t="str">
        <f>IF(项目基本情况!K6="上海银行",IF(J55="",4,J55+1),"")</f>
        <v/>
      </c>
      <c r="K56" s="3509" t="str">
        <f>IF(项目基本情况!K6="上海银行","其他处置费用","")</f>
        <v/>
      </c>
      <c r="L56" s="3510"/>
      <c r="M56" s="3276" t="str">
        <f>IF(项目基本情况!K6="上海银行",M69,"")</f>
        <v/>
      </c>
      <c r="N56" s="3512" t="str">
        <f>IF(项目基本情况!K6="上海银行","包含处置中涉及的律师、诉讼、拍卖、评估等费用","")</f>
        <v/>
      </c>
      <c r="O56" s="3513"/>
    </row>
    <row r="57" spans="1:35" ht="12.75">
      <c r="A57" s="515" t="s">
        <v>292</v>
      </c>
      <c r="B57" s="3444" t="s">
        <v>308</v>
      </c>
      <c r="C57" s="3467"/>
      <c r="D57" s="519">
        <v>0</v>
      </c>
      <c r="E57" s="312" t="s">
        <v>293</v>
      </c>
      <c r="F57" s="487"/>
      <c r="G57" s="466"/>
      <c r="H57" s="2284"/>
      <c r="I57" s="2284"/>
      <c r="J57" s="3492">
        <f>IF(AND(J55="",J56=""),4,IF(项目基本情况!K6="上海银行",结果表!J56+1,结果表!J55+1))</f>
        <v>4</v>
      </c>
      <c r="K57" s="3482" t="s">
        <v>789</v>
      </c>
      <c r="L57" s="3282" t="s">
        <v>223</v>
      </c>
      <c r="M57" s="3283"/>
      <c r="N57" s="3284">
        <f ca="1">SUMIF(M52:M56,"&lt;9e307")</f>
        <v>0</v>
      </c>
      <c r="O57" s="3285"/>
      <c r="P57" s="3272" t="e">
        <f ca="1">N57/M49</f>
        <v>#VALUE!</v>
      </c>
    </row>
    <row r="58" spans="1:35" ht="24.75">
      <c r="A58" s="515" t="s">
        <v>296</v>
      </c>
      <c r="B58" s="3444" t="s">
        <v>309</v>
      </c>
      <c r="C58" s="3445"/>
      <c r="D58" s="517" t="e">
        <f ca="1">IF(H58="转让取得",C81,C97)</f>
        <v>#REF!</v>
      </c>
      <c r="E58" s="299" t="s">
        <v>307</v>
      </c>
      <c r="F58" s="313" t="s">
        <v>171</v>
      </c>
      <c r="G58" s="466"/>
      <c r="H58" s="1431" t="s">
        <v>1140</v>
      </c>
      <c r="I58" s="2284"/>
      <c r="J58" s="3492"/>
      <c r="K58" s="3482"/>
      <c r="L58" s="3282" t="s">
        <v>224</v>
      </c>
      <c r="M58" s="3286"/>
      <c r="N58" s="3287" t="str">
        <f ca="1">NUMBERSTRING(INT(N57*10000),2)&amp;"元整"</f>
        <v>零元整</v>
      </c>
      <c r="O58" s="3288"/>
    </row>
    <row r="59" spans="1:35" ht="24.75" thickBot="1">
      <c r="A59" s="3485" t="s">
        <v>310</v>
      </c>
      <c r="B59" s="3486"/>
      <c r="C59" s="3486"/>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83">
        <f>J57+1</f>
        <v>5</v>
      </c>
      <c r="K59" s="3482" t="s">
        <v>172</v>
      </c>
      <c r="L59" s="1500" t="s">
        <v>223</v>
      </c>
      <c r="M59" s="3289"/>
      <c r="N59" s="3290" t="e">
        <f ca="1">M49-N57</f>
        <v>#VALUE!</v>
      </c>
      <c r="O59" s="3291"/>
    </row>
    <row r="60" spans="1:35" ht="12" customHeight="1">
      <c r="A60" s="1258"/>
      <c r="B60" s="1243"/>
      <c r="C60" s="1243"/>
      <c r="D60" s="1243"/>
      <c r="E60" s="229"/>
      <c r="F60" s="2284"/>
      <c r="G60" s="2284"/>
      <c r="H60" s="2285"/>
      <c r="I60" s="2279"/>
      <c r="J60" s="3484"/>
      <c r="K60" s="3482"/>
      <c r="L60" s="3282" t="s">
        <v>224</v>
      </c>
      <c r="M60" s="3286"/>
      <c r="N60" s="3287" t="e">
        <f ca="1">NUMBERSTRING(INT(N59*10000),2)&amp;"元整"</f>
        <v>#VALUE!</v>
      </c>
      <c r="O60" s="3288"/>
    </row>
    <row r="61" spans="1:35" ht="13.5" thickBot="1">
      <c r="A61" s="3428" t="s">
        <v>311</v>
      </c>
      <c r="B61" s="3428"/>
      <c r="C61" s="3428"/>
      <c r="D61" s="3428"/>
      <c r="E61" s="3428"/>
      <c r="F61" s="2284"/>
      <c r="G61" s="2284"/>
      <c r="H61" s="2285"/>
      <c r="I61" s="2279"/>
      <c r="J61" s="1501">
        <f>J59+1</f>
        <v>6</v>
      </c>
      <c r="K61" s="3482" t="s">
        <v>225</v>
      </c>
      <c r="L61" s="3482"/>
      <c r="M61" s="3292"/>
      <c r="N61" s="3293" t="e">
        <f ca="1">ROUND(N59*10000/'数据-汇总表'!E3,0)</f>
        <v>#VALUE!</v>
      </c>
      <c r="O61" s="3294"/>
    </row>
    <row r="62" spans="1:35" ht="12.75">
      <c r="A62" s="3442" t="s">
        <v>312</v>
      </c>
      <c r="B62" s="3443"/>
      <c r="C62" s="1919"/>
      <c r="D62" s="1919" t="s">
        <v>320</v>
      </c>
      <c r="E62" s="524" t="s">
        <v>321</v>
      </c>
      <c r="F62" s="2284"/>
      <c r="G62" s="2284"/>
      <c r="H62" s="2285"/>
      <c r="I62" s="2279"/>
    </row>
    <row r="63" spans="1:35" ht="12.75">
      <c r="A63" s="535" t="s">
        <v>1902</v>
      </c>
      <c r="B63" s="525" t="s">
        <v>313</v>
      </c>
      <c r="C63" s="526" t="e">
        <f ca="1">ROUND((C64+C65)/(1+'数据-取费表'!C42),0)</f>
        <v>#REF!</v>
      </c>
      <c r="D63" s="527"/>
      <c r="E63" s="528"/>
      <c r="F63" s="2284"/>
      <c r="G63" s="2284"/>
      <c r="H63" s="2285"/>
      <c r="I63" s="2279"/>
      <c r="J63" s="3511" t="s">
        <v>3005</v>
      </c>
      <c r="K63" s="3271" t="s">
        <v>3006</v>
      </c>
      <c r="L63" s="3269"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t="e">
        <f ca="1">D45</f>
        <v>#REF!</v>
      </c>
      <c r="D64" s="532" t="s">
        <v>167</v>
      </c>
      <c r="E64" s="533"/>
      <c r="F64" s="2284"/>
      <c r="G64" s="2284"/>
      <c r="H64" s="2285"/>
      <c r="I64" s="2279"/>
      <c r="J64" s="3511"/>
      <c r="K64" s="3271" t="s">
        <v>3007</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3013</v>
      </c>
      <c r="Z64" s="1434"/>
      <c r="AI64" s="1244"/>
    </row>
    <row r="65" spans="1:35" ht="14.25" customHeight="1">
      <c r="A65" s="529" t="s">
        <v>1898</v>
      </c>
      <c r="B65" s="530" t="s">
        <v>315</v>
      </c>
      <c r="C65" s="534"/>
      <c r="D65" s="532"/>
      <c r="E65" s="533"/>
      <c r="F65" s="2284"/>
      <c r="G65" s="2284"/>
      <c r="H65" s="2285"/>
      <c r="I65" s="2279"/>
      <c r="J65" s="3511"/>
      <c r="K65" s="3271" t="s">
        <v>3008</v>
      </c>
      <c r="L65" s="3269" t="e">
        <f>IF(M49&gt;1000,M49*0.1%,IF(AND(M49&gt;500,M49&lt;=1000),M49*0.5%,IF(AND(M49&gt;50,M49&lt;=500),M49*1%,IF(AND(M49&gt;1,M49&lt;=50),M49*1.5%))))</f>
        <v>#VALUE!</v>
      </c>
      <c r="M65" s="313" t="e">
        <f t="shared" si="1"/>
        <v>#VALUE!</v>
      </c>
      <c r="N65" s="469" t="s">
        <v>3014</v>
      </c>
      <c r="Z65" s="1434"/>
      <c r="AI65" s="1244"/>
    </row>
    <row r="66" spans="1:35" ht="14.25" customHeight="1">
      <c r="A66" s="535" t="s">
        <v>1899</v>
      </c>
      <c r="B66" s="536" t="s">
        <v>316</v>
      </c>
      <c r="C66" s="537"/>
      <c r="D66" s="538" t="s">
        <v>167</v>
      </c>
      <c r="E66" s="3323" t="s">
        <v>3053</v>
      </c>
      <c r="F66" s="2284"/>
      <c r="G66" s="2284"/>
      <c r="H66" s="2285"/>
      <c r="I66" s="2279"/>
      <c r="J66" s="3511"/>
      <c r="K66" s="3271" t="s">
        <v>3009</v>
      </c>
      <c r="L66" s="3269" t="e">
        <f>M49*0.5%</f>
        <v>#VALUE!</v>
      </c>
      <c r="M66" s="313" t="e">
        <f>IF(L66&gt;0.5,0.5,ROUND(L66,0))</f>
        <v>#VALUE!</v>
      </c>
      <c r="N66" s="469" t="s">
        <v>3015</v>
      </c>
      <c r="Z66" s="1434"/>
      <c r="AI66" s="1244"/>
    </row>
    <row r="67" spans="1:35" ht="14.25" customHeight="1">
      <c r="A67" s="535" t="s">
        <v>1900</v>
      </c>
      <c r="B67" s="536" t="s">
        <v>317</v>
      </c>
      <c r="C67" s="539" t="e">
        <f ca="1">C63-C66</f>
        <v>#REF!</v>
      </c>
      <c r="D67" s="532" t="s">
        <v>167</v>
      </c>
      <c r="E67" s="533"/>
      <c r="F67" s="2284"/>
      <c r="G67" s="2284"/>
      <c r="H67" s="2285"/>
      <c r="I67" s="2279"/>
      <c r="J67" s="3511"/>
      <c r="K67" s="3271" t="s">
        <v>3010</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t="e">
        <f ca="1">IF(C67&lt;=0,0,ROUND(C67*D68,0))</f>
        <v>#REF!</v>
      </c>
      <c r="D68" s="543">
        <f>'数据-取费表'!B41</f>
        <v>0.05</v>
      </c>
      <c r="E68" s="544"/>
      <c r="F68" s="2284"/>
      <c r="G68" s="2284"/>
      <c r="H68" s="2285"/>
      <c r="I68" s="2279"/>
      <c r="J68" s="3511"/>
      <c r="K68" s="3271" t="s">
        <v>3011</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11"/>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65" t="s">
        <v>319</v>
      </c>
      <c r="B70" s="3466"/>
      <c r="C70" s="3466"/>
      <c r="D70" s="3466"/>
      <c r="E70" s="3466"/>
      <c r="F70" s="3466"/>
      <c r="G70" s="3466"/>
      <c r="H70" s="3466"/>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42" t="s">
        <v>312</v>
      </c>
      <c r="B71" s="3443"/>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t="e">
        <f ca="1">ROUND(D45/(1+'数据-取费表'!C42),0)</f>
        <v>#REF!</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t="e">
        <f ca="1">C74+C78</f>
        <v>#REF!</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37" t="s">
        <v>328</v>
      </c>
      <c r="F76" s="3415"/>
      <c r="G76" s="3415"/>
      <c r="H76" s="3464"/>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0</v>
      </c>
      <c r="E77" s="303" t="s">
        <v>800</v>
      </c>
      <c r="F77" s="556"/>
      <c r="G77" s="1428" t="s">
        <v>2517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t="e">
        <f ca="1">ROUND(D45*D78/(1+'数据-取费表'!C42),0)</f>
        <v>#REF!</v>
      </c>
      <c r="D78" s="558">
        <f>'数据-取费表'!B43</f>
        <v>0</v>
      </c>
      <c r="E78" s="3435" t="s">
        <v>2518</v>
      </c>
      <c r="F78" s="3426"/>
      <c r="G78" s="3426"/>
      <c r="H78" s="3436"/>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t="e">
        <f ca="1">C72-C73</f>
        <v>#REF!</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t="e">
        <f ca="1">IF(C79&lt;=0,0,C79/C73)</f>
        <v>#REF!</v>
      </c>
      <c r="D80" s="532" t="s">
        <v>167</v>
      </c>
      <c r="E80" s="303" t="e">
        <f ca="1">IF(C80&gt;=200%,"增值额超过扣除项目金额200%",IF(C80&gt;=100%,"增值额超过扣除项目金额100%，未超过200%",IF(C80&gt;=50%,"增值额超过扣除项目金额50%，未超过100%",IF(C80&lt;50%,"增值额未超过扣除项目金额50%"))))</f>
        <v>#REF!</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t="e">
        <f ca="1">ROUND(IF(C79&lt;=0,0,IF(C80&gt;=200%,C79*60%-C73*35%,IF(C80&gt;=100%,C79*50%-C73*15%,IF(C80&gt;=50%,C79*40%-C73*5%,IF(C80&lt;50%,C79*30%,0))))),0)</f>
        <v>#REF!</v>
      </c>
      <c r="D81" s="561" t="s">
        <v>167</v>
      </c>
      <c r="E81" s="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65" t="s">
        <v>334</v>
      </c>
      <c r="B83" s="3466"/>
      <c r="C83" s="3466"/>
      <c r="D83" s="3466"/>
      <c r="E83" s="3466"/>
      <c r="F83" s="3466"/>
      <c r="G83" s="3466"/>
      <c r="H83" s="3466"/>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42" t="s">
        <v>312</v>
      </c>
      <c r="B84" s="3443"/>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t="e">
        <f ca="1">ROUND(D45/(1+'数据-取费表'!C42),0)</f>
        <v>#REF!</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t="e">
        <f ca="1">IF(H88="仅含出让金",C87+C90+C91+C92+C93+C94,C87+C91+C92+C93+C94)</f>
        <v>#REF!</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0</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25" t="s">
        <v>801</v>
      </c>
      <c r="F91" s="3426"/>
      <c r="G91" s="3426"/>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25" t="s">
        <v>343</v>
      </c>
      <c r="F92" s="3426"/>
      <c r="G92" s="3426"/>
      <c r="H92" s="3436"/>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t="e">
        <f ca="1">ROUND(D45*D93/(1+'数据-取费表'!C42),0)</f>
        <v>#REF!</v>
      </c>
      <c r="D93" s="558">
        <f>'数据-取费表'!B43</f>
        <v>0</v>
      </c>
      <c r="E93" s="3435" t="s">
        <v>2518</v>
      </c>
      <c r="F93" s="3426"/>
      <c r="G93" s="3426"/>
      <c r="H93" s="3436"/>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25" t="s">
        <v>345</v>
      </c>
      <c r="F94" s="3426"/>
      <c r="G94" s="3426"/>
      <c r="H94" s="3436"/>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t="e">
        <f ca="1">ROUND(C85-C86,0)</f>
        <v>#REF!</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t="e">
        <f ca="1">IF(C95&lt;=0,0,C95/C86)</f>
        <v>#REF!</v>
      </c>
      <c r="D96" s="532" t="s">
        <v>167</v>
      </c>
      <c r="E96" s="303" t="e">
        <f ca="1">IF(C96&gt;=200%,"增值额超过扣除项目金额200%",IF(C96&gt;=100%,"增值额超过扣除项目金额100%，未超过200%",IF(C96&gt;=50%,"增值额超过扣除项目金额50%，未超过100%",IF(C96&lt;50%,"增值额未超过扣除项目金额50%"))))</f>
        <v>#REF!</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t="e">
        <f ca="1">ROUND(IF(C95&lt;=0,0,IF(C96&gt;=200%,C95*60%-C86*35%,IF(C96&gt;=100%,C95*50%-C86*15%,IF(C96&gt;=50%,C95*40%-C86*5%,IF(C96&lt;50%,C95*30%,0))))),0)</f>
        <v>#REF!</v>
      </c>
      <c r="D97" s="561" t="s">
        <v>167</v>
      </c>
      <c r="E97" s="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09" t="s">
        <v>230</v>
      </c>
      <c r="B100" s="3410"/>
      <c r="C100" s="3410"/>
      <c r="D100" s="3427"/>
      <c r="E100" s="3410" t="s">
        <v>2918</v>
      </c>
      <c r="F100" s="3410"/>
      <c r="G100" s="3410"/>
      <c r="H100" s="3427"/>
      <c r="I100" s="2279"/>
    </row>
    <row r="101" spans="1:35" ht="18.75" customHeight="1">
      <c r="A101" s="3490" t="s">
        <v>208</v>
      </c>
      <c r="B101" s="3491"/>
      <c r="C101" s="1266">
        <f>C4</f>
        <v>0</v>
      </c>
      <c r="D101" s="1267">
        <f>D4</f>
        <v>0</v>
      </c>
      <c r="E101" s="3508" t="s">
        <v>1916</v>
      </c>
      <c r="F101" s="3457"/>
      <c r="G101" s="1268" t="s">
        <v>210</v>
      </c>
      <c r="H101" s="1987" t="e">
        <f ca="1">H118</f>
        <v>#REF!</v>
      </c>
      <c r="I101" s="2279"/>
    </row>
    <row r="102" spans="1:35" ht="18.75" customHeight="1">
      <c r="A102" s="3459" t="s">
        <v>209</v>
      </c>
      <c r="B102" s="1268" t="s">
        <v>210</v>
      </c>
      <c r="C102" s="1235" t="e">
        <f ca="1">C19</f>
        <v>#REF!</v>
      </c>
      <c r="D102" s="1236" t="e">
        <f ca="1">D19</f>
        <v>#REF!</v>
      </c>
      <c r="E102" s="3508"/>
      <c r="F102" s="3457"/>
      <c r="G102" s="1268" t="s">
        <v>211</v>
      </c>
      <c r="H102" s="711" t="e">
        <f ca="1">I118</f>
        <v>#REF!</v>
      </c>
      <c r="I102" s="2279"/>
    </row>
    <row r="103" spans="1:35" ht="42.75" customHeight="1">
      <c r="A103" s="3459"/>
      <c r="B103" s="1268" t="s">
        <v>211</v>
      </c>
      <c r="C103" s="1237" t="e">
        <f ca="1">C20</f>
        <v>#REF!</v>
      </c>
      <c r="D103" s="1238" t="e">
        <f ca="1">D20</f>
        <v>#REF!</v>
      </c>
      <c r="E103" s="3503" t="s">
        <v>3028</v>
      </c>
      <c r="F103" s="3504"/>
      <c r="G103" s="1269" t="s">
        <v>213</v>
      </c>
      <c r="H103" s="1987">
        <f>IF(D36="正常操作",H104+H105+H106,H105+H106)</f>
        <v>0</v>
      </c>
      <c r="I103" s="2279"/>
    </row>
    <row r="104" spans="1:35" ht="18.75" customHeight="1">
      <c r="A104" s="3459" t="s">
        <v>212</v>
      </c>
      <c r="B104" s="1270" t="s">
        <v>210</v>
      </c>
      <c r="C104" s="1239" t="e">
        <f ca="1">H118</f>
        <v>#REF!</v>
      </c>
      <c r="D104" s="1240"/>
      <c r="E104" s="13" t="s">
        <v>1915</v>
      </c>
      <c r="F104" s="6"/>
      <c r="G104" s="1269" t="s">
        <v>213</v>
      </c>
      <c r="H104" s="1988">
        <f>IF(D36="同一抵押权人同一抵押物续贷",C36&amp;"（未扣减，详见特别提示）",C36)</f>
        <v>0</v>
      </c>
      <c r="I104" s="2279"/>
    </row>
    <row r="105" spans="1:35" ht="18.75" customHeight="1" thickBot="1">
      <c r="A105" s="3460"/>
      <c r="B105" s="1271" t="s">
        <v>211</v>
      </c>
      <c r="C105" s="1241" t="e">
        <f ca="1">I118</f>
        <v>#REF!</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56" t="str">
        <f>IF(项目基本情况!E8="已注销","——","3.房地产抵押价值")</f>
        <v>3.房地产抵押价值</v>
      </c>
      <c r="F107" s="3457"/>
      <c r="G107" s="1268" t="s">
        <v>210</v>
      </c>
      <c r="H107" s="1987" t="e">
        <f ca="1">IF(E107="——","——",H101-H103)</f>
        <v>#REF!</v>
      </c>
      <c r="I107" s="2279"/>
    </row>
    <row r="108" spans="1:35" ht="18.75" customHeight="1">
      <c r="A108" s="2279"/>
      <c r="B108" s="2279"/>
      <c r="C108" s="2279"/>
      <c r="D108" s="2279"/>
      <c r="E108" s="3456"/>
      <c r="F108" s="3457"/>
      <c r="G108" s="1268" t="s">
        <v>211</v>
      </c>
      <c r="H108" s="711" t="e">
        <f ca="1">ROUND(H107*10000/'数据-汇总表'!E3,0)</f>
        <v>#REF!</v>
      </c>
      <c r="I108" s="2279"/>
    </row>
    <row r="109" spans="1:35" ht="18.75" customHeight="1">
      <c r="A109" s="2279"/>
      <c r="B109" s="2279"/>
      <c r="C109" s="2279"/>
      <c r="D109" s="2279"/>
      <c r="E109" s="3456" t="str">
        <f>IF(项目基本情况!E8="已注销及未注销","4.抵押担保权已注销时的房地产抵押价值",IF(项目基本情况!E8="已注销","3.抵押担保权已注销时的房地产抵押价值","——"))</f>
        <v>——</v>
      </c>
      <c r="F109" s="3457"/>
      <c r="G109" s="1268" t="s">
        <v>210</v>
      </c>
      <c r="H109" s="685" t="str">
        <f>IF(E109="——","——",H101-H105-H106)</f>
        <v>——</v>
      </c>
      <c r="I109" s="2279"/>
    </row>
    <row r="110" spans="1:35" ht="18.75" customHeight="1">
      <c r="A110" s="2279"/>
      <c r="B110" s="2279"/>
      <c r="C110" s="2279"/>
      <c r="D110" s="2279"/>
      <c r="E110" s="3456"/>
      <c r="F110" s="3457"/>
      <c r="G110" s="1268" t="s">
        <v>211</v>
      </c>
      <c r="H110" s="711" t="str">
        <f>IF(H109="——","——",ROUND(H109*10000/'数据-汇总表'!E3,0))</f>
        <v>——</v>
      </c>
      <c r="I110" s="2279"/>
    </row>
    <row r="111" spans="1:35" ht="18.75" customHeight="1">
      <c r="A111" s="2279"/>
      <c r="B111" s="2279"/>
      <c r="C111" s="2279"/>
      <c r="D111" s="2279"/>
      <c r="E111" s="3493" t="str">
        <f>IF(项目基本情况!E9="抵押净值",IF(OR(项目基本情况!E8="已注销",项目基本情况!E8="房地产抵押价值"),"4.抵押净值","5.抵押净值"),"——")</f>
        <v>——</v>
      </c>
      <c r="F111" s="3494"/>
      <c r="G111" s="1268" t="s">
        <v>210</v>
      </c>
      <c r="H111" s="1987" t="str">
        <f>IF(E111="——","——",N59)</f>
        <v>——</v>
      </c>
      <c r="I111" s="2279"/>
    </row>
    <row r="112" spans="1:35" ht="18.75" customHeight="1" thickBot="1">
      <c r="A112" s="2279"/>
      <c r="B112" s="2279"/>
      <c r="C112" s="2279"/>
      <c r="D112" s="2279"/>
      <c r="E112" s="3495"/>
      <c r="F112" s="3496"/>
      <c r="G112" s="1272" t="s">
        <v>211</v>
      </c>
      <c r="H112" s="1423" t="str">
        <f>IF(E111="——","——",N61)</f>
        <v>——</v>
      </c>
      <c r="I112" s="2279"/>
    </row>
    <row r="113" spans="1:11" ht="18.75" customHeight="1">
      <c r="A113" s="2279"/>
      <c r="B113" s="2279"/>
      <c r="C113" s="2279"/>
      <c r="D113" s="2279"/>
      <c r="E113" s="3461" t="s">
        <v>2013</v>
      </c>
      <c r="F113" s="3461"/>
      <c r="G113" s="3461"/>
      <c r="H113" s="3461"/>
      <c r="I113" s="2279"/>
    </row>
    <row r="114" spans="1:11" ht="3.75" customHeight="1">
      <c r="A114" s="1243"/>
      <c r="B114" s="1243"/>
      <c r="C114" s="1243"/>
      <c r="D114" s="1243"/>
      <c r="E114" s="1258"/>
      <c r="F114" s="1258"/>
      <c r="G114" s="1258"/>
      <c r="H114" s="1258"/>
      <c r="I114" s="1243"/>
    </row>
    <row r="115" spans="1:11" ht="18.75" customHeight="1">
      <c r="A115" s="3475" t="s">
        <v>226</v>
      </c>
      <c r="B115" s="3476"/>
      <c r="C115" s="3476"/>
      <c r="D115" s="3476"/>
      <c r="E115" s="3476"/>
      <c r="F115" s="3476"/>
      <c r="G115" s="3476"/>
      <c r="H115" s="3476"/>
      <c r="I115" s="3477"/>
    </row>
    <row r="116" spans="1:11" ht="27" customHeight="1">
      <c r="A116" s="3367" t="s">
        <v>5</v>
      </c>
      <c r="B116" s="3462" t="s">
        <v>790</v>
      </c>
      <c r="C116" s="3462" t="s">
        <v>791</v>
      </c>
      <c r="D116" s="3479" t="s">
        <v>206</v>
      </c>
      <c r="E116" s="3480"/>
      <c r="F116" s="3471" t="s">
        <v>2394</v>
      </c>
      <c r="G116" s="3471"/>
      <c r="H116" s="3367" t="s">
        <v>6</v>
      </c>
      <c r="I116" s="3367"/>
    </row>
    <row r="117" spans="1:11" ht="18.75" customHeight="1">
      <c r="A117" s="3367"/>
      <c r="B117" s="3463"/>
      <c r="C117" s="3463"/>
      <c r="D117" s="1916" t="s">
        <v>7</v>
      </c>
      <c r="E117" s="1916" t="s">
        <v>792</v>
      </c>
      <c r="F117" s="1916" t="s">
        <v>7</v>
      </c>
      <c r="G117" s="1916" t="s">
        <v>8</v>
      </c>
      <c r="H117" s="1916" t="s">
        <v>7</v>
      </c>
      <c r="I117" s="1916" t="s">
        <v>8</v>
      </c>
    </row>
    <row r="118" spans="1:11" ht="24.75" customHeight="1">
      <c r="A118" s="2034" t="str">
        <f>项目基本情况!S2</f>
        <v>房地产</v>
      </c>
      <c r="B118" s="1921">
        <f>M18</f>
        <v>0</v>
      </c>
      <c r="C118" s="1921" t="e">
        <f>M19</f>
        <v>#DIV/0!</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t="e">
        <f ca="1">ROUND(IF(D32="总价",C32,I118*B118/10000),0)</f>
        <v>#REF!</v>
      </c>
      <c r="I118" s="1921" t="e">
        <f ca="1">ROUND(IF(D32="楼面单价",C32,H118*10000/B118),0)</f>
        <v>#REF!</v>
      </c>
    </row>
    <row r="119" spans="1:11" ht="18.75" customHeight="1">
      <c r="A119" s="3367" t="s">
        <v>9</v>
      </c>
      <c r="B119" s="3367"/>
      <c r="C119" s="3367"/>
      <c r="D119" s="3468" t="e">
        <f ca="1">NUMBERSTRING(INT(D118*10000),2)&amp;"元整"</f>
        <v>#REF!</v>
      </c>
      <c r="E119" s="3470"/>
      <c r="F119" s="3468" t="e">
        <f ca="1">NUMBERSTRING(INT(F118*10000),2)&amp;"元整"</f>
        <v>#REF!</v>
      </c>
      <c r="G119" s="3470"/>
      <c r="H119" s="3468" t="e">
        <f ca="1">NUMBERSTRING(INT(H118*10000),2)&amp;"元整"</f>
        <v>#REF!</v>
      </c>
      <c r="I119" s="3470"/>
    </row>
    <row r="120" spans="1:11" ht="18.75" customHeight="1">
      <c r="A120" s="3500" t="str">
        <f>MID(E103,3,LEN(E103)-2)</f>
        <v>估价师知悉的法定优先受偿款</v>
      </c>
      <c r="B120" s="3501"/>
      <c r="C120" s="3502"/>
      <c r="D120" s="3497">
        <f>H103</f>
        <v>0</v>
      </c>
      <c r="E120" s="3498"/>
      <c r="F120" s="3498"/>
      <c r="G120" s="3498"/>
      <c r="H120" s="3498"/>
      <c r="I120" s="3499"/>
      <c r="K120" s="1434" t="str">
        <f>IF(D120=0,"故，本次评估不存在"&amp;A120,"故，本次评估"&amp;A120&amp;"为人民币"&amp;D120&amp;"万元整。")</f>
        <v>故，本次评估不存在估价师知悉的法定优先受偿款</v>
      </c>
    </row>
    <row r="121" spans="1:11" ht="18.75" customHeight="1">
      <c r="A121" s="3472" t="s">
        <v>9</v>
      </c>
      <c r="B121" s="3473"/>
      <c r="C121" s="3474"/>
      <c r="D121" s="3468" t="str">
        <f>IF(D120=0,"零元整",NUMBERSTRING(INT(D120*10000),2)&amp;"元整")</f>
        <v>零元整</v>
      </c>
      <c r="E121" s="3469"/>
      <c r="F121" s="3469"/>
      <c r="G121" s="3469"/>
      <c r="H121" s="3469"/>
      <c r="I121" s="3470"/>
    </row>
    <row r="122" spans="1:11" ht="18.75" customHeight="1">
      <c r="A122" s="3458" t="str">
        <f>MID(E107,3,LEN(E107)-2)</f>
        <v>房地产抵押价值</v>
      </c>
      <c r="B122" s="3458"/>
      <c r="C122" s="3458"/>
      <c r="D122" s="3497" t="e">
        <f ca="1">H107</f>
        <v>#REF!</v>
      </c>
      <c r="E122" s="3498"/>
      <c r="F122" s="3498"/>
      <c r="G122" s="3498"/>
      <c r="H122" s="3498"/>
      <c r="I122" s="3499"/>
    </row>
    <row r="123" spans="1:11" ht="18.75" customHeight="1">
      <c r="A123" s="3367" t="s">
        <v>9</v>
      </c>
      <c r="B123" s="3367"/>
      <c r="C123" s="3367"/>
      <c r="D123" s="3468" t="e">
        <f ca="1">NUMBERSTRING(INT(D122*10000),2)&amp;"元整"</f>
        <v>#REF!</v>
      </c>
      <c r="E123" s="3469"/>
      <c r="F123" s="3469"/>
      <c r="G123" s="3469"/>
      <c r="H123" s="3469"/>
      <c r="I123" s="3470"/>
    </row>
    <row r="124" spans="1:11" ht="18.75" customHeight="1">
      <c r="A124" s="3458" t="str">
        <f>MID(E109,3,LEN(E109)-2)</f>
        <v/>
      </c>
      <c r="B124" s="3458"/>
      <c r="C124" s="3458"/>
      <c r="D124" s="3497" t="str">
        <f>H109</f>
        <v>——</v>
      </c>
      <c r="E124" s="3498"/>
      <c r="F124" s="3498"/>
      <c r="G124" s="3498"/>
      <c r="H124" s="3498"/>
      <c r="I124" s="3499"/>
    </row>
    <row r="125" spans="1:11" ht="18.75" customHeight="1">
      <c r="A125" s="3367" t="s">
        <v>9</v>
      </c>
      <c r="B125" s="3367"/>
      <c r="C125" s="3367"/>
      <c r="D125" s="3468" t="e">
        <f>NUMBERSTRING(INT(D124*10000),2)&amp;"元整"</f>
        <v>#VALUE!</v>
      </c>
      <c r="E125" s="3469"/>
      <c r="F125" s="3469"/>
      <c r="G125" s="3469"/>
      <c r="H125" s="3469"/>
      <c r="I125" s="3470"/>
    </row>
    <row r="126" spans="1:11" ht="18.75" customHeight="1">
      <c r="A126" s="3458" t="str">
        <f>MID(E111,3,LEN(E111)-2)</f>
        <v/>
      </c>
      <c r="B126" s="3458"/>
      <c r="C126" s="3458"/>
      <c r="D126" s="3497" t="str">
        <f>H111</f>
        <v>——</v>
      </c>
      <c r="E126" s="3498"/>
      <c r="F126" s="3498"/>
      <c r="G126" s="3498"/>
      <c r="H126" s="3498"/>
      <c r="I126" s="3499"/>
    </row>
    <row r="127" spans="1:11" ht="18.75" customHeight="1">
      <c r="A127" s="3367" t="s">
        <v>9</v>
      </c>
      <c r="B127" s="3367"/>
      <c r="C127" s="3367"/>
      <c r="D127" s="3468" t="e">
        <f>NUMBERSTRING(INT(D126*10000),2)&amp;"元整"</f>
        <v>#VALUE!</v>
      </c>
      <c r="E127" s="3469"/>
      <c r="F127" s="3469"/>
      <c r="G127" s="3469"/>
      <c r="H127" s="3469"/>
      <c r="I127" s="3470"/>
    </row>
    <row r="128" spans="1:11" ht="21.75" customHeight="1">
      <c r="A128" s="3478" t="s">
        <v>2012</v>
      </c>
      <c r="B128" s="3478"/>
      <c r="C128" s="3478"/>
      <c r="D128" s="3478"/>
      <c r="E128" s="3478"/>
      <c r="F128" s="3478"/>
      <c r="G128" s="3478"/>
      <c r="H128" s="3478"/>
      <c r="I128" s="3478"/>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c r="C1" s="574"/>
      <c r="D1" s="574"/>
      <c r="E1" s="574"/>
      <c r="F1" s="574"/>
      <c r="G1" s="2755">
        <f>MATCH(B1,'数据-取费表'!A6:A16,0)+5</f>
        <v>6</v>
      </c>
    </row>
    <row r="2" spans="1:9" s="576" customFormat="1" ht="18" customHeight="1">
      <c r="A2" s="577" t="s">
        <v>447</v>
      </c>
      <c r="B2" s="578" t="e">
        <f ca="1">IF(D2="——",C52,C52-E2)</f>
        <v>#DIV/0!</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t="e">
        <f ca="1">ROUND(B2*10000/(IF(B1="",'数据-汇总表'!E3,INDIRECT("'数据-取费表'!k"&amp;$G$1))),0)</f>
        <v>#DIV/0!</v>
      </c>
      <c r="C3" s="85" t="s">
        <v>873</v>
      </c>
      <c r="D3" s="575"/>
      <c r="E3" s="575"/>
      <c r="F3" s="575"/>
      <c r="G3" s="575"/>
    </row>
    <row r="4" spans="1:9" s="584" customFormat="1" ht="15.75">
      <c r="A4" s="581" t="s">
        <v>825</v>
      </c>
      <c r="B4" s="582"/>
      <c r="C4" s="582"/>
      <c r="D4" s="582"/>
      <c r="E4" s="582"/>
      <c r="F4" s="582"/>
      <c r="G4" s="583"/>
    </row>
    <row r="5" spans="1:9" s="590" customFormat="1" ht="13.5" customHeight="1">
      <c r="A5" s="631" t="s">
        <v>2519</v>
      </c>
      <c r="B5" s="586" t="s">
        <v>826</v>
      </c>
      <c r="C5" s="587">
        <f>C6+C7+C8</f>
        <v>0</v>
      </c>
      <c r="D5" s="587" t="s">
        <v>827</v>
      </c>
      <c r="E5" s="588" t="s">
        <v>828</v>
      </c>
      <c r="F5" s="588" t="s">
        <v>829</v>
      </c>
      <c r="G5" s="589"/>
    </row>
    <row r="6" spans="1:9" s="590" customFormat="1" ht="13.5" customHeight="1">
      <c r="A6" s="1805" t="s">
        <v>1928</v>
      </c>
      <c r="B6" s="591" t="s">
        <v>830</v>
      </c>
      <c r="C6" s="592"/>
      <c r="D6" s="593"/>
      <c r="E6" s="594"/>
      <c r="F6" s="594"/>
      <c r="G6" s="595"/>
    </row>
    <row r="7" spans="1:9" s="590" customFormat="1" ht="13.5" customHeight="1">
      <c r="A7" s="1805" t="s">
        <v>1929</v>
      </c>
      <c r="B7" s="591" t="s">
        <v>348</v>
      </c>
      <c r="C7" s="596">
        <f>ROUND(C6*F7,0)</f>
        <v>0</v>
      </c>
      <c r="D7" s="596"/>
      <c r="E7" s="594"/>
      <c r="F7" s="597">
        <f>'数据-取费表'!B48+'数据-取费表'!B49</f>
        <v>0</v>
      </c>
      <c r="G7" s="595"/>
    </row>
    <row r="8" spans="1:9" s="599" customFormat="1">
      <c r="A8" s="1805" t="s">
        <v>1930</v>
      </c>
      <c r="B8" s="591" t="s">
        <v>831</v>
      </c>
      <c r="C8" s="596">
        <f>IF(G8="已包含在土地购买价格中","0",IF(B1="",'数据-取费表'!B29,IF(G9="全部缴纳",C9+C10,H9)))</f>
        <v>0</v>
      </c>
      <c r="D8" s="598"/>
      <c r="E8" s="596"/>
      <c r="F8" s="597"/>
      <c r="G8" s="84"/>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5"/>
      <c r="H9" s="2806"/>
      <c r="I9" s="2807" t="s">
        <v>2701</v>
      </c>
    </row>
    <row r="10" spans="1:9" s="590" customFormat="1" ht="13.5" customHeight="1">
      <c r="A10" s="1806" t="s">
        <v>1938</v>
      </c>
      <c r="B10" s="600" t="s">
        <v>833</v>
      </c>
      <c r="C10" s="601">
        <f ca="1">ROUND(D10*E10/10000,0)</f>
        <v>0</v>
      </c>
      <c r="D10" s="1910">
        <f ca="1">IF(B1="",'数据-汇总表'!E6,IF(INDIRECT("'数据-取费表'!c"&amp;$G$1)="住宅",INDIRECT("'数据-取费表'!s"&amp;$G$1),INDIRECT("'数据-取费表'!k"&amp;$G$1)+INDIRECT("'数据-取费表'!s"&amp;$G$1)))</f>
        <v>0</v>
      </c>
      <c r="E10" s="601">
        <f>'数据-取费表'!B28</f>
        <v>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 ca="1">IF(G19="已包含在土地取得成本中","0",ROUND(D19*E19/10000,0))</f>
        <v>0</v>
      </c>
      <c r="D19" s="1914">
        <f ca="1">D9+D10</f>
        <v>0</v>
      </c>
      <c r="E19" s="587">
        <f>'数据-取费表'!B31</f>
        <v>0</v>
      </c>
      <c r="F19" s="607"/>
      <c r="G19" s="84"/>
    </row>
    <row r="20" spans="1:7" s="590" customFormat="1" ht="13.5" customHeight="1">
      <c r="A20" s="1804" t="s">
        <v>2522</v>
      </c>
      <c r="B20" s="586" t="s">
        <v>843</v>
      </c>
      <c r="C20" s="608">
        <f ca="1">ROUND((C5+C19)*F20,0)</f>
        <v>0</v>
      </c>
      <c r="D20" s="608"/>
      <c r="E20" s="608"/>
      <c r="F20" s="609">
        <f>'数据-取费表'!B37</f>
        <v>0</v>
      </c>
      <c r="G20" s="2622" t="s">
        <v>2533</v>
      </c>
    </row>
    <row r="21" spans="1:7" s="590" customFormat="1" ht="13.5" customHeight="1">
      <c r="A21" s="1804" t="s">
        <v>2524</v>
      </c>
      <c r="B21" s="586" t="s">
        <v>844</v>
      </c>
      <c r="C21" s="611">
        <f>F21</f>
        <v>0</v>
      </c>
      <c r="D21" s="612" t="s">
        <v>865</v>
      </c>
      <c r="E21" s="608"/>
      <c r="F21" s="609">
        <f>'数据-取费表'!B38</f>
        <v>0</v>
      </c>
      <c r="G21" s="610" t="s">
        <v>845</v>
      </c>
    </row>
    <row r="22" spans="1:7" s="590" customFormat="1" ht="13.5" customHeight="1">
      <c r="A22" s="1804" t="s">
        <v>1923</v>
      </c>
      <c r="B22" s="586" t="s">
        <v>846</v>
      </c>
      <c r="C22" s="2701">
        <f ca="1">ROUND(SUM(C23:C25),0)</f>
        <v>0</v>
      </c>
      <c r="D22" s="611">
        <f ca="1">C26</f>
        <v>0</v>
      </c>
      <c r="E22" s="612" t="s">
        <v>865</v>
      </c>
      <c r="F22" s="613">
        <f ca="1">'数据-取费表'!B40</f>
        <v>0</v>
      </c>
      <c r="G22" s="2622" t="str">
        <f>IF('数据-取费表'!B22&lt;=1,"单利计息","复利计息")</f>
        <v>单利计息</v>
      </c>
    </row>
    <row r="23" spans="1:7" s="590" customFormat="1" ht="13.5" customHeight="1">
      <c r="A23" s="1807" t="s">
        <v>1928</v>
      </c>
      <c r="B23" s="591" t="s">
        <v>2526</v>
      </c>
      <c r="C23" s="2702">
        <f ca="1">ROUND(IF('数据-取费表'!B22&lt;=1,C5*F22*'数据-取费表'!B23,C5*(POWER((1+F22),'数据-取费表'!B23)-1)),0)</f>
        <v>0</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2523</v>
      </c>
      <c r="C25" s="2702">
        <f ca="1">ROUND(IF('数据-取费表'!B22&lt;=1,C20*F22*'数据-取费表'!B23/2,C20*(POWER((1+F22),'数据-取费表'!B23/2)-1)),0)</f>
        <v>0</v>
      </c>
      <c r="D25" s="614"/>
      <c r="E25" s="617"/>
      <c r="F25" s="615"/>
      <c r="G25" s="618" t="s">
        <v>849</v>
      </c>
    </row>
    <row r="26" spans="1:7" s="590" customFormat="1">
      <c r="A26" s="1807" t="s">
        <v>1932</v>
      </c>
      <c r="B26" s="591" t="s">
        <v>2525</v>
      </c>
      <c r="C26" s="614">
        <f ca="1">ROUND(IF('数据-取费表'!B22&lt;=1,F21*F22*'数据-取费表'!B23/2,F21*(POWER((1+F22),'数据-取费表'!B23/2)-1)),4)</f>
        <v>0</v>
      </c>
      <c r="D26" s="614"/>
      <c r="E26" s="617"/>
      <c r="F26" s="615"/>
      <c r="G26" s="619"/>
    </row>
    <row r="27" spans="1:7" s="590" customFormat="1" ht="24.75">
      <c r="A27" s="1804" t="s">
        <v>1924</v>
      </c>
      <c r="B27" s="620" t="s">
        <v>851</v>
      </c>
      <c r="C27" s="621" t="e">
        <f ca="1">C28</f>
        <v>#DIV/0!</v>
      </c>
      <c r="D27" s="611" t="e">
        <f ca="1">C29</f>
        <v>#DIV/0!</v>
      </c>
      <c r="E27" s="612" t="s">
        <v>865</v>
      </c>
      <c r="F27" s="622" t="e">
        <f ca="1">IF(B1="",'数据-取费表'!Q16,INDIRECT("'数据-取费表'!q"&amp;$G$1))</f>
        <v>#DIV/0!</v>
      </c>
      <c r="G27" s="623" t="s">
        <v>2534</v>
      </c>
    </row>
    <row r="28" spans="1:7" s="590" customFormat="1" ht="13.5" customHeight="1">
      <c r="A28" s="1807" t="s">
        <v>1928</v>
      </c>
      <c r="B28" s="624" t="s">
        <v>2527</v>
      </c>
      <c r="C28" s="625" t="e">
        <f ca="1">ROUND((C5+C19+C20)*F27*'数据-取费表'!B21/'数据-取费表'!B20,0)</f>
        <v>#DIV/0!</v>
      </c>
      <c r="D28" s="611"/>
      <c r="E28" s="612"/>
      <c r="F28" s="622"/>
      <c r="G28" s="623"/>
    </row>
    <row r="29" spans="1:7" s="590" customFormat="1" ht="13.5" customHeight="1">
      <c r="A29" s="1807" t="s">
        <v>1929</v>
      </c>
      <c r="B29" s="624" t="s">
        <v>2528</v>
      </c>
      <c r="C29" s="614" t="e">
        <f ca="1">ROUND(C21*F27*'数据-取费表'!B21/'数据-取费表'!B20,4)</f>
        <v>#DIV/0!</v>
      </c>
      <c r="D29" s="611"/>
      <c r="E29" s="612"/>
      <c r="F29" s="622"/>
      <c r="G29" s="623"/>
    </row>
    <row r="30" spans="1:7" s="590" customFormat="1" ht="13.5" customHeight="1">
      <c r="A30" s="1804" t="s">
        <v>1925</v>
      </c>
      <c r="B30" s="586" t="s">
        <v>349</v>
      </c>
      <c r="C30" s="611">
        <f>ROUND(F30/(1+'数据-取费表'!C42),4)</f>
        <v>0.05</v>
      </c>
      <c r="D30" s="612" t="s">
        <v>2955</v>
      </c>
      <c r="E30" s="617"/>
      <c r="F30" s="613">
        <f>'数据-取费表'!B41</f>
        <v>0.05</v>
      </c>
      <c r="G30" s="2622" t="s">
        <v>2956</v>
      </c>
    </row>
    <row r="31" spans="1:7" ht="16.5" customHeight="1">
      <c r="A31" s="585">
        <v>1</v>
      </c>
      <c r="B31" s="586" t="s">
        <v>867</v>
      </c>
      <c r="C31" s="587" t="e">
        <f ca="1">ROUND((C5+C19+C20+C22+C27)/(1-C21-D22-D27-C30),0)</f>
        <v>#DIV/0!</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0</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1</v>
      </c>
      <c r="G34" s="595" t="s">
        <v>855</v>
      </c>
    </row>
    <row r="35" spans="1:7" ht="13.5" customHeight="1">
      <c r="A35" s="1807" t="s">
        <v>1933</v>
      </c>
      <c r="B35" s="591" t="s">
        <v>351</v>
      </c>
      <c r="C35" s="596">
        <f ca="1">ROUND(C34*F35,0)</f>
        <v>0</v>
      </c>
      <c r="D35" s="596"/>
      <c r="E35" s="596"/>
      <c r="F35" s="635">
        <f>'数据-取费表'!B33</f>
        <v>0</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0</v>
      </c>
      <c r="D37" s="593">
        <f ca="1">D19</f>
        <v>0</v>
      </c>
      <c r="E37" s="625">
        <f>'数据-取费表'!B35</f>
        <v>0</v>
      </c>
      <c r="F37" s="635"/>
      <c r="G37" s="637" t="s">
        <v>858</v>
      </c>
    </row>
    <row r="38" spans="1:7" ht="13.5" customHeight="1">
      <c r="A38" s="1807" t="s">
        <v>1936</v>
      </c>
      <c r="B38" s="591" t="s">
        <v>354</v>
      </c>
      <c r="C38" s="596">
        <f ca="1">ROUND(C34*F38,0)</f>
        <v>0</v>
      </c>
      <c r="D38" s="596"/>
      <c r="E38" s="596"/>
      <c r="F38" s="635">
        <f>'数据-取费表'!B36</f>
        <v>0</v>
      </c>
      <c r="G38" s="595" t="s">
        <v>856</v>
      </c>
    </row>
    <row r="39" spans="1:7" s="590" customFormat="1" ht="13.5" customHeight="1">
      <c r="A39" s="1804" t="s">
        <v>1920</v>
      </c>
      <c r="B39" s="586" t="s">
        <v>843</v>
      </c>
      <c r="C39" s="608">
        <f ca="1">ROUND(C33*F20,0)</f>
        <v>0</v>
      </c>
      <c r="D39" s="608"/>
      <c r="E39" s="608"/>
      <c r="F39" s="609"/>
      <c r="G39" s="2622" t="s">
        <v>2536</v>
      </c>
    </row>
    <row r="40" spans="1:7" s="590" customFormat="1" ht="13.5" customHeight="1">
      <c r="A40" s="1804" t="s">
        <v>1921</v>
      </c>
      <c r="B40" s="586" t="s">
        <v>844</v>
      </c>
      <c r="C40" s="3241">
        <f>F21</f>
        <v>0</v>
      </c>
      <c r="D40" s="612" t="s">
        <v>868</v>
      </c>
      <c r="E40" s="608"/>
      <c r="F40" s="609"/>
      <c r="G40" s="610" t="s">
        <v>859</v>
      </c>
    </row>
    <row r="41" spans="1:7" s="590" customFormat="1" ht="13.5" customHeight="1">
      <c r="A41" s="1804" t="s">
        <v>1922</v>
      </c>
      <c r="B41" s="586" t="s">
        <v>846</v>
      </c>
      <c r="C41" s="608">
        <f ca="1">ROUND(SUM(C42:C43),0)</f>
        <v>0</v>
      </c>
      <c r="D41" s="611">
        <f ca="1">C44</f>
        <v>0</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ROUND(IF('数据-取费表'!B22&lt;=1,C33*F22*'数据-取费表'!B21/2,C33*(POWER((1+F22),'数据-取费表'!B21/2)-1)),0)</f>
        <v>0</v>
      </c>
      <c r="D42" s="614"/>
      <c r="E42" s="614"/>
      <c r="F42" s="615"/>
      <c r="G42" s="3514" t="s">
        <v>860</v>
      </c>
    </row>
    <row r="43" spans="1:7" ht="13.5" customHeight="1">
      <c r="A43" s="1807" t="s">
        <v>1929</v>
      </c>
      <c r="B43" s="591" t="s">
        <v>2529</v>
      </c>
      <c r="C43" s="614">
        <f ca="1">ROUND(IF('数据-取费表'!B22&lt;=1,C39*F22*'数据-取费表'!B21/2,C39*(POWER((1+F22),'数据-取费表'!B21/2)-1)),0)</f>
        <v>0</v>
      </c>
      <c r="D43" s="614"/>
      <c r="E43" s="614"/>
      <c r="F43" s="615"/>
      <c r="G43" s="3515"/>
    </row>
    <row r="44" spans="1:7" ht="13.5" customHeight="1">
      <c r="A44" s="1807" t="s">
        <v>1930</v>
      </c>
      <c r="B44" s="591" t="s">
        <v>2531</v>
      </c>
      <c r="C44" s="614">
        <f ca="1">ROUND(IF('数据-取费表'!B22&lt;=1,C40*F22*'数据-取费表'!B21/2,C40*(POWER((1+F22),'数据-取费表'!B21/2)-1)),4)</f>
        <v>0</v>
      </c>
      <c r="D44" s="614"/>
      <c r="E44" s="614"/>
      <c r="F44" s="615"/>
      <c r="G44" s="3516"/>
    </row>
    <row r="45" spans="1:7" s="590" customFormat="1" ht="13.5" customHeight="1">
      <c r="A45" s="1804" t="s">
        <v>1923</v>
      </c>
      <c r="B45" s="620" t="s">
        <v>851</v>
      </c>
      <c r="C45" s="621" t="e">
        <f ca="1">C46</f>
        <v>#DIV/0!</v>
      </c>
      <c r="D45" s="611" t="e">
        <f ca="1">C47</f>
        <v>#DIV/0!</v>
      </c>
      <c r="E45" s="612" t="s">
        <v>868</v>
      </c>
      <c r="F45" s="622"/>
      <c r="G45" s="623" t="s">
        <v>2537</v>
      </c>
    </row>
    <row r="46" spans="1:7" s="590" customFormat="1" ht="13.5" customHeight="1">
      <c r="A46" s="1807" t="s">
        <v>1928</v>
      </c>
      <c r="B46" s="624" t="s">
        <v>2530</v>
      </c>
      <c r="C46" s="625" t="e">
        <f ca="1">ROUND((C33+C39)*F27,0)</f>
        <v>#DIV/0!</v>
      </c>
      <c r="D46" s="639"/>
      <c r="E46" s="612"/>
      <c r="F46" s="622"/>
      <c r="G46" s="623"/>
    </row>
    <row r="47" spans="1:7" s="590" customFormat="1" ht="13.5" customHeight="1">
      <c r="A47" s="1807" t="s">
        <v>1929</v>
      </c>
      <c r="B47" s="624" t="s">
        <v>2532</v>
      </c>
      <c r="C47" s="614" t="e">
        <f ca="1">ROUND(C40*F27,4)</f>
        <v>#DIV/0!</v>
      </c>
      <c r="D47" s="639"/>
      <c r="E47" s="612"/>
      <c r="F47" s="622"/>
      <c r="G47" s="623"/>
    </row>
    <row r="48" spans="1:7" s="590" customFormat="1" ht="13.5" customHeight="1">
      <c r="A48" s="1804" t="s">
        <v>1924</v>
      </c>
      <c r="B48" s="586" t="s">
        <v>861</v>
      </c>
      <c r="C48" s="3241">
        <f>ROUND(F30/(1+'数据-取费表'!C42),4)</f>
        <v>0.05</v>
      </c>
      <c r="D48" s="612" t="s">
        <v>2957</v>
      </c>
      <c r="E48" s="608"/>
      <c r="F48" s="613"/>
      <c r="G48" s="2622" t="s">
        <v>2958</v>
      </c>
    </row>
    <row r="49" spans="1:7" ht="16.5" customHeight="1">
      <c r="A49" s="1804" t="s">
        <v>1925</v>
      </c>
      <c r="B49" s="586" t="s">
        <v>870</v>
      </c>
      <c r="C49" s="608" t="e">
        <f ca="1">ROUND((C33+C39+C41+C45)/(1-C40-D41-D45-C48),0)</f>
        <v>#DIV/0!</v>
      </c>
      <c r="D49" s="608"/>
      <c r="E49" s="608"/>
      <c r="F49" s="640"/>
      <c r="G49" s="610" t="s">
        <v>2538</v>
      </c>
    </row>
    <row r="50" spans="1:7" s="634" customFormat="1" ht="24">
      <c r="A50" s="1804" t="s">
        <v>1926</v>
      </c>
      <c r="B50" s="586" t="s">
        <v>863</v>
      </c>
      <c r="C50" s="608"/>
      <c r="D50" s="608"/>
      <c r="E50" s="608"/>
      <c r="F50" s="640" t="e">
        <f>IF('数据-取费表'!B24=0,'数据-取费表'!N16,1)</f>
        <v>#DIV/0!</v>
      </c>
      <c r="G50" s="623" t="s">
        <v>864</v>
      </c>
    </row>
    <row r="51" spans="1:7" ht="16.5" customHeight="1">
      <c r="A51" s="1804" t="s">
        <v>1927</v>
      </c>
      <c r="B51" s="586" t="s">
        <v>871</v>
      </c>
      <c r="C51" s="608" t="e">
        <f ca="1">ROUND(C49*F50,0)</f>
        <v>#DIV/0!</v>
      </c>
      <c r="D51" s="608"/>
      <c r="E51" s="608"/>
      <c r="F51" s="640"/>
      <c r="G51" s="610" t="s">
        <v>355</v>
      </c>
    </row>
    <row r="52" spans="1:7" s="584" customFormat="1" ht="16.5" thickBot="1">
      <c r="A52" s="641" t="s">
        <v>356</v>
      </c>
      <c r="B52" s="642"/>
      <c r="C52" s="643" t="e">
        <f ca="1">C31+C51</f>
        <v>#DIV/0!</v>
      </c>
      <c r="D52" s="642"/>
      <c r="E52" s="642"/>
      <c r="F52" s="642"/>
      <c r="G52" s="644"/>
    </row>
    <row r="55" spans="1:7" ht="15">
      <c r="B55" s="646" t="s">
        <v>357</v>
      </c>
      <c r="C55" s="647"/>
    </row>
    <row r="56" spans="1:7">
      <c r="B56" s="2877" t="s">
        <v>2713</v>
      </c>
      <c r="C56" s="651" t="e">
        <f ca="1">1-C57</f>
        <v>#DIV/0!</v>
      </c>
    </row>
    <row r="57" spans="1:7">
      <c r="B57" s="2877" t="s">
        <v>2712</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24" t="str">
        <f>项目基本情况!B1</f>
        <v>预评估</v>
      </c>
      <c r="C37" s="3324"/>
      <c r="D37" s="3324"/>
      <c r="E37" s="3324"/>
      <c r="F37" s="3324"/>
      <c r="G37" s="3324"/>
      <c r="H37" s="3324"/>
      <c r="I37" s="3324"/>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2643</v>
      </c>
      <c r="D1" s="574"/>
      <c r="E1" s="574"/>
      <c r="F1" s="574"/>
      <c r="G1" s="2755">
        <f>MATCH(B1,'数据-取费表'!A6:A16,0)+5</f>
        <v>6</v>
      </c>
      <c r="H1" s="2586" t="str">
        <f>IF(ISERROR(FIND("住宅",B1)),"非住宅","住宅")</f>
        <v>非住宅</v>
      </c>
    </row>
    <row r="2" spans="1:8" s="576" customFormat="1" ht="18" customHeight="1">
      <c r="A2" s="577" t="s">
        <v>346</v>
      </c>
      <c r="B2" s="578" t="e">
        <f ca="1">ROUND(IF(D2="——",C52/10000,C52/10000-E2),0)</f>
        <v>#DIV/0!</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t="e">
        <f ca="1">ROUND(B2*10000/(IF(B1="",'数据-汇总表'!E3,INDIRECT("'数据-取费表'!k"&amp;$G$1))),0)</f>
        <v>#DIV/0!</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0</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0</v>
      </c>
      <c r="G7" s="595"/>
    </row>
    <row r="8" spans="1:8" s="599" customFormat="1">
      <c r="A8" s="1805" t="s">
        <v>1930</v>
      </c>
      <c r="B8" s="591" t="s">
        <v>831</v>
      </c>
      <c r="C8" s="596">
        <f ca="1">IF(G8="已包含在土地购买价格中",0,C9+C10)</f>
        <v>0</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0</v>
      </c>
      <c r="D10" s="1910">
        <f ca="1">IF(B1="",'数据-汇总表'!E6,IF(INDIRECT("'数据-取费表'!c"&amp;$G$1)="住宅",INDIRECT("'数据-取费表'!s"&amp;$G$1),INDIRECT("'数据-取费表'!k"&amp;$G$1)+INDIRECT("'数据-取费表'!s"&amp;$G$1)))</f>
        <v>0</v>
      </c>
      <c r="E10" s="601">
        <f>'数据-取费表'!B28</f>
        <v>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0</v>
      </c>
      <c r="D19" s="1914">
        <f ca="1">D9+D10</f>
        <v>0</v>
      </c>
      <c r="E19" s="587">
        <f>'数据-取费表'!B31</f>
        <v>0</v>
      </c>
      <c r="F19" s="607"/>
      <c r="G19" s="84"/>
    </row>
    <row r="20" spans="1:7" s="590" customFormat="1" ht="13.5" customHeight="1">
      <c r="A20" s="1804" t="s">
        <v>1921</v>
      </c>
      <c r="B20" s="586" t="s">
        <v>843</v>
      </c>
      <c r="C20" s="608">
        <f ca="1">ROUND((C5+C19)*F20,0)</f>
        <v>0</v>
      </c>
      <c r="D20" s="608"/>
      <c r="E20" s="608"/>
      <c r="F20" s="609">
        <f>'数据-取费表'!B37</f>
        <v>0</v>
      </c>
      <c r="G20" s="2622" t="s">
        <v>2533</v>
      </c>
    </row>
    <row r="21" spans="1:7" s="590" customFormat="1" ht="13.5" customHeight="1">
      <c r="A21" s="1804" t="s">
        <v>1922</v>
      </c>
      <c r="B21" s="586" t="s">
        <v>844</v>
      </c>
      <c r="C21" s="611">
        <f>F21</f>
        <v>0</v>
      </c>
      <c r="D21" s="612" t="s">
        <v>865</v>
      </c>
      <c r="E21" s="608"/>
      <c r="F21" s="609">
        <f>'数据-取费表'!B38</f>
        <v>0</v>
      </c>
      <c r="G21" s="610" t="s">
        <v>845</v>
      </c>
    </row>
    <row r="22" spans="1:7" s="590" customFormat="1" ht="13.5" customHeight="1">
      <c r="A22" s="1804" t="s">
        <v>1923</v>
      </c>
      <c r="B22" s="586" t="s">
        <v>846</v>
      </c>
      <c r="C22" s="2756">
        <f ca="1">ROUND(SUM(C23:C25),0)</f>
        <v>0</v>
      </c>
      <c r="D22" s="611">
        <f ca="1">C26</f>
        <v>0</v>
      </c>
      <c r="E22" s="612" t="s">
        <v>865</v>
      </c>
      <c r="F22" s="613">
        <f ca="1">'数据-取费表'!B40</f>
        <v>0</v>
      </c>
      <c r="G22" s="2622" t="str">
        <f>IF('数据-取费表'!B22&lt;=1,"单利计息","复利计息")</f>
        <v>单利计息</v>
      </c>
    </row>
    <row r="23" spans="1:7" s="590" customFormat="1" ht="13.5" customHeight="1">
      <c r="A23" s="1807" t="s">
        <v>1928</v>
      </c>
      <c r="B23" s="591" t="s">
        <v>2526</v>
      </c>
      <c r="C23" s="2757">
        <f ca="1">ROUND(IF('数据-取费表'!B22&lt;=1,C5*F22*'数据-取费表'!B22,C5*(POWER((1+F22),'数据-取费表'!B22)-1)),0)</f>
        <v>0</v>
      </c>
      <c r="D23" s="614"/>
      <c r="E23" s="614"/>
      <c r="F23" s="615"/>
      <c r="G23" s="616" t="s">
        <v>847</v>
      </c>
    </row>
    <row r="24" spans="1:7" s="590" customFormat="1" ht="13.5" customHeight="1">
      <c r="A24" s="1807" t="s">
        <v>1929</v>
      </c>
      <c r="B24" s="591" t="s">
        <v>2521</v>
      </c>
      <c r="C24" s="2757">
        <f ca="1">ROUND(IF('数据-取费表'!B22&lt;=1,C19*F22*('数据-取费表'!B19/2+'数据-取费表'!B20),C19*(POWER((1+F22),('数据-取费表'!B19/2+'数据-取费表'!B20))-1)),0)</f>
        <v>0</v>
      </c>
      <c r="D24" s="614"/>
      <c r="E24" s="614"/>
      <c r="F24" s="615"/>
      <c r="G24" s="616" t="s">
        <v>848</v>
      </c>
    </row>
    <row r="25" spans="1:7" s="590" customFormat="1" ht="24">
      <c r="A25" s="1807" t="s">
        <v>1930</v>
      </c>
      <c r="B25" s="591" t="s">
        <v>2523</v>
      </c>
      <c r="C25" s="2757">
        <f ca="1">ROUND(IF('数据-取费表'!B22&lt;=1,C20*F22*'数据-取费表'!B22/2,C20*(POWER((1+F22),'数据-取费表'!B22/2)-1)),0)</f>
        <v>0</v>
      </c>
      <c r="D25" s="614"/>
      <c r="E25" s="617"/>
      <c r="F25" s="615"/>
      <c r="G25" s="618" t="s">
        <v>849</v>
      </c>
    </row>
    <row r="26" spans="1:7" s="590" customFormat="1">
      <c r="A26" s="1807" t="s">
        <v>1932</v>
      </c>
      <c r="B26" s="591" t="s">
        <v>2525</v>
      </c>
      <c r="C26" s="614">
        <f ca="1">ROUND(IF('数据-取费表'!B22&lt;=1,F21*F22*'数据-取费表'!B22/2,F21*(POWER((1+F22),'数据-取费表'!B22/2)-1)),4)</f>
        <v>0</v>
      </c>
      <c r="D26" s="614"/>
      <c r="E26" s="617"/>
      <c r="F26" s="615"/>
      <c r="G26" s="619"/>
    </row>
    <row r="27" spans="1:7" s="590" customFormat="1" ht="24.75">
      <c r="A27" s="1804" t="s">
        <v>1924</v>
      </c>
      <c r="B27" s="620" t="s">
        <v>851</v>
      </c>
      <c r="C27" s="621" t="e">
        <f ca="1">C28</f>
        <v>#DIV/0!</v>
      </c>
      <c r="D27" s="611" t="e">
        <f ca="1">C29</f>
        <v>#DIV/0!</v>
      </c>
      <c r="E27" s="612" t="s">
        <v>865</v>
      </c>
      <c r="F27" s="622" t="e">
        <f ca="1">IF(B1="",'数据-取费表'!Q16,INDIRECT("'数据-取费表'!q"&amp;$G$1))</f>
        <v>#DIV/0!</v>
      </c>
      <c r="G27" s="623" t="s">
        <v>2534</v>
      </c>
    </row>
    <row r="28" spans="1:7" s="590" customFormat="1" ht="13.5" customHeight="1">
      <c r="A28" s="1807" t="s">
        <v>1928</v>
      </c>
      <c r="B28" s="624" t="s">
        <v>2527</v>
      </c>
      <c r="C28" s="625" t="e">
        <f ca="1">ROUND((C5+C19+C20)*F27,0)</f>
        <v>#DIV/0!</v>
      </c>
      <c r="D28" s="611"/>
      <c r="E28" s="612"/>
      <c r="F28" s="622"/>
      <c r="G28" s="623"/>
    </row>
    <row r="29" spans="1:7" s="590" customFormat="1" ht="13.5" customHeight="1">
      <c r="A29" s="1807" t="s">
        <v>1929</v>
      </c>
      <c r="B29" s="624" t="s">
        <v>2528</v>
      </c>
      <c r="C29" s="614" t="e">
        <f ca="1">ROUND(C21*F27,4)</f>
        <v>#DIV/0!</v>
      </c>
      <c r="D29" s="611"/>
      <c r="E29" s="612"/>
      <c r="F29" s="622"/>
      <c r="G29" s="623"/>
    </row>
    <row r="30" spans="1:7" s="590" customFormat="1" ht="13.5" customHeight="1">
      <c r="A30" s="1804" t="s">
        <v>1925</v>
      </c>
      <c r="B30" s="586" t="s">
        <v>349</v>
      </c>
      <c r="C30" s="611">
        <f>ROUND(F30/(1+'数据-取费表'!C42),4)</f>
        <v>0.05</v>
      </c>
      <c r="D30" s="612" t="s">
        <v>2959</v>
      </c>
      <c r="E30" s="617"/>
      <c r="F30" s="613">
        <f>'数据-取费表'!B41</f>
        <v>0.05</v>
      </c>
      <c r="G30" s="2622" t="s">
        <v>2960</v>
      </c>
    </row>
    <row r="31" spans="1:7" ht="16.5" customHeight="1">
      <c r="A31" s="585">
        <v>1</v>
      </c>
      <c r="B31" s="586" t="s">
        <v>867</v>
      </c>
      <c r="C31" s="587" t="e">
        <f ca="1">ROUND((C5+C19+C20+C22+C27)/(1-C21-D22-D27-C30),0)</f>
        <v>#DIV/0!</v>
      </c>
      <c r="D31" s="606"/>
      <c r="E31" s="587"/>
      <c r="F31" s="626"/>
      <c r="G31" s="610" t="s">
        <v>2535</v>
      </c>
    </row>
    <row r="32" spans="1:7" s="584" customFormat="1" ht="15.75">
      <c r="A32" s="628" t="s">
        <v>2638</v>
      </c>
      <c r="B32" s="629"/>
      <c r="C32" s="629"/>
      <c r="D32" s="629"/>
      <c r="E32" s="629"/>
      <c r="F32" s="629"/>
      <c r="G32" s="630"/>
    </row>
    <row r="33" spans="1:7" s="590" customFormat="1" ht="13.5" customHeight="1">
      <c r="A33" s="631" t="s">
        <v>1919</v>
      </c>
      <c r="B33" s="2758" t="s">
        <v>2639</v>
      </c>
      <c r="C33" s="632">
        <f ca="1">SUM(C34:C38)</f>
        <v>0</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0</v>
      </c>
      <c r="D34" s="593"/>
      <c r="E34" s="596"/>
      <c r="F34" s="633"/>
      <c r="G34" s="595"/>
    </row>
    <row r="35" spans="1:7" ht="13.5" customHeight="1">
      <c r="A35" s="1807" t="s">
        <v>1933</v>
      </c>
      <c r="B35" s="591" t="s">
        <v>351</v>
      </c>
      <c r="C35" s="596">
        <f ca="1">ROUND(C34*F35,0)</f>
        <v>0</v>
      </c>
      <c r="D35" s="596"/>
      <c r="E35" s="596"/>
      <c r="F35" s="635">
        <f>'数据-取费表'!B33</f>
        <v>0</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0</v>
      </c>
      <c r="D37" s="593">
        <f ca="1">D19</f>
        <v>0</v>
      </c>
      <c r="E37" s="625">
        <f>'数据-取费表'!B35</f>
        <v>0</v>
      </c>
      <c r="F37" s="635"/>
      <c r="G37" s="637"/>
    </row>
    <row r="38" spans="1:7" ht="13.5" customHeight="1">
      <c r="A38" s="1807" t="s">
        <v>1936</v>
      </c>
      <c r="B38" s="591" t="s">
        <v>354</v>
      </c>
      <c r="C38" s="596">
        <f ca="1">ROUND(C34*F38,0)</f>
        <v>0</v>
      </c>
      <c r="D38" s="596"/>
      <c r="E38" s="596"/>
      <c r="F38" s="635">
        <f>'数据-取费表'!B36</f>
        <v>0</v>
      </c>
      <c r="G38" s="595" t="s">
        <v>856</v>
      </c>
    </row>
    <row r="39" spans="1:7" s="590" customFormat="1" ht="13.5" customHeight="1">
      <c r="A39" s="1804" t="s">
        <v>1920</v>
      </c>
      <c r="B39" s="586" t="s">
        <v>843</v>
      </c>
      <c r="C39" s="608">
        <f ca="1">ROUND(C33*F20,0)</f>
        <v>0</v>
      </c>
      <c r="D39" s="608"/>
      <c r="E39" s="608"/>
      <c r="F39" s="609"/>
      <c r="G39" s="2622" t="s">
        <v>2536</v>
      </c>
    </row>
    <row r="40" spans="1:7" s="590" customFormat="1" ht="13.5" customHeight="1">
      <c r="A40" s="1804" t="s">
        <v>1921</v>
      </c>
      <c r="B40" s="586" t="s">
        <v>844</v>
      </c>
      <c r="C40" s="3241">
        <f>F21</f>
        <v>0</v>
      </c>
      <c r="D40" s="612" t="s">
        <v>868</v>
      </c>
      <c r="E40" s="608"/>
      <c r="F40" s="609"/>
      <c r="G40" s="610" t="s">
        <v>859</v>
      </c>
    </row>
    <row r="41" spans="1:7" s="590" customFormat="1" ht="13.5" customHeight="1">
      <c r="A41" s="1804" t="s">
        <v>1922</v>
      </c>
      <c r="B41" s="586" t="s">
        <v>846</v>
      </c>
      <c r="C41" s="608">
        <f ca="1">ROUND(SUM(C42:C43),0)</f>
        <v>0</v>
      </c>
      <c r="D41" s="611">
        <f ca="1">C44</f>
        <v>0</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ROUND(IF('数据-取费表'!B22&lt;=1,C33*F22*'数据-取费表'!B20/2,C33*(POWER((1+F22),'数据-取费表'!B20/2)-1)),0)</f>
        <v>0</v>
      </c>
      <c r="D42" s="614"/>
      <c r="E42" s="614"/>
      <c r="F42" s="615"/>
      <c r="G42" s="3517" t="s">
        <v>2642</v>
      </c>
    </row>
    <row r="43" spans="1:7" ht="13.5" customHeight="1">
      <c r="A43" s="1807" t="s">
        <v>1929</v>
      </c>
      <c r="B43" s="591" t="s">
        <v>2521</v>
      </c>
      <c r="C43" s="614">
        <f ca="1">ROUND(IF('数据-取费表'!B22&lt;=1,C39*F22*'数据-取费表'!B20/2,C39*(POWER((1+F22),'数据-取费表'!B20/2)-1)),0)</f>
        <v>0</v>
      </c>
      <c r="D43" s="614"/>
      <c r="E43" s="614"/>
      <c r="F43" s="615"/>
      <c r="G43" s="3515"/>
    </row>
    <row r="44" spans="1:7" ht="13.5" customHeight="1">
      <c r="A44" s="1807" t="s">
        <v>1930</v>
      </c>
      <c r="B44" s="591" t="s">
        <v>2523</v>
      </c>
      <c r="C44" s="614">
        <f ca="1">ROUND(IF('数据-取费表'!B22&lt;=1,C40*F22*'数据-取费表'!B20/2,C40*(POWER((1+F22),'数据-取费表'!B20/2)-1)),4)</f>
        <v>0</v>
      </c>
      <c r="D44" s="614"/>
      <c r="E44" s="614"/>
      <c r="F44" s="615"/>
      <c r="G44" s="3516"/>
    </row>
    <row r="45" spans="1:7" s="590" customFormat="1" ht="13.5" customHeight="1">
      <c r="A45" s="1804" t="s">
        <v>1923</v>
      </c>
      <c r="B45" s="620" t="s">
        <v>851</v>
      </c>
      <c r="C45" s="621" t="e">
        <f ca="1">C46</f>
        <v>#DIV/0!</v>
      </c>
      <c r="D45" s="611" t="e">
        <f ca="1">C47</f>
        <v>#DIV/0!</v>
      </c>
      <c r="E45" s="612" t="s">
        <v>868</v>
      </c>
      <c r="F45" s="622"/>
      <c r="G45" s="623" t="s">
        <v>2537</v>
      </c>
    </row>
    <row r="46" spans="1:7" s="590" customFormat="1" ht="13.5" customHeight="1">
      <c r="A46" s="1807" t="s">
        <v>1928</v>
      </c>
      <c r="B46" s="624" t="s">
        <v>2530</v>
      </c>
      <c r="C46" s="625" t="e">
        <f ca="1">ROUND((C33+C39)*F27,0)</f>
        <v>#DIV/0!</v>
      </c>
      <c r="D46" s="639"/>
      <c r="E46" s="612"/>
      <c r="F46" s="622"/>
      <c r="G46" s="623"/>
    </row>
    <row r="47" spans="1:7" s="590" customFormat="1" ht="13.5" customHeight="1">
      <c r="A47" s="1807" t="s">
        <v>1929</v>
      </c>
      <c r="B47" s="624" t="s">
        <v>2532</v>
      </c>
      <c r="C47" s="614" t="e">
        <f ca="1">ROUND(C40*F27,4)</f>
        <v>#DIV/0!</v>
      </c>
      <c r="D47" s="639"/>
      <c r="E47" s="612"/>
      <c r="F47" s="622"/>
      <c r="G47" s="623"/>
    </row>
    <row r="48" spans="1:7" s="590" customFormat="1" ht="13.5" customHeight="1">
      <c r="A48" s="1804" t="s">
        <v>1924</v>
      </c>
      <c r="B48" s="586" t="s">
        <v>861</v>
      </c>
      <c r="C48" s="638">
        <f>ROUND(F30/(1+'数据-取费表'!C42),4)</f>
        <v>0.05</v>
      </c>
      <c r="D48" s="612" t="s">
        <v>2957</v>
      </c>
      <c r="E48" s="608"/>
      <c r="F48" s="613"/>
      <c r="G48" s="2622" t="s">
        <v>2958</v>
      </c>
    </row>
    <row r="49" spans="1:7" ht="16.5" customHeight="1">
      <c r="A49" s="1804" t="s">
        <v>1925</v>
      </c>
      <c r="B49" s="586" t="s">
        <v>2640</v>
      </c>
      <c r="C49" s="608" t="e">
        <f ca="1">ROUND((C33+C39+C41+C45)/(1-C40-D41-D45-C48),0)</f>
        <v>#DIV/0!</v>
      </c>
      <c r="D49" s="608"/>
      <c r="E49" s="608"/>
      <c r="F49" s="640"/>
      <c r="G49" s="610" t="s">
        <v>2538</v>
      </c>
    </row>
    <row r="50" spans="1:7" s="634" customFormat="1">
      <c r="A50" s="1804" t="s">
        <v>1926</v>
      </c>
      <c r="B50" s="586" t="s">
        <v>863</v>
      </c>
      <c r="C50" s="608"/>
      <c r="D50" s="608"/>
      <c r="E50" s="608"/>
      <c r="F50" s="640" t="e">
        <f>IF('数据-取费表'!B24=0,'数据-取费表'!N16,1)</f>
        <v>#DIV/0!</v>
      </c>
      <c r="G50" s="623"/>
    </row>
    <row r="51" spans="1:7" ht="16.5" customHeight="1">
      <c r="A51" s="1804" t="s">
        <v>1927</v>
      </c>
      <c r="B51" s="586" t="s">
        <v>2641</v>
      </c>
      <c r="C51" s="608" t="e">
        <f ca="1">ROUND(C49*F50,0)</f>
        <v>#DIV/0!</v>
      </c>
      <c r="D51" s="608"/>
      <c r="E51" s="608"/>
      <c r="F51" s="640"/>
      <c r="G51" s="610" t="s">
        <v>355</v>
      </c>
    </row>
    <row r="52" spans="1:7" s="584" customFormat="1" ht="16.5" thickBot="1">
      <c r="A52" s="641" t="s">
        <v>356</v>
      </c>
      <c r="B52" s="642"/>
      <c r="C52" s="643" t="e">
        <f ca="1">C31+C51</f>
        <v>#DIV/0!</v>
      </c>
      <c r="D52" s="642"/>
      <c r="E52" s="642"/>
      <c r="F52" s="642"/>
      <c r="G52" s="644"/>
    </row>
    <row r="55" spans="1:7" ht="15">
      <c r="B55" s="646" t="s">
        <v>357</v>
      </c>
      <c r="C55" s="647"/>
    </row>
    <row r="56" spans="1:7">
      <c r="B56" s="2877" t="s">
        <v>2713</v>
      </c>
      <c r="C56" s="651" t="e">
        <f ca="1">1-C57</f>
        <v>#DIV/0!</v>
      </c>
    </row>
    <row r="57" spans="1:7">
      <c r="B57" s="2877" t="s">
        <v>2712</v>
      </c>
      <c r="C57" s="650" t="e">
        <f ca="1">ROUND(C51/C52,3)</f>
        <v>#DIV/0!</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6"/>
      <c r="C1" s="3057"/>
      <c r="D1" s="3055"/>
      <c r="E1" s="652"/>
      <c r="F1" s="652"/>
      <c r="G1" s="3056"/>
      <c r="H1" s="652"/>
      <c r="I1" s="652"/>
      <c r="J1" s="652"/>
      <c r="K1" s="652">
        <f>MATCH(C1,'数据-取费表'!A6:A16,0)+5</f>
        <v>6</v>
      </c>
    </row>
    <row r="2" spans="1:33" ht="18" customHeight="1">
      <c r="A2" s="577" t="s">
        <v>823</v>
      </c>
      <c r="B2" s="580" t="e">
        <f ca="1">C32</f>
        <v>#DIV/0!</v>
      </c>
      <c r="C2" s="88" t="s">
        <v>1106</v>
      </c>
      <c r="D2" s="652"/>
      <c r="E2" s="652"/>
      <c r="F2" s="652"/>
      <c r="G2" s="652"/>
      <c r="H2" s="652"/>
      <c r="I2" s="652"/>
      <c r="J2" s="652"/>
      <c r="K2" s="652"/>
    </row>
    <row r="3" spans="1:33" ht="18" customHeight="1" thickBot="1">
      <c r="A3" s="579" t="s">
        <v>824</v>
      </c>
      <c r="B3" s="580" t="e">
        <f ca="1">ROUND(B2*10000/IF(C1="",'数据-汇总表'!E3,INDIRECT("'数据-取费表'!K"&amp;$K$1)),0)</f>
        <v>#DIV/0!</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2963</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2964</v>
      </c>
      <c r="B12" s="1829" t="s">
        <v>887</v>
      </c>
      <c r="C12" s="313">
        <f ca="1">ROUND(C11*F12,0)</f>
        <v>0</v>
      </c>
      <c r="D12" s="1830"/>
      <c r="E12" s="715"/>
      <c r="F12" s="1833">
        <f>'数据-取费表'!B33</f>
        <v>0</v>
      </c>
      <c r="G12" s="295" t="s">
        <v>888</v>
      </c>
      <c r="H12" s="1825"/>
      <c r="I12" s="1825"/>
      <c r="J12" s="1825"/>
      <c r="K12" s="1826"/>
    </row>
    <row r="13" spans="1:33" s="1832" customFormat="1" ht="13.5" customHeight="1">
      <c r="A13" s="1828" t="s">
        <v>2965</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2966</v>
      </c>
      <c r="B14" s="1829" t="s">
        <v>891</v>
      </c>
      <c r="C14" s="313">
        <f ca="1">ROUND(D14*E14*F11/10000,0)</f>
        <v>0</v>
      </c>
      <c r="D14" s="1911">
        <f ca="1">IF(C1="",'数据-汇总表'!E3,INDIRECT("'数据-取费表'!K"&amp;$K$1)+INDIRECT("'数据-取费表'!S"&amp;$K$1))</f>
        <v>0</v>
      </c>
      <c r="E14" s="313">
        <f>'数据-取费表'!B35</f>
        <v>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2967</v>
      </c>
      <c r="B15" s="1829" t="s">
        <v>898</v>
      </c>
      <c r="C15" s="1840">
        <f ca="1">ROUND(C11*F15,0)</f>
        <v>0</v>
      </c>
      <c r="D15" s="1835"/>
      <c r="E15" s="1840"/>
      <c r="F15" s="1841">
        <f>'数据-取费表'!B36</f>
        <v>0</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2968</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0</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2969</v>
      </c>
      <c r="B18" s="1829" t="s">
        <v>895</v>
      </c>
      <c r="C18" s="313">
        <f ca="1">C19+C20-IF(C1="",'数据-取费表'!B29,IF(G18="已全部缴纳",C19+C20,H18))</f>
        <v>0</v>
      </c>
      <c r="D18" s="1911"/>
      <c r="E18" s="313"/>
      <c r="F18" s="1833"/>
      <c r="G18" s="3052"/>
      <c r="H18" s="3050"/>
      <c r="I18" s="3051" t="s">
        <v>2813</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1943</v>
      </c>
      <c r="B20" s="1829" t="s">
        <v>897</v>
      </c>
      <c r="C20" s="313">
        <f ca="1">ROUND(D20*E20/10000,0)</f>
        <v>0</v>
      </c>
      <c r="D20" s="1911">
        <f ca="1">IF(C1="",'数据-汇总表'!E6,IF(INDIRECT("'数据-取费表'!c"&amp;$K$1)="住宅",INDIRECT("'数据-取费表'!s"&amp;$K$1),INDIRECT("'数据-取费表'!k"&amp;$K$1)+INDIRECT("'数据-取费表'!s"&amp;$K$1)))</f>
        <v>0</v>
      </c>
      <c r="E20" s="313">
        <f>'数据-取费表'!B28</f>
        <v>0</v>
      </c>
      <c r="F20" s="1833"/>
      <c r="G20" s="303"/>
      <c r="H20" s="1838"/>
      <c r="I20" s="1838"/>
      <c r="J20" s="1838"/>
      <c r="K20" s="1839"/>
    </row>
    <row r="21" spans="1:33" s="1832" customFormat="1" ht="13.5" customHeight="1">
      <c r="A21" s="1817" t="s">
        <v>1939</v>
      </c>
      <c r="B21" s="1842" t="s">
        <v>900</v>
      </c>
      <c r="C21" s="1843">
        <f ca="1">C16+C17+C18</f>
        <v>0</v>
      </c>
      <c r="D21" s="1844"/>
      <c r="E21" s="657"/>
      <c r="F21" s="657"/>
      <c r="G21" s="471" t="s">
        <v>2539</v>
      </c>
      <c r="H21" s="1836"/>
      <c r="I21" s="1836"/>
      <c r="J21" s="1836"/>
      <c r="K21" s="1837"/>
    </row>
    <row r="22" spans="1:33" s="1832" customFormat="1" ht="13.5" customHeight="1">
      <c r="A22" s="1822" t="s">
        <v>1920</v>
      </c>
      <c r="B22" s="1842" t="s">
        <v>901</v>
      </c>
      <c r="C22" s="1843">
        <f ca="1">ROUND(C21*F22,0)</f>
        <v>0</v>
      </c>
      <c r="D22" s="657"/>
      <c r="E22" s="657"/>
      <c r="F22" s="1845">
        <f>'数据-取费表'!B37</f>
        <v>0</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v>
      </c>
      <c r="G23" s="295" t="s">
        <v>904</v>
      </c>
      <c r="H23" s="1825"/>
      <c r="I23" s="1825"/>
      <c r="J23" s="1825"/>
      <c r="K23" s="1826"/>
    </row>
    <row r="24" spans="1:33" s="1832" customFormat="1" ht="13.5" customHeight="1">
      <c r="A24" s="1822" t="s">
        <v>1922</v>
      </c>
      <c r="B24" s="1842" t="s">
        <v>905</v>
      </c>
      <c r="C24" s="656">
        <f>ROUND(F24/(1+'数据-取费表'!C42),4)</f>
        <v>0</v>
      </c>
      <c r="D24" s="657" t="s">
        <v>50</v>
      </c>
      <c r="E24" s="657"/>
      <c r="F24" s="1845">
        <f>'数据-取费表'!B48+'数据-取费表'!B49</f>
        <v>0</v>
      </c>
      <c r="G24" s="2024" t="s">
        <v>2961</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0</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1941</v>
      </c>
      <c r="B27" s="1849" t="s">
        <v>2629</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1924</v>
      </c>
      <c r="B28" s="3243" t="s">
        <v>2970</v>
      </c>
      <c r="C28" s="663" t="e">
        <f ca="1">C30</f>
        <v>#DIV/0!</v>
      </c>
      <c r="D28" s="656" t="e">
        <f ca="1">C29</f>
        <v>#DIV/0!</v>
      </c>
      <c r="E28" s="658" t="s">
        <v>50</v>
      </c>
      <c r="F28" s="664" t="e">
        <f ca="1">IF(C1="",'数据-取费表'!Q16,INDIRECT("'数据-取费表'!q"&amp;$K$1))</f>
        <v>#DIV/0!</v>
      </c>
      <c r="G28" s="1846"/>
      <c r="H28" s="1847"/>
      <c r="I28" s="1847"/>
      <c r="J28" s="1847"/>
      <c r="K28" s="1848"/>
    </row>
    <row r="29" spans="1:33" s="667" customFormat="1" ht="13.5" customHeight="1">
      <c r="A29" s="1828" t="s">
        <v>1940</v>
      </c>
      <c r="B29" s="1851" t="s">
        <v>908</v>
      </c>
      <c r="C29" s="660" t="e">
        <f ca="1">ROUND((1+C24)*F28*'数据-取费表'!B24/'数据-取费表'!B20,4)</f>
        <v>#DIV/0!</v>
      </c>
      <c r="D29" s="660"/>
      <c r="E29" s="661"/>
      <c r="F29" s="666"/>
      <c r="G29" s="471" t="s">
        <v>909</v>
      </c>
      <c r="H29" s="1836"/>
      <c r="I29" s="1836"/>
      <c r="J29" s="1836"/>
      <c r="K29" s="1837"/>
    </row>
    <row r="30" spans="1:33" s="667" customFormat="1" ht="13.5" customHeight="1">
      <c r="A30" s="1828" t="s">
        <v>1941</v>
      </c>
      <c r="B30" s="2711" t="s">
        <v>2630</v>
      </c>
      <c r="C30" s="668" t="e">
        <f ca="1">ROUND((C21+C22+C23)*F28,0)</f>
        <v>#DIV/0!</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0.05</v>
      </c>
      <c r="G31" s="1869" t="s">
        <v>911</v>
      </c>
      <c r="H31" s="1870"/>
      <c r="I31" s="1870"/>
      <c r="J31" s="1870"/>
      <c r="K31" s="1871"/>
    </row>
    <row r="32" spans="1:33" s="1827" customFormat="1" ht="13.5" customHeight="1" thickBot="1">
      <c r="A32" s="1858" t="s">
        <v>2962</v>
      </c>
      <c r="B32" s="1859"/>
      <c r="C32" s="1860" t="e">
        <f ca="1">ROUND((C4-C21-C22-C23-C25-C28-C31)/(1+C24+D25+D28),0)</f>
        <v>#DIV/0!</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2457</v>
      </c>
      <c r="F1" s="2588">
        <f ca="1">J53</f>
        <v>0</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t="e">
        <f ca="1">C40+J29+L46</f>
        <v>#DIV/0!</v>
      </c>
      <c r="C2" s="1300" t="s">
        <v>1107</v>
      </c>
      <c r="D2" s="1276"/>
      <c r="E2" s="2577"/>
      <c r="F2" s="1277"/>
      <c r="G2" s="2289"/>
      <c r="H2" s="1275"/>
      <c r="I2" s="1275"/>
      <c r="J2" s="1275"/>
      <c r="K2" s="1299"/>
      <c r="L2" s="1275"/>
      <c r="M2" s="1275"/>
    </row>
    <row r="3" spans="1:37" ht="18" customHeight="1" thickBot="1">
      <c r="A3" s="675" t="s">
        <v>824</v>
      </c>
      <c r="B3" s="1408">
        <f ca="1">IF(ISERROR(B2*10000/F43),0,ROUND(B2*10000/F43,0))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2547</v>
      </c>
      <c r="C5" s="2628">
        <f ca="1">C6+C10+C12</f>
        <v>0</v>
      </c>
      <c r="D5" s="2638" t="s">
        <v>2549</v>
      </c>
      <c r="E5" s="2629"/>
      <c r="F5" s="2630"/>
      <c r="G5" s="2290"/>
      <c r="H5" s="681">
        <v>1</v>
      </c>
      <c r="I5" s="682" t="s">
        <v>2547</v>
      </c>
      <c r="J5" s="2628">
        <f ca="1">J6+J10+J12</f>
        <v>0</v>
      </c>
      <c r="K5" s="2631" t="s">
        <v>2549</v>
      </c>
      <c r="L5" s="2629"/>
      <c r="M5" s="2630"/>
    </row>
    <row r="6" spans="1:37" ht="18" customHeight="1">
      <c r="A6" s="2624" t="s">
        <v>2554</v>
      </c>
      <c r="B6" s="3520" t="s">
        <v>2548</v>
      </c>
      <c r="C6" s="2633">
        <f ca="1">ROUND(F6*F8*F7*(1-F9)/10000,0)</f>
        <v>0</v>
      </c>
      <c r="D6" s="2627" t="s">
        <v>2550</v>
      </c>
      <c r="E6" s="684" t="s">
        <v>920</v>
      </c>
      <c r="F6" s="685">
        <f ca="1">INDIRECT("'数据-取费表'!u"&amp;$G$1)</f>
        <v>0</v>
      </c>
      <c r="G6" s="2290"/>
      <c r="H6" s="2624" t="s">
        <v>2557</v>
      </c>
      <c r="I6" s="3520" t="s">
        <v>2548</v>
      </c>
      <c r="J6" s="683">
        <f ca="1">ROUND(M6*M8*M7*(1-M9)/10000,0)</f>
        <v>0</v>
      </c>
      <c r="K6" s="2627" t="s">
        <v>2550</v>
      </c>
      <c r="L6" s="684" t="s">
        <v>920</v>
      </c>
      <c r="M6" s="685">
        <f ca="1">INDIRECT("'数据-取费表'!z"&amp;$G$1)</f>
        <v>0</v>
      </c>
    </row>
    <row r="7" spans="1:37" ht="18" customHeight="1">
      <c r="A7" s="2632"/>
      <c r="B7" s="3521"/>
      <c r="C7" s="2634"/>
      <c r="D7" s="2063"/>
      <c r="E7" s="2635" t="s">
        <v>921</v>
      </c>
      <c r="F7" s="685">
        <f ca="1">IF(INDIRECT("'数据-取费表'!ah"&amp;$G$1)="",INDIRECT("'数据-取费表'!k"&amp;$G$1),INDIRECT("'数据-取费表'!ah"&amp;$G$1))</f>
        <v>0</v>
      </c>
      <c r="G7" s="2290"/>
      <c r="H7" s="686"/>
      <c r="I7" s="3521"/>
      <c r="J7" s="688"/>
      <c r="K7" s="689"/>
      <c r="L7" s="684" t="s">
        <v>921</v>
      </c>
      <c r="M7" s="685">
        <f ca="1">F7</f>
        <v>0</v>
      </c>
    </row>
    <row r="8" spans="1:37" ht="18" customHeight="1">
      <c r="A8" s="686"/>
      <c r="B8" s="3521"/>
      <c r="C8" s="688"/>
      <c r="D8" s="689"/>
      <c r="E8" s="684" t="s">
        <v>922</v>
      </c>
      <c r="F8" s="685">
        <f ca="1">INDIRECT("'数据-取费表'!ai"&amp;$G$1)</f>
        <v>0</v>
      </c>
      <c r="G8" s="2290"/>
      <c r="H8" s="686"/>
      <c r="I8" s="3521"/>
      <c r="J8" s="688"/>
      <c r="K8" s="689"/>
      <c r="L8" s="684" t="s">
        <v>922</v>
      </c>
      <c r="M8" s="685">
        <f ca="1">INDIRECT("'数据-取费表'!ai"&amp;$G$1)</f>
        <v>0</v>
      </c>
    </row>
    <row r="9" spans="1:37" ht="18" customHeight="1">
      <c r="A9" s="686"/>
      <c r="B9" s="3522"/>
      <c r="C9" s="688"/>
      <c r="D9" s="689"/>
      <c r="E9" s="684" t="s">
        <v>923</v>
      </c>
      <c r="F9" s="694">
        <f ca="1">INDIRECT("'数据-取费表'!w"&amp;$G$1)</f>
        <v>0</v>
      </c>
      <c r="G9" s="2290"/>
      <c r="H9" s="686"/>
      <c r="I9" s="3522"/>
      <c r="J9" s="688"/>
      <c r="K9" s="689"/>
      <c r="L9" s="695" t="s">
        <v>923</v>
      </c>
      <c r="M9" s="696">
        <f ca="1">INDIRECT("'数据-取费表'!ab"&amp;$G$1)</f>
        <v>0</v>
      </c>
    </row>
    <row r="10" spans="1:37" ht="18" customHeight="1">
      <c r="A10" s="2624" t="s">
        <v>2555</v>
      </c>
      <c r="B10" s="2625" t="s">
        <v>2543</v>
      </c>
      <c r="C10" s="698">
        <f ca="1">ROUND(IF(F10="押一",F6*F8*F7/12*F11,IF(F10="押二",F6*F8*F7/12*2*F11,IF(F10="押三",F6*F8*F7/12*3*F11,C11*F11)))/10000,0)</f>
        <v>0</v>
      </c>
      <c r="D10" s="2636" t="s">
        <v>2551</v>
      </c>
      <c r="E10" s="2099" t="s">
        <v>2545</v>
      </c>
      <c r="F10" s="2833"/>
      <c r="G10" s="2290"/>
      <c r="H10" s="2624" t="s">
        <v>2558</v>
      </c>
      <c r="I10" s="2625" t="s">
        <v>2543</v>
      </c>
      <c r="J10" s="683">
        <f ca="1">ROUND(IF(M10="押一",M6*M8*M7/12*M11,IF(M10="押二",M6*M8*M7/12*2*M11,IF(M10="押三",M6*M8*M7/12*3*M11,J11*M11)))/10000,0)</f>
        <v>0</v>
      </c>
      <c r="K10" s="2636" t="s">
        <v>2551</v>
      </c>
      <c r="L10" s="2099" t="s">
        <v>2545</v>
      </c>
      <c r="M10" s="2731" t="s">
        <v>2637</v>
      </c>
    </row>
    <row r="11" spans="1:37" ht="18" customHeight="1">
      <c r="A11" s="690"/>
      <c r="B11" s="2626" t="s">
        <v>2710</v>
      </c>
      <c r="C11" s="2417"/>
      <c r="D11" s="2872"/>
      <c r="E11" s="2099" t="s">
        <v>2546</v>
      </c>
      <c r="F11" s="696">
        <f ca="1">'数据-取费表'!B39</f>
        <v>0</v>
      </c>
      <c r="G11" s="2290"/>
      <c r="H11" s="2637"/>
      <c r="I11" s="2626" t="s">
        <v>2710</v>
      </c>
      <c r="J11" s="2417"/>
      <c r="K11" s="1281"/>
      <c r="L11" s="2099" t="s">
        <v>2546</v>
      </c>
      <c r="M11" s="2098">
        <f ca="1">'数据-取费表'!B39</f>
        <v>0</v>
      </c>
    </row>
    <row r="12" spans="1:37" ht="18" customHeight="1" thickBot="1">
      <c r="A12" s="2672" t="s">
        <v>2556</v>
      </c>
      <c r="B12" s="2673" t="s">
        <v>2544</v>
      </c>
      <c r="C12" s="2674"/>
      <c r="D12" s="2675"/>
      <c r="E12" s="2676"/>
      <c r="F12" s="2677"/>
      <c r="G12" s="2290"/>
      <c r="H12" s="2672" t="s">
        <v>2559</v>
      </c>
      <c r="I12" s="2673" t="s">
        <v>2544</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0</v>
      </c>
      <c r="D14" s="2217" t="s">
        <v>927</v>
      </c>
      <c r="E14" s="2216"/>
      <c r="F14" s="703"/>
      <c r="G14" s="2290"/>
      <c r="H14" s="2440" t="s">
        <v>2386</v>
      </c>
      <c r="I14" s="684" t="s">
        <v>928</v>
      </c>
      <c r="J14" s="313">
        <f ca="1">C29</f>
        <v>0</v>
      </c>
      <c r="K14" s="303"/>
      <c r="L14" s="700"/>
      <c r="M14" s="701"/>
    </row>
    <row r="15" spans="1:37" s="706" customFormat="1" ht="18" customHeight="1" thickBot="1">
      <c r="A15" s="2440" t="s">
        <v>2620</v>
      </c>
      <c r="B15" s="684" t="s">
        <v>361</v>
      </c>
      <c r="C15" s="313">
        <f ca="1">ROUND(C14*F15,0)</f>
        <v>0</v>
      </c>
      <c r="D15" s="704" t="s">
        <v>929</v>
      </c>
      <c r="E15" s="704" t="s">
        <v>930</v>
      </c>
      <c r="F15" s="705">
        <f>'数据-取费表'!B33</f>
        <v>0</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2622</v>
      </c>
      <c r="B17" s="684" t="s">
        <v>363</v>
      </c>
      <c r="C17" s="313">
        <f ca="1">ROUND(F17*(F43+INDIRECT("'数据-取费表'!S"&amp;$G$1))/10000,0)</f>
        <v>0</v>
      </c>
      <c r="D17" s="684" t="s">
        <v>933</v>
      </c>
      <c r="E17" s="684" t="s">
        <v>934</v>
      </c>
      <c r="F17" s="315">
        <f>'数据-取费表'!B35</f>
        <v>0</v>
      </c>
      <c r="G17" s="2291"/>
      <c r="H17" s="2440" t="s">
        <v>2386</v>
      </c>
      <c r="I17" s="684" t="s">
        <v>364</v>
      </c>
      <c r="J17" s="313">
        <f ca="1">ROUND(IF(项目基本情况!B11="自然人",J5*M17,J18+J19+J20),1)</f>
        <v>0</v>
      </c>
      <c r="K17" s="2217" t="s">
        <v>935</v>
      </c>
      <c r="L17" s="2215"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0</v>
      </c>
      <c r="D18" s="684" t="s">
        <v>929</v>
      </c>
      <c r="E18" s="684" t="s">
        <v>930</v>
      </c>
      <c r="F18" s="707">
        <f>'数据-取费表'!B36</f>
        <v>0</v>
      </c>
      <c r="G18" s="2291"/>
      <c r="H18" s="2440" t="s">
        <v>2383</v>
      </c>
      <c r="I18" s="684" t="s">
        <v>937</v>
      </c>
      <c r="J18" s="313">
        <f ca="1">ROUND(J5*M18/(1+'数据-取费表'!C42),2)</f>
        <v>0</v>
      </c>
      <c r="K18" s="2215" t="s">
        <v>938</v>
      </c>
      <c r="L18" s="684" t="s">
        <v>930</v>
      </c>
      <c r="M18" s="707">
        <f>'数据-取费表'!B41</f>
        <v>0.05</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2554</v>
      </c>
      <c r="B19" s="684" t="s">
        <v>367</v>
      </c>
      <c r="C19" s="313">
        <f ca="1">SUM(C14:C18)</f>
        <v>0</v>
      </c>
      <c r="D19" s="471" t="s">
        <v>939</v>
      </c>
      <c r="E19" s="2225"/>
      <c r="F19" s="315"/>
      <c r="G19" s="2290"/>
      <c r="H19" s="2440" t="s">
        <v>2620</v>
      </c>
      <c r="I19" s="684" t="s">
        <v>940</v>
      </c>
      <c r="J19" s="313">
        <f ca="1">IF(K19="按租金收入计税",ROUND(J5*M19,2),ROUND(C29*M19*0.7,2))</f>
        <v>0</v>
      </c>
      <c r="K19" s="1301" t="s">
        <v>2427</v>
      </c>
      <c r="L19" s="684" t="s">
        <v>930</v>
      </c>
      <c r="M19" s="707">
        <f>IF(K19="按租金收入计税",'数据-取费表'!B51,'数据-取费表'!B50)</f>
        <v>1.2E-2</v>
      </c>
    </row>
    <row r="20" spans="1:37" s="706" customFormat="1" ht="18" customHeight="1">
      <c r="A20" s="2440" t="s">
        <v>2624</v>
      </c>
      <c r="B20" s="684" t="s">
        <v>368</v>
      </c>
      <c r="C20" s="313">
        <f ca="1">ROUND(C19*F20,0)</f>
        <v>0</v>
      </c>
      <c r="D20" s="709" t="s">
        <v>941</v>
      </c>
      <c r="E20" s="684" t="s">
        <v>930</v>
      </c>
      <c r="F20" s="707">
        <f>'数据-取费表'!B37</f>
        <v>0</v>
      </c>
      <c r="G20" s="2291"/>
      <c r="H20" s="2440" t="s">
        <v>2621</v>
      </c>
      <c r="I20" s="496" t="s">
        <v>942</v>
      </c>
      <c r="J20" s="314">
        <f ca="1">ROUND(M20*M21/10000,2)</f>
        <v>0</v>
      </c>
      <c r="K20" s="710" t="s">
        <v>943</v>
      </c>
      <c r="L20" s="684" t="s">
        <v>944</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71</v>
      </c>
      <c r="D21" s="709" t="s">
        <v>946</v>
      </c>
      <c r="E21" s="684" t="s">
        <v>947</v>
      </c>
      <c r="F21" s="707">
        <f>'数据-取费表'!B38</f>
        <v>0</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225"/>
      <c r="F22" s="315"/>
      <c r="G22" s="2290"/>
      <c r="H22" s="2440" t="s">
        <v>2393</v>
      </c>
      <c r="I22" s="684" t="s">
        <v>950</v>
      </c>
      <c r="J22" s="313">
        <f ca="1">ROUND(J14*M22,1)</f>
        <v>0</v>
      </c>
      <c r="K22" s="2215" t="s">
        <v>951</v>
      </c>
      <c r="L22" s="684" t="s">
        <v>930</v>
      </c>
      <c r="M22" s="714">
        <f ca="1">INDIRECT("'数据-取费表'!Ak"&amp;$G$1)</f>
        <v>0</v>
      </c>
    </row>
    <row r="23" spans="1:37" s="706" customFormat="1" ht="18" customHeight="1">
      <c r="A23" s="2440" t="s">
        <v>2383</v>
      </c>
      <c r="B23" s="684" t="s">
        <v>2540</v>
      </c>
      <c r="C23" s="313">
        <f ca="1">IF('数据-取费表'!B22&lt;=1,ROUND(C19*F24*F23/2,0)+ROUND(C20*F24*F23/2,0),ROUND(C19*(POWER((1+F24),F23/2)-1),0)+ROUND(C20*(POWER((1+F24),F23/2)-1),0))</f>
        <v>0</v>
      </c>
      <c r="D23" s="2707" t="str">
        <f>IF(F23&lt;=1,"(建造成本+管理费用)×利率×(建设周期÷2)","(建造成本+管理费用)×((1+利率)^(建设周期÷2)-1)")</f>
        <v>(建造成本+管理费用)×利率×(建设周期÷2)</v>
      </c>
      <c r="E23" s="684" t="s">
        <v>952</v>
      </c>
      <c r="F23" s="711">
        <f>'数据-取费表'!B20</f>
        <v>0</v>
      </c>
      <c r="G23" s="2291"/>
      <c r="H23" s="2440" t="s">
        <v>2625</v>
      </c>
      <c r="I23" s="684" t="s">
        <v>369</v>
      </c>
      <c r="J23" s="313">
        <f ca="1">ROUND(J13*M23,1)</f>
        <v>0</v>
      </c>
      <c r="K23" s="2215" t="s">
        <v>953</v>
      </c>
      <c r="L23" s="684" t="s">
        <v>930</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0</v>
      </c>
      <c r="D24" s="2707" t="str">
        <f>IF(F23&lt;=1,"销售费用×利率×(建设周期÷2)","销售费用×((1+利率)^(建设周期÷2)-1)")</f>
        <v>销售费用×利率×(建设周期÷2)</v>
      </c>
      <c r="E24" s="684" t="s">
        <v>955</v>
      </c>
      <c r="F24" s="717">
        <f ca="1">'数据-取费表'!B40</f>
        <v>0</v>
      </c>
      <c r="G24" s="2291"/>
      <c r="H24" s="2680" t="s">
        <v>2626</v>
      </c>
      <c r="I24" s="2681" t="s">
        <v>368</v>
      </c>
      <c r="J24" s="2682">
        <f ca="1">ROUND(J5*M24,1)</f>
        <v>0</v>
      </c>
      <c r="K24" s="2683" t="s">
        <v>956</v>
      </c>
      <c r="L24" s="2681" t="s">
        <v>930</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0</v>
      </c>
      <c r="K25" s="2686" t="s">
        <v>959</v>
      </c>
      <c r="L25" s="2687"/>
      <c r="M25" s="2688"/>
    </row>
    <row r="26" spans="1:37" ht="18" customHeight="1">
      <c r="A26" s="2440" t="s">
        <v>2383</v>
      </c>
      <c r="B26" s="684" t="s">
        <v>2541</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963</v>
      </c>
      <c r="L26" s="684" t="s">
        <v>969</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0.05</v>
      </c>
      <c r="D28" s="709" t="s">
        <v>971</v>
      </c>
      <c r="E28" s="684" t="s">
        <v>930</v>
      </c>
      <c r="F28" s="707">
        <f>'数据-取费表'!B41</f>
        <v>0.05</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2554</v>
      </c>
      <c r="B31" s="684" t="s">
        <v>364</v>
      </c>
      <c r="C31" s="313">
        <f ca="1">ROUND(IF(项目基本情况!B11="自然人",C5*F31,C32+C33+C34),1)</f>
        <v>0</v>
      </c>
      <c r="D31" s="2217" t="s">
        <v>935</v>
      </c>
      <c r="E31" s="2215" t="s">
        <v>974</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2619</v>
      </c>
      <c r="B32" s="684" t="s">
        <v>937</v>
      </c>
      <c r="C32" s="313">
        <f ca="1">IF(项目基本情况!B11="自然人","——",ROUND(C5*F32/(1+'数据-取费表'!C42),2))</f>
        <v>0</v>
      </c>
      <c r="D32" s="2215" t="s">
        <v>938</v>
      </c>
      <c r="E32" s="684" t="s">
        <v>930</v>
      </c>
      <c r="F32" s="717">
        <f>'数据-取费表'!B41</f>
        <v>0.05</v>
      </c>
      <c r="G32" s="2290"/>
      <c r="H32" s="1284"/>
      <c r="I32" s="1285"/>
      <c r="J32" s="1286"/>
      <c r="K32" s="1287"/>
      <c r="L32" s="1288"/>
      <c r="M32" s="1289"/>
    </row>
    <row r="33" spans="1:18" ht="18" customHeight="1">
      <c r="A33" s="2440" t="s">
        <v>2620</v>
      </c>
      <c r="B33" s="684" t="s">
        <v>940</v>
      </c>
      <c r="C33" s="313">
        <f ca="1">IF(项目基本情况!B11="自然人","——",IF(D33="按租金收入计税",ROUND(C5*F33,2),IF(D33="按房产原值计税",ROUND(C29*F33*0.7,2),INDIRECT("'数据-取费表'!Aj"&amp;$G$1))))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975</v>
      </c>
      <c r="C34" s="314">
        <f ca="1">IF(项目基本情况!B11="自然人","——",ROUND(F34*F35/10000,2))</f>
        <v>0</v>
      </c>
      <c r="D34" s="710" t="s">
        <v>976</v>
      </c>
      <c r="E34" s="684" t="s">
        <v>977</v>
      </c>
      <c r="F34" s="711">
        <f>'数据-取费表'!B52</f>
        <v>0</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ROUND(C29*F36,1)</f>
        <v>0</v>
      </c>
      <c r="D36" s="2215" t="s">
        <v>980</v>
      </c>
      <c r="E36" s="684" t="s">
        <v>981</v>
      </c>
      <c r="F36" s="714">
        <f ca="1">INDIRECT("'数据-取费表'!Ak"&amp;$G$1)</f>
        <v>0</v>
      </c>
      <c r="G36" s="2290"/>
      <c r="H36" s="1290"/>
      <c r="I36" s="2886"/>
      <c r="J36" s="2887"/>
      <c r="K36" s="1294"/>
      <c r="L36" s="1290"/>
      <c r="M36" s="1290"/>
    </row>
    <row r="37" spans="1:18" ht="18" customHeight="1">
      <c r="A37" s="2440" t="s">
        <v>2625</v>
      </c>
      <c r="B37" s="684" t="s">
        <v>369</v>
      </c>
      <c r="C37" s="313">
        <f ca="1">ROUND(C13*F37,1)</f>
        <v>0</v>
      </c>
      <c r="D37" s="2215" t="s">
        <v>370</v>
      </c>
      <c r="E37" s="684" t="s">
        <v>371</v>
      </c>
      <c r="F37" s="716">
        <f ca="1">INDIRECT("'数据-取费表'!Al"&amp;$G$1)</f>
        <v>0</v>
      </c>
      <c r="G37" s="2290"/>
      <c r="H37" s="1290"/>
      <c r="I37" s="2886"/>
      <c r="J37" s="2887"/>
      <c r="K37" s="1294"/>
      <c r="L37" s="1290"/>
      <c r="M37" s="1290"/>
    </row>
    <row r="38" spans="1:18" ht="18" customHeight="1" thickBot="1">
      <c r="A38" s="2680" t="s">
        <v>2626</v>
      </c>
      <c r="B38" s="2681" t="s">
        <v>368</v>
      </c>
      <c r="C38" s="2682">
        <f ca="1">ROUND(C5*F38,1)</f>
        <v>0</v>
      </c>
      <c r="D38" s="2683" t="s">
        <v>372</v>
      </c>
      <c r="E38" s="2681" t="s">
        <v>371</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ROUND(C40*10000/F43,0)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t="e">
        <f ca="1">C68-C40</f>
        <v>#DIV/0!</v>
      </c>
      <c r="D46" s="2728" t="str">
        <f>C2</f>
        <v>万元</v>
      </c>
      <c r="E46" s="1433"/>
      <c r="F46" s="1433"/>
      <c r="I46" s="2580" t="s">
        <v>2435</v>
      </c>
      <c r="J46" s="2581"/>
      <c r="K46" s="2582"/>
      <c r="L46" s="2584" t="e">
        <f ca="1">IF(M47="住宅",0,IF(L48&gt;J51,L60,J60))</f>
        <v>#DIV/0!</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7.25" thickBot="1">
      <c r="A48" s="2713" t="s">
        <v>2631</v>
      </c>
      <c r="B48" s="682" t="s">
        <v>2345</v>
      </c>
      <c r="C48" s="2723">
        <f ca="1">C49+C53+C55</f>
        <v>0</v>
      </c>
      <c r="D48" s="2717"/>
      <c r="E48" s="2718"/>
      <c r="F48" s="2420"/>
      <c r="G48" s="1457"/>
      <c r="H48" s="1458"/>
      <c r="I48" s="2546" t="s">
        <v>2429</v>
      </c>
      <c r="J48" s="2557"/>
      <c r="K48" s="2567" t="s">
        <v>2452</v>
      </c>
      <c r="L48" s="2170">
        <f ca="1">INDIRECT("'数据-取费表'!f"&amp;$G$1)</f>
        <v>0</v>
      </c>
      <c r="O48" s="2589" t="s">
        <v>2464</v>
      </c>
      <c r="P48" s="2599" t="s">
        <v>2483</v>
      </c>
      <c r="Q48" s="2590" t="e">
        <f ca="1">J60</f>
        <v>#DIV/0!</v>
      </c>
      <c r="R48" s="2590" t="s">
        <v>2491</v>
      </c>
    </row>
    <row r="49" spans="1:18" s="1455" customFormat="1" ht="15.75" thickBot="1">
      <c r="A49" s="2433" t="s">
        <v>2632</v>
      </c>
      <c r="B49" s="2716" t="s">
        <v>2634</v>
      </c>
      <c r="C49" s="2725">
        <f ca="1">ROUND(F49*F51*F50*(1-F52)/10000,0)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5.75" thickBot="1">
      <c r="A50" s="2434"/>
      <c r="B50" s="2437"/>
      <c r="C50" s="2733"/>
      <c r="D50" s="2407"/>
      <c r="E50" s="2536" t="s">
        <v>2347</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5.75" thickBot="1">
      <c r="A51" s="2435"/>
      <c r="B51" s="2437"/>
      <c r="C51" s="2438"/>
      <c r="D51" s="2407"/>
      <c r="E51" s="2439" t="s">
        <v>2348</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5.75" thickBot="1">
      <c r="A52" s="2435"/>
      <c r="B52" s="2437"/>
      <c r="C52" s="2438"/>
      <c r="D52" s="2407"/>
      <c r="E52" s="2439" t="s">
        <v>2349</v>
      </c>
      <c r="F52" s="2534"/>
      <c r="I52" s="2562" t="s">
        <v>2459</v>
      </c>
      <c r="J52" s="2576"/>
      <c r="K52" s="2562" t="s">
        <v>2444</v>
      </c>
      <c r="L52" s="2576"/>
      <c r="M52" s="2399"/>
      <c r="O52" s="2591" t="s">
        <v>2468</v>
      </c>
      <c r="P52" s="2599" t="s">
        <v>2485</v>
      </c>
      <c r="Q52" s="2590">
        <f ca="1">J53</f>
        <v>0</v>
      </c>
      <c r="R52" s="2590" t="s">
        <v>2486</v>
      </c>
    </row>
    <row r="53" spans="1:18" s="1455" customFormat="1" ht="43.5" thickBot="1">
      <c r="A53" s="2831" t="s">
        <v>2633</v>
      </c>
      <c r="B53" s="433" t="s">
        <v>2543</v>
      </c>
      <c r="C53" s="698">
        <f ca="1">ROUND(IF(F53="押一",F49*F51*F50/12*F11,IF(F53="押二",F49*F51*F50/12*2*F11,IF(F53="押三",F49*F51*F50/12*3*F11,C54*F11)))/10000,0)</f>
        <v>0</v>
      </c>
      <c r="D53" s="2636" t="s">
        <v>2551</v>
      </c>
      <c r="E53" s="2099" t="s">
        <v>2545</v>
      </c>
      <c r="F53" s="2833"/>
      <c r="I53" s="2572" t="s">
        <v>2461</v>
      </c>
      <c r="J53" s="2573">
        <f ca="1">IF(M47="住宅",J51,MIN(J51,L48))</f>
        <v>0</v>
      </c>
      <c r="K53" s="3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9"/>
      <c r="O53" s="2589" t="s">
        <v>2469</v>
      </c>
      <c r="P53" s="2599" t="s">
        <v>2487</v>
      </c>
      <c r="Q53" s="2590" t="e">
        <f ca="1">Q47+Q48</f>
        <v>#DIV/0!</v>
      </c>
      <c r="R53" s="2590" t="s">
        <v>2470</v>
      </c>
    </row>
    <row r="54" spans="1:18" s="1455" customFormat="1" ht="16.5" thickBot="1">
      <c r="A54" s="2832"/>
      <c r="B54" s="2626" t="s">
        <v>2710</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2"/>
      <c r="F55" s="2542"/>
      <c r="I55" s="3698" t="s">
        <v>2437</v>
      </c>
      <c r="J55" s="3697" t="e">
        <f ca="1">ROUND(IF(J47="钢混",J57/J50,1-(1-2%)*(J50-J57)/J50),3)</f>
        <v>#DIV/0!</v>
      </c>
      <c r="K55" s="2553" t="s">
        <v>2438</v>
      </c>
      <c r="L55" s="2575"/>
      <c r="O55" s="2596" t="s">
        <v>2478</v>
      </c>
      <c r="P55" s="2597" t="s">
        <v>2479</v>
      </c>
      <c r="Q55" s="2598" t="s">
        <v>2477</v>
      </c>
      <c r="R55" s="2598" t="s">
        <v>2480</v>
      </c>
    </row>
    <row r="56" spans="1:18" s="1455" customFormat="1" ht="44.25" thickTop="1" thickBot="1">
      <c r="A56" s="2411">
        <v>2</v>
      </c>
      <c r="B56" s="2412" t="s">
        <v>2350</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29.25" thickBot="1">
      <c r="A57" s="2543"/>
      <c r="B57" s="2404" t="s">
        <v>2380</v>
      </c>
      <c r="C57" s="614">
        <f ca="1">C29</f>
        <v>0</v>
      </c>
      <c r="D57" s="2415"/>
      <c r="E57" s="2416"/>
      <c r="F57" s="2544"/>
      <c r="I57" s="2547" t="s">
        <v>2460</v>
      </c>
      <c r="J57" s="2551">
        <f ca="1">IF(OR(M47="住宅",J51&lt;L48,J56="是"),"——",J51-L48)</f>
        <v>0</v>
      </c>
      <c r="K57" s="2546" t="s">
        <v>2915</v>
      </c>
      <c r="L57" s="2170">
        <f ca="1">IF(L48&lt;J51,"——",IF(L55="比较法",L49,IF(L55="基准地价",L50,L51)))</f>
        <v>0</v>
      </c>
      <c r="O57" s="2589" t="s">
        <v>2464</v>
      </c>
      <c r="P57" s="2599" t="s">
        <v>2488</v>
      </c>
      <c r="Q57" s="2590" t="e">
        <f ca="1">L60</f>
        <v>#DIV/0!</v>
      </c>
      <c r="R57" s="2590" t="s">
        <v>2503</v>
      </c>
    </row>
    <row r="58" spans="1:18" s="1455" customFormat="1" ht="29.25" thickBot="1">
      <c r="A58" s="697" t="s">
        <v>2351</v>
      </c>
      <c r="B58" s="2412" t="s">
        <v>2381</v>
      </c>
      <c r="C58" s="698">
        <f ca="1">ROUND(C59+C64+C65+C66,0)</f>
        <v>0</v>
      </c>
      <c r="D58" s="2418" t="s">
        <v>2382</v>
      </c>
      <c r="E58" s="2419"/>
      <c r="F58" s="2420"/>
      <c r="I58" s="2547" t="s">
        <v>2440</v>
      </c>
      <c r="J58" s="3699" t="e">
        <f ca="1">IF(J55&lt;0.4,0.4,J55)</f>
        <v>#DIV/0!</v>
      </c>
      <c r="K58" s="2570" t="s">
        <v>2916</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0</v>
      </c>
      <c r="D59" s="2421" t="s">
        <v>2352</v>
      </c>
      <c r="E59" s="2422" t="s">
        <v>2353</v>
      </c>
      <c r="F59" s="708">
        <f ca="1">IF(项目基本情况!B11="企业","",IF(INDIRECT("'数据-取费表'!c"&amp;$G$1)="住宅",5%,IF(F49*F50*F51/12/(1+'数据-取费表'!C42)&gt;20000,12%,7%)))</f>
        <v>7.0000000000000007E-2</v>
      </c>
      <c r="I59" s="2547" t="s">
        <v>2441</v>
      </c>
      <c r="J59" s="2551" t="e">
        <f ca="1">IF(OR(M47="住宅",J51&lt;L48,J56="是"),"——",ROUND(C29*J58,0))</f>
        <v>#DIV/0!</v>
      </c>
      <c r="K59" s="2570" t="s">
        <v>2917</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0.05</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0</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0</v>
      </c>
      <c r="D62" s="2423" t="s">
        <v>2359</v>
      </c>
      <c r="E62" s="2404" t="s">
        <v>2360</v>
      </c>
      <c r="F62" s="711">
        <f t="shared" si="0"/>
        <v>0</v>
      </c>
      <c r="I62" s="2549" t="s">
        <v>2432</v>
      </c>
      <c r="J62" s="2550" t="s">
        <v>2433</v>
      </c>
      <c r="K62" s="2550" t="s">
        <v>2434</v>
      </c>
      <c r="L62" s="2550" t="s">
        <v>2430</v>
      </c>
      <c r="M62" s="3700" t="s">
        <v>3054</v>
      </c>
      <c r="O62" s="2589" t="s">
        <v>2469</v>
      </c>
      <c r="P62" s="2599" t="s">
        <v>2487</v>
      </c>
      <c r="Q62" s="2590" t="e">
        <f ca="1">Q56+Q57</f>
        <v>#DIV/0!</v>
      </c>
      <c r="R62" s="2590" t="s">
        <v>2470</v>
      </c>
    </row>
    <row r="63" spans="1:18" s="1455" customFormat="1" ht="16.5" thickBot="1">
      <c r="A63" s="712"/>
      <c r="B63" s="2410"/>
      <c r="C63" s="318"/>
      <c r="D63" s="2424"/>
      <c r="E63" s="2404" t="s">
        <v>2361</v>
      </c>
      <c r="F63" s="685">
        <f t="shared" ca="1" si="0"/>
        <v>0</v>
      </c>
      <c r="I63" s="2549" t="s">
        <v>2446</v>
      </c>
      <c r="J63" s="3703">
        <v>70</v>
      </c>
      <c r="K63" s="3703">
        <v>50</v>
      </c>
      <c r="L63" s="3703">
        <v>80</v>
      </c>
      <c r="M63" s="3701">
        <v>0.02</v>
      </c>
      <c r="O63" s="2593" t="s">
        <v>2501</v>
      </c>
      <c r="P63" s="1296"/>
      <c r="Q63" s="1296"/>
      <c r="R63" s="1296"/>
    </row>
    <row r="64" spans="1:18" s="1455" customFormat="1" ht="15.75" thickBot="1">
      <c r="A64" s="2440" t="s">
        <v>2393</v>
      </c>
      <c r="B64" s="2404" t="s">
        <v>2362</v>
      </c>
      <c r="C64" s="313">
        <f ca="1">ROUND(C57*F64,1)</f>
        <v>0</v>
      </c>
      <c r="D64" s="2422" t="s">
        <v>2363</v>
      </c>
      <c r="E64" s="2404" t="s">
        <v>2356</v>
      </c>
      <c r="F64" s="714">
        <f t="shared" ca="1" si="0"/>
        <v>0</v>
      </c>
      <c r="I64" s="2549" t="s">
        <v>2447</v>
      </c>
      <c r="J64" s="3703">
        <v>50</v>
      </c>
      <c r="K64" s="3703">
        <v>35</v>
      </c>
      <c r="L64" s="3703">
        <v>60</v>
      </c>
      <c r="M64" s="3702">
        <v>0</v>
      </c>
      <c r="O64" s="2596" t="s">
        <v>2478</v>
      </c>
      <c r="P64" s="2597" t="s">
        <v>2479</v>
      </c>
      <c r="Q64" s="2598" t="s">
        <v>2477</v>
      </c>
      <c r="R64" s="2598" t="s">
        <v>2480</v>
      </c>
    </row>
    <row r="65" spans="1:18" s="1455" customFormat="1" ht="15.75" thickBot="1">
      <c r="A65" s="2440" t="s">
        <v>2387</v>
      </c>
      <c r="B65" s="2404" t="s">
        <v>369</v>
      </c>
      <c r="C65" s="313">
        <f ca="1">ROUND(C56*F65,1)</f>
        <v>0</v>
      </c>
      <c r="D65" s="2422" t="s">
        <v>2364</v>
      </c>
      <c r="E65" s="2404" t="s">
        <v>2356</v>
      </c>
      <c r="F65" s="716">
        <f t="shared" ca="1" si="0"/>
        <v>0</v>
      </c>
      <c r="I65" s="2549" t="s">
        <v>2448</v>
      </c>
      <c r="J65" s="3703">
        <v>40</v>
      </c>
      <c r="K65" s="3703">
        <v>30</v>
      </c>
      <c r="L65" s="3703">
        <v>50</v>
      </c>
      <c r="M65" s="3701">
        <v>0.02</v>
      </c>
      <c r="O65" s="2589" t="s">
        <v>2463</v>
      </c>
      <c r="P65" s="2599" t="s">
        <v>2481</v>
      </c>
      <c r="Q65" s="2590" t="e">
        <f ca="1">C40+J29</f>
        <v>#DIV/0!</v>
      </c>
      <c r="R65" s="2590" t="s">
        <v>2482</v>
      </c>
    </row>
    <row r="66" spans="1:18" s="1455" customFormat="1" ht="20.25" thickBot="1">
      <c r="A66" s="2440" t="s">
        <v>2388</v>
      </c>
      <c r="B66" s="2404" t="s">
        <v>368</v>
      </c>
      <c r="C66" s="313">
        <f ca="1">ROUND(C48*F66,1)</f>
        <v>0</v>
      </c>
      <c r="D66" s="2422" t="s">
        <v>2365</v>
      </c>
      <c r="E66" s="2404" t="s">
        <v>2356</v>
      </c>
      <c r="F66" s="694">
        <f t="shared" ca="1" si="0"/>
        <v>0</v>
      </c>
      <c r="O66" s="2589" t="s">
        <v>2464</v>
      </c>
      <c r="P66" s="2599" t="s">
        <v>2488</v>
      </c>
      <c r="Q66" s="2590" t="e">
        <f ca="1">L60</f>
        <v>#DIV/0!</v>
      </c>
      <c r="R66" s="2590" t="s">
        <v>2471</v>
      </c>
    </row>
    <row r="67" spans="1:18" s="1455" customFormat="1" ht="24.75" thickBot="1">
      <c r="A67" s="2411" t="s">
        <v>2366</v>
      </c>
      <c r="B67" s="2425" t="s">
        <v>2367</v>
      </c>
      <c r="C67" s="698">
        <f ca="1">C48-C58</f>
        <v>0</v>
      </c>
      <c r="D67" s="2421" t="s">
        <v>2368</v>
      </c>
      <c r="E67" s="2426"/>
      <c r="F67" s="2427"/>
      <c r="O67" s="2591" t="s">
        <v>2465</v>
      </c>
      <c r="P67" s="2599" t="s">
        <v>2495</v>
      </c>
      <c r="Q67" s="2594">
        <f ca="1">L51</f>
        <v>0</v>
      </c>
      <c r="R67" s="2595" t="s">
        <v>2505</v>
      </c>
    </row>
    <row r="68" spans="1:18" s="1455" customFormat="1" ht="20.25" thickBot="1">
      <c r="A68" s="2401" t="s">
        <v>2369</v>
      </c>
      <c r="B68" s="2402" t="s">
        <v>2370</v>
      </c>
      <c r="C68" s="683" t="e">
        <f ca="1">ROUND(C67*(1-((1+F70)/(1+F68))^F69)/(F68-F70),0)</f>
        <v>#DIV/0!</v>
      </c>
      <c r="D68" s="2423" t="s">
        <v>2371</v>
      </c>
      <c r="E68" s="2404" t="s">
        <v>2372</v>
      </c>
      <c r="F68" s="694">
        <f ca="1">F40</f>
        <v>0</v>
      </c>
      <c r="O68" s="2591" t="s">
        <v>2466</v>
      </c>
      <c r="P68" s="2600" t="s">
        <v>2499</v>
      </c>
      <c r="Q68" s="2590">
        <f ca="1">ROUND(Q69-Q70*Q71,0)</f>
        <v>0</v>
      </c>
      <c r="R68" s="2590" t="s">
        <v>2504</v>
      </c>
    </row>
    <row r="69" spans="1:18" s="1455" customFormat="1" ht="15.75" thickBot="1">
      <c r="A69" s="2405"/>
      <c r="B69" s="2406"/>
      <c r="C69" s="688"/>
      <c r="D69" s="2428" t="s">
        <v>2373</v>
      </c>
      <c r="E69" s="2404" t="s">
        <v>2374</v>
      </c>
      <c r="F69" s="719">
        <f ca="1">F41</f>
        <v>0</v>
      </c>
      <c r="O69" s="2591" t="s">
        <v>2474</v>
      </c>
      <c r="P69" s="2600" t="s">
        <v>2489</v>
      </c>
      <c r="Q69" s="2590">
        <f ca="1">C39</f>
        <v>0</v>
      </c>
      <c r="R69" s="2590" t="s">
        <v>2482</v>
      </c>
    </row>
    <row r="70" spans="1:18" s="1455" customFormat="1" ht="15.75" thickBot="1">
      <c r="A70" s="2408"/>
      <c r="B70" s="2409"/>
      <c r="C70" s="692"/>
      <c r="D70" s="2424"/>
      <c r="E70" s="2404" t="s">
        <v>2375</v>
      </c>
      <c r="F70" s="2534"/>
      <c r="O70" s="2591" t="s">
        <v>2475</v>
      </c>
      <c r="P70" s="2600" t="s">
        <v>2490</v>
      </c>
      <c r="Q70" s="2590">
        <f ca="1">C13</f>
        <v>0</v>
      </c>
      <c r="R70" s="2590" t="s">
        <v>2482</v>
      </c>
    </row>
    <row r="71" spans="1:18" s="1455" customFormat="1" ht="15.75" thickBot="1">
      <c r="A71" s="2429" t="s">
        <v>2376</v>
      </c>
      <c r="B71" s="2430" t="s">
        <v>2377</v>
      </c>
      <c r="C71" s="722" t="e">
        <f ca="1">ROUND(C68*10000/F71,0)</f>
        <v>#DIV/0!</v>
      </c>
      <c r="D71" s="2431" t="s">
        <v>2378</v>
      </c>
      <c r="E71" s="2432" t="s">
        <v>2379</v>
      </c>
      <c r="F71" s="725">
        <f ca="1">F43</f>
        <v>0</v>
      </c>
      <c r="I71" s="2399"/>
      <c r="K71" s="2399"/>
      <c r="O71" s="2591" t="s">
        <v>2476</v>
      </c>
      <c r="P71" s="2600" t="s">
        <v>2502</v>
      </c>
      <c r="Q71" s="2592">
        <f ca="1">C76</f>
        <v>0</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2711</v>
      </c>
      <c r="C78" s="735"/>
    </row>
    <row r="79" spans="1:18">
      <c r="B79" s="2878" t="s">
        <v>2715</v>
      </c>
      <c r="C79" s="650" t="e">
        <f ca="1">1-C80</f>
        <v>#DIV/0!</v>
      </c>
    </row>
    <row r="80" spans="1:18">
      <c r="B80" s="2878" t="s">
        <v>2714</v>
      </c>
      <c r="C80" s="650" t="e">
        <f ca="1">ROUND(C75/C39,3)</f>
        <v>#DIV/0!</v>
      </c>
    </row>
    <row r="81" spans="2:3">
      <c r="B81" s="646" t="s">
        <v>388</v>
      </c>
      <c r="C81" s="647"/>
    </row>
    <row r="82" spans="2:3">
      <c r="B82" s="2877" t="s">
        <v>2713</v>
      </c>
      <c r="C82" s="651" t="e">
        <f ca="1">1-C83</f>
        <v>#DIV/0!</v>
      </c>
    </row>
    <row r="83" spans="2:3">
      <c r="B83" s="2877" t="s">
        <v>2712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540</v>
      </c>
      <c r="F1" s="2588">
        <f ca="1">J53</f>
        <v>0</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2635</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2549</v>
      </c>
      <c r="E5" s="2629"/>
      <c r="F5" s="2630"/>
      <c r="G5" s="2290"/>
      <c r="H5" s="681">
        <v>1</v>
      </c>
      <c r="I5" s="682" t="s">
        <v>2345</v>
      </c>
      <c r="J5" s="2628">
        <f ca="1">J6+J10+J12</f>
        <v>0</v>
      </c>
      <c r="K5" s="2631" t="s">
        <v>2549</v>
      </c>
      <c r="L5" s="2629"/>
      <c r="M5" s="2630"/>
    </row>
    <row r="6" spans="1:37" ht="18" customHeight="1">
      <c r="A6" s="2624" t="s">
        <v>2386</v>
      </c>
      <c r="B6" s="3520" t="s">
        <v>2548</v>
      </c>
      <c r="C6" s="2633">
        <f ca="1">ROUND(F6*F8*F7*(1-F9),0)</f>
        <v>0</v>
      </c>
      <c r="D6" s="2627" t="s">
        <v>2550</v>
      </c>
      <c r="E6" s="684" t="s">
        <v>920</v>
      </c>
      <c r="F6" s="685">
        <f ca="1">INDIRECT("'数据-取费表'!u"&amp;$G$1)</f>
        <v>0</v>
      </c>
      <c r="G6" s="2290"/>
      <c r="H6" s="2624" t="s">
        <v>2386</v>
      </c>
      <c r="I6" s="3520" t="s">
        <v>2548</v>
      </c>
      <c r="J6" s="683">
        <f ca="1">ROUND(M6*M8*M7*(1-M9),0)</f>
        <v>0</v>
      </c>
      <c r="K6" s="2627" t="s">
        <v>2550</v>
      </c>
      <c r="L6" s="684" t="s">
        <v>920</v>
      </c>
      <c r="M6" s="685">
        <f ca="1">INDIRECT("'数据-取费表'!z"&amp;$G$1)</f>
        <v>0</v>
      </c>
    </row>
    <row r="7" spans="1:37" ht="18" customHeight="1">
      <c r="A7" s="2632"/>
      <c r="B7" s="3521"/>
      <c r="C7" s="2634"/>
      <c r="D7" s="2063"/>
      <c r="E7" s="2635" t="s">
        <v>921</v>
      </c>
      <c r="F7" s="685">
        <f ca="1">IF(INDIRECT("'数据-取费表'!ah"&amp;$G$1)="",INDIRECT("'数据-取费表'!k"&amp;$G$1),INDIRECT("'数据-取费表'!ah"&amp;$G$1))</f>
        <v>0</v>
      </c>
      <c r="G7" s="2290"/>
      <c r="H7" s="686"/>
      <c r="I7" s="3521"/>
      <c r="J7" s="688"/>
      <c r="K7" s="689"/>
      <c r="L7" s="684" t="s">
        <v>921</v>
      </c>
      <c r="M7" s="685">
        <f ca="1">F7</f>
        <v>0</v>
      </c>
    </row>
    <row r="8" spans="1:37" ht="18" customHeight="1">
      <c r="A8" s="686"/>
      <c r="B8" s="3521"/>
      <c r="C8" s="688"/>
      <c r="D8" s="689"/>
      <c r="E8" s="684" t="s">
        <v>922</v>
      </c>
      <c r="F8" s="685">
        <f ca="1">INDIRECT("'数据-取费表'!ai"&amp;$G$1)</f>
        <v>0</v>
      </c>
      <c r="G8" s="2290"/>
      <c r="H8" s="686"/>
      <c r="I8" s="3521"/>
      <c r="J8" s="688"/>
      <c r="K8" s="689"/>
      <c r="L8" s="684" t="s">
        <v>922</v>
      </c>
      <c r="M8" s="685">
        <f ca="1">INDIRECT("'数据-取费表'!ai"&amp;$G$1)</f>
        <v>0</v>
      </c>
    </row>
    <row r="9" spans="1:37" ht="18" customHeight="1">
      <c r="A9" s="686"/>
      <c r="B9" s="3522"/>
      <c r="C9" s="688"/>
      <c r="D9" s="689"/>
      <c r="E9" s="684" t="s">
        <v>923</v>
      </c>
      <c r="F9" s="694">
        <f ca="1">INDIRECT("'数据-取费表'!w"&amp;$G$1)</f>
        <v>0</v>
      </c>
      <c r="G9" s="2290"/>
      <c r="H9" s="686"/>
      <c r="I9" s="3522"/>
      <c r="J9" s="688"/>
      <c r="K9" s="689"/>
      <c r="L9" s="695" t="s">
        <v>923</v>
      </c>
      <c r="M9" s="696">
        <f ca="1">INDIRECT("'数据-取费表'!ab"&amp;$G$1)</f>
        <v>0</v>
      </c>
    </row>
    <row r="10" spans="1:37" ht="18" customHeight="1">
      <c r="A10" s="2624" t="s">
        <v>2393</v>
      </c>
      <c r="B10" s="2625" t="s">
        <v>2543</v>
      </c>
      <c r="C10" s="698">
        <f ca="1">ROUND(IF(F10="押一",F6*F8*F7/12*F11,IF(F10="押二",F6*F8*F7/12*2*F11,IF(F10="押三",F6*F8*F7/12*3*F11,C11*F11))),0)</f>
        <v>0</v>
      </c>
      <c r="D10" s="2636" t="s">
        <v>2551</v>
      </c>
      <c r="E10" s="2099" t="s">
        <v>2545</v>
      </c>
      <c r="F10" s="2833"/>
      <c r="G10" s="2290"/>
      <c r="H10" s="2624" t="s">
        <v>2393</v>
      </c>
      <c r="I10" s="2625" t="s">
        <v>2543</v>
      </c>
      <c r="J10" s="683">
        <f ca="1">ROUND(IF(M10="押一",M6*M8*M7/12*M11,IF(M10="押二",M6*M8*M7/12*2*M11,IF(M10="押三",M6*M8*M7/12*3*M11,J11*M11))),0)</f>
        <v>0</v>
      </c>
      <c r="K10" s="2636" t="s">
        <v>2551</v>
      </c>
      <c r="L10" s="2099" t="s">
        <v>2545</v>
      </c>
      <c r="M10" s="2833" t="s">
        <v>2707</v>
      </c>
    </row>
    <row r="11" spans="1:37" ht="18" customHeight="1">
      <c r="A11" s="690"/>
      <c r="B11" s="2626" t="s">
        <v>2553</v>
      </c>
      <c r="C11" s="2417"/>
      <c r="D11" s="689"/>
      <c r="E11" s="2099" t="s">
        <v>2546</v>
      </c>
      <c r="F11" s="696">
        <f ca="1">'数据-取费表'!B39</f>
        <v>0</v>
      </c>
      <c r="G11" s="2290"/>
      <c r="H11" s="2637"/>
      <c r="I11" s="2626" t="s">
        <v>2708</v>
      </c>
      <c r="J11" s="2417"/>
      <c r="K11" s="1281"/>
      <c r="L11" s="2099" t="s">
        <v>2546</v>
      </c>
      <c r="M11" s="2098">
        <f ca="1">'数据-取费表'!B39</f>
        <v>0</v>
      </c>
    </row>
    <row r="12" spans="1:37" ht="18" customHeight="1" thickBot="1">
      <c r="A12" s="2672" t="s">
        <v>2556</v>
      </c>
      <c r="B12" s="2673" t="s">
        <v>2544</v>
      </c>
      <c r="C12" s="2674"/>
      <c r="D12" s="2675"/>
      <c r="E12" s="2676"/>
      <c r="F12" s="2677"/>
      <c r="G12" s="2290"/>
      <c r="H12" s="2672" t="s">
        <v>2556</v>
      </c>
      <c r="I12" s="2673" t="s">
        <v>2544</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0</v>
      </c>
      <c r="D14" s="2721" t="s">
        <v>927</v>
      </c>
      <c r="E14" s="2720"/>
      <c r="F14" s="703"/>
      <c r="G14" s="2290"/>
      <c r="H14" s="2440" t="s">
        <v>2386</v>
      </c>
      <c r="I14" s="684" t="s">
        <v>928</v>
      </c>
      <c r="J14" s="313">
        <f ca="1">C29</f>
        <v>0</v>
      </c>
      <c r="K14" s="303"/>
      <c r="L14" s="700"/>
      <c r="M14" s="701"/>
    </row>
    <row r="15" spans="1:37" s="706" customFormat="1" ht="18" customHeight="1" thickBot="1">
      <c r="A15" s="2440" t="s">
        <v>2620</v>
      </c>
      <c r="B15" s="684" t="s">
        <v>361</v>
      </c>
      <c r="C15" s="313">
        <f ca="1">ROUND(C14*F15,0)</f>
        <v>0</v>
      </c>
      <c r="D15" s="704" t="s">
        <v>929</v>
      </c>
      <c r="E15" s="704" t="s">
        <v>366</v>
      </c>
      <c r="F15" s="705">
        <f>'数据-取费表'!B33</f>
        <v>0</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2622</v>
      </c>
      <c r="B17" s="684" t="s">
        <v>363</v>
      </c>
      <c r="C17" s="313">
        <f ca="1">ROUND(F17*(F43+INDIRECT("'数据-取费表'!S"&amp;$G$1)),0)</f>
        <v>0</v>
      </c>
      <c r="D17" s="684" t="s">
        <v>933</v>
      </c>
      <c r="E17" s="684" t="s">
        <v>934</v>
      </c>
      <c r="F17" s="315">
        <f>'数据-取费表'!B35</f>
        <v>0</v>
      </c>
      <c r="G17" s="2291"/>
      <c r="H17" s="2440" t="s">
        <v>2386</v>
      </c>
      <c r="I17" s="684" t="s">
        <v>364</v>
      </c>
      <c r="J17" s="313">
        <f ca="1">ROUND(IF(项目基本情况!B11="自然人",J5*M17,J18+J19+J20),0)</f>
        <v>0</v>
      </c>
      <c r="K17" s="2721" t="s">
        <v>935</v>
      </c>
      <c r="L17" s="2722"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0</v>
      </c>
      <c r="D18" s="684" t="s">
        <v>929</v>
      </c>
      <c r="E18" s="684" t="s">
        <v>366</v>
      </c>
      <c r="F18" s="707">
        <f>'数据-取费表'!B36</f>
        <v>0</v>
      </c>
      <c r="G18" s="2291"/>
      <c r="H18" s="2440" t="s">
        <v>2383</v>
      </c>
      <c r="I18" s="684" t="s">
        <v>937</v>
      </c>
      <c r="J18" s="313">
        <f ca="1">ROUND(J5*M18/(1+'数据-取费表'!C42),0)</f>
        <v>0</v>
      </c>
      <c r="K18" s="2722" t="s">
        <v>938</v>
      </c>
      <c r="L18" s="684" t="s">
        <v>366</v>
      </c>
      <c r="M18" s="707">
        <f>'数据-取费表'!B41</f>
        <v>0.05</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4"/>
      <c r="F19" s="315"/>
      <c r="G19" s="2290"/>
      <c r="H19" s="2440" t="s">
        <v>2620</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2624</v>
      </c>
      <c r="B20" s="684" t="s">
        <v>368</v>
      </c>
      <c r="C20" s="313">
        <f ca="1">ROUND(C19*F20,0)</f>
        <v>0</v>
      </c>
      <c r="D20" s="709" t="s">
        <v>941</v>
      </c>
      <c r="E20" s="684" t="s">
        <v>366</v>
      </c>
      <c r="F20" s="707">
        <f>'数据-取费表'!B37</f>
        <v>0</v>
      </c>
      <c r="G20" s="2291"/>
      <c r="H20" s="2440" t="s">
        <v>2621</v>
      </c>
      <c r="I20" s="496" t="s">
        <v>942</v>
      </c>
      <c r="J20" s="314">
        <f ca="1">ROUND(M20*M21,0)</f>
        <v>0</v>
      </c>
      <c r="K20" s="710" t="s">
        <v>943</v>
      </c>
      <c r="L20" s="684" t="s">
        <v>944</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23</v>
      </c>
      <c r="D21" s="709" t="s">
        <v>946</v>
      </c>
      <c r="E21" s="684" t="s">
        <v>947</v>
      </c>
      <c r="F21" s="707">
        <f>'数据-取费表'!B38</f>
        <v>0</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724"/>
      <c r="F22" s="315"/>
      <c r="G22" s="2290"/>
      <c r="H22" s="2440" t="s">
        <v>2393</v>
      </c>
      <c r="I22" s="684" t="s">
        <v>950</v>
      </c>
      <c r="J22" s="313">
        <f ca="1">ROUND(J14*M22,0)</f>
        <v>0</v>
      </c>
      <c r="K22" s="2722" t="s">
        <v>951</v>
      </c>
      <c r="L22" s="684" t="s">
        <v>366</v>
      </c>
      <c r="M22" s="714">
        <f ca="1">INDIRECT("'数据-取费表'!Ak"&amp;$G$1)</f>
        <v>0</v>
      </c>
    </row>
    <row r="23" spans="1:37" s="706" customFormat="1" ht="18" customHeight="1">
      <c r="A23" s="2440" t="s">
        <v>2383</v>
      </c>
      <c r="B23" s="684" t="s">
        <v>2540</v>
      </c>
      <c r="C23" s="313">
        <f ca="1">IF('数据-取费表'!B22&lt;=1,ROUND(C19*F24*F23/2,0)+ROUND(C20*F24*F23/2,0),ROUND(C19*(POWER((1+F24),F23/2)-1),0)+ROUND(C20*(POWER((1+F24),F23/2)-1),0))</f>
        <v>0</v>
      </c>
      <c r="D23" s="2707" t="str">
        <f>IF(F23&lt;=1,"(建造成本+管理费用)×利率×(建设周期÷2)","(建造成本+管理费用)×((1+利率)^(建设周期÷2)-1)")</f>
        <v>(建造成本+管理费用)×利率×(建设周期÷2)</v>
      </c>
      <c r="E23" s="684" t="s">
        <v>952</v>
      </c>
      <c r="F23" s="711">
        <f>'数据-取费表'!B20</f>
        <v>0</v>
      </c>
      <c r="G23" s="2291"/>
      <c r="H23" s="2440" t="s">
        <v>2625</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0</v>
      </c>
      <c r="D24" s="2707" t="str">
        <f>IF(F23&lt;=1,"销售费用×利率×(建设周期÷2)","销售费用×((1+利率)^(建设周期÷2)-1)")</f>
        <v>销售费用×利率×(建设周期÷2)</v>
      </c>
      <c r="E24" s="684" t="s">
        <v>955</v>
      </c>
      <c r="F24" s="717">
        <f ca="1">'数据-取费表'!B40</f>
        <v>0</v>
      </c>
      <c r="G24" s="2291"/>
      <c r="H24" s="2680" t="s">
        <v>2626</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0</v>
      </c>
      <c r="K25" s="2686" t="s">
        <v>379</v>
      </c>
      <c r="L25" s="2687"/>
      <c r="M25" s="2688"/>
    </row>
    <row r="26" spans="1:37" ht="18" customHeight="1">
      <c r="A26" s="2440" t="s">
        <v>2383</v>
      </c>
      <c r="B26" s="684" t="s">
        <v>2541</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0.05</v>
      </c>
      <c r="D28" s="709" t="s">
        <v>971</v>
      </c>
      <c r="E28" s="684" t="s">
        <v>366</v>
      </c>
      <c r="F28" s="707">
        <f>'数据-取费表'!B41</f>
        <v>0.05</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0</v>
      </c>
      <c r="D31" s="2721" t="s">
        <v>935</v>
      </c>
      <c r="E31" s="2722" t="s">
        <v>974</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2383</v>
      </c>
      <c r="B32" s="684" t="s">
        <v>937</v>
      </c>
      <c r="C32" s="313">
        <f ca="1">IF(项目基本情况!B11="自然人","——",ROUND(C5*F32/(1+'数据-取费表'!C42),0))</f>
        <v>0</v>
      </c>
      <c r="D32" s="2722" t="s">
        <v>938</v>
      </c>
      <c r="E32" s="684" t="s">
        <v>366</v>
      </c>
      <c r="F32" s="717">
        <f>'数据-取费表'!B41</f>
        <v>0.05</v>
      </c>
      <c r="G32" s="2290"/>
      <c r="H32" s="1284"/>
      <c r="I32" s="1285"/>
      <c r="J32" s="1286"/>
      <c r="K32" s="1287"/>
      <c r="L32" s="1288"/>
      <c r="M32" s="1289"/>
    </row>
    <row r="33" spans="1:18" ht="18" customHeight="1">
      <c r="A33" s="2440" t="s">
        <v>2620</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942</v>
      </c>
      <c r="C34" s="314">
        <f ca="1">IF(项目基本情况!B11="自然人","——",ROUND(F34*F35,))</f>
        <v>0</v>
      </c>
      <c r="D34" s="710" t="s">
        <v>943</v>
      </c>
      <c r="E34" s="684" t="s">
        <v>944</v>
      </c>
      <c r="F34" s="711">
        <f>'数据-取费表'!B52</f>
        <v>0</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2625</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2626</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2636</v>
      </c>
      <c r="E45" s="1433"/>
      <c r="F45" s="1433"/>
      <c r="O45" s="2593" t="s">
        <v>2500</v>
      </c>
      <c r="P45" s="1296"/>
      <c r="Q45" s="1296"/>
      <c r="R45" s="1296"/>
    </row>
    <row r="46" spans="1:18" s="1455" customFormat="1" ht="21" thickBot="1">
      <c r="A46" s="2398" t="s">
        <v>2338</v>
      </c>
      <c r="B46" s="2399"/>
      <c r="C46" s="2727" t="e">
        <f ca="1">ROUND(C45/10000,0)</f>
        <v>#DIV/0!</v>
      </c>
      <c r="D46" s="2728" t="str">
        <f>C2</f>
        <v>万元</v>
      </c>
      <c r="I46" s="2580" t="s">
        <v>2435</v>
      </c>
      <c r="J46" s="2581"/>
      <c r="K46" s="2582"/>
      <c r="L46" s="2584" t="e">
        <f ca="1">IF(M47="住宅",0,IF(L48&gt;J51,L60,J60))</f>
        <v>#DIV/0!</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7.25" thickBot="1">
      <c r="A48" s="2713" t="s">
        <v>2631</v>
      </c>
      <c r="B48" s="682" t="s">
        <v>2345</v>
      </c>
      <c r="C48" s="2723">
        <f ca="1">C49+C53+C55</f>
        <v>0</v>
      </c>
      <c r="D48" s="2717"/>
      <c r="E48" s="2718"/>
      <c r="F48" s="2420"/>
      <c r="G48" s="1457"/>
      <c r="H48" s="1458"/>
      <c r="I48" s="2546" t="s">
        <v>2429</v>
      </c>
      <c r="J48" s="2557"/>
      <c r="K48" s="2567" t="s">
        <v>684</v>
      </c>
      <c r="L48" s="2170">
        <f ca="1">INDIRECT("'数据-取费表'!f"&amp;$G$1)</f>
        <v>0</v>
      </c>
      <c r="O48" s="2589" t="s">
        <v>2464</v>
      </c>
      <c r="P48" s="2599" t="s">
        <v>2483</v>
      </c>
      <c r="Q48" s="2590" t="e">
        <f ca="1">J60</f>
        <v>#DIV/0!</v>
      </c>
      <c r="R48" s="2590" t="s">
        <v>2491</v>
      </c>
    </row>
    <row r="49" spans="1:18" s="1455" customFormat="1" ht="15.75" thickBot="1">
      <c r="A49" s="2433" t="s">
        <v>2632</v>
      </c>
      <c r="B49" s="2716" t="s">
        <v>2634</v>
      </c>
      <c r="C49" s="2725">
        <f ca="1">ROUND(F49*F51*F50*(1-F52),0)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5.75" thickBot="1">
      <c r="A50" s="2434"/>
      <c r="B50" s="2437"/>
      <c r="C50" s="2438"/>
      <c r="D50" s="2407"/>
      <c r="E50" s="2536" t="s">
        <v>921</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5.75" thickBot="1">
      <c r="A51" s="2435"/>
      <c r="B51" s="2437"/>
      <c r="C51" s="2438"/>
      <c r="D51" s="2407"/>
      <c r="E51" s="2439" t="s">
        <v>922</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5.75" thickBot="1">
      <c r="A52" s="2435"/>
      <c r="B52" s="2437"/>
      <c r="C52" s="2438"/>
      <c r="D52" s="2407"/>
      <c r="E52" s="2439" t="s">
        <v>923</v>
      </c>
      <c r="F52" s="2534"/>
      <c r="I52" s="2562" t="s">
        <v>2459</v>
      </c>
      <c r="J52" s="2576"/>
      <c r="K52" s="2562" t="s">
        <v>2444</v>
      </c>
      <c r="L52" s="2576"/>
      <c r="M52" s="2399"/>
      <c r="O52" s="2591" t="s">
        <v>2468</v>
      </c>
      <c r="P52" s="2599" t="s">
        <v>2485</v>
      </c>
      <c r="Q52" s="2590">
        <f ca="1">J53</f>
        <v>0</v>
      </c>
      <c r="R52" s="2590" t="s">
        <v>2486</v>
      </c>
    </row>
    <row r="53" spans="1:18" s="1455" customFormat="1" ht="43.5" thickBot="1">
      <c r="A53" s="2714" t="s">
        <v>2633</v>
      </c>
      <c r="B53" s="2715" t="s">
        <v>2543</v>
      </c>
      <c r="C53" s="698">
        <f ca="1">ROUND(IF(F53="押一",F49*F51*F50/12*F11,IF(F53="押二",F49*F51*F50/12*2*F11,IF(F53="押三",F49*F51*F50/12*3*F11,C54*F11))),0)</f>
        <v>0</v>
      </c>
      <c r="D53" s="2636" t="s">
        <v>2551</v>
      </c>
      <c r="E53" s="2099" t="s">
        <v>2545</v>
      </c>
      <c r="F53" s="2833"/>
      <c r="I53" s="2572" t="s">
        <v>2461</v>
      </c>
      <c r="J53" s="2573">
        <f ca="1">IF(M47="住宅",J51,MIN(J51,L48))</f>
        <v>0</v>
      </c>
      <c r="K53" s="35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19"/>
      <c r="O53" s="2589" t="s">
        <v>2469</v>
      </c>
      <c r="P53" s="2599" t="s">
        <v>2487</v>
      </c>
      <c r="Q53" s="2590" t="e">
        <f ca="1">Q47+Q48</f>
        <v>#DIV/0!</v>
      </c>
      <c r="R53" s="2590" t="s">
        <v>2470</v>
      </c>
    </row>
    <row r="54" spans="1:18" s="1455" customFormat="1" ht="16.5" thickBot="1">
      <c r="A54" s="2433"/>
      <c r="B54" s="2830" t="s">
        <v>2708</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9"/>
      <c r="F55" s="2542"/>
      <c r="I55" s="3698" t="s">
        <v>2437</v>
      </c>
      <c r="J55" s="3697" t="e">
        <f ca="1">ROUND(IF(J47="钢混",J57/J50,1-(1-2%)*(J50-J57)/J50),3)</f>
        <v>#DIV/0!</v>
      </c>
      <c r="K55" s="2553" t="s">
        <v>2438</v>
      </c>
      <c r="L55" s="2575"/>
      <c r="O55" s="2596" t="s">
        <v>2478</v>
      </c>
      <c r="P55" s="2597" t="s">
        <v>2479</v>
      </c>
      <c r="Q55" s="2598" t="s">
        <v>2477</v>
      </c>
      <c r="R55" s="2598" t="s">
        <v>2480</v>
      </c>
    </row>
    <row r="56" spans="1:18" s="1455" customFormat="1" ht="44.25" thickTop="1" thickBot="1">
      <c r="A56" s="2411">
        <v>2</v>
      </c>
      <c r="B56" s="2412" t="s">
        <v>924</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29.25" thickBot="1">
      <c r="A57" s="2543"/>
      <c r="B57" s="2404" t="s">
        <v>973</v>
      </c>
      <c r="C57" s="614">
        <f ca="1">C29</f>
        <v>0</v>
      </c>
      <c r="D57" s="2415"/>
      <c r="E57" s="2416"/>
      <c r="F57" s="2544"/>
      <c r="I57" s="2547" t="s">
        <v>2460</v>
      </c>
      <c r="J57" s="2551">
        <f ca="1">IF(OR(M47="住宅",J51&lt;L48,J56="是"),"——",J51-L48)</f>
        <v>0</v>
      </c>
      <c r="K57" s="2546" t="s">
        <v>2453</v>
      </c>
      <c r="L57" s="2170">
        <f ca="1">IF(L48&lt;J51,"——",IF(L55="比较法",L49,IF(L55="基准地价",L50,L51)))</f>
        <v>0</v>
      </c>
      <c r="O57" s="2589" t="s">
        <v>2464</v>
      </c>
      <c r="P57" s="2599" t="s">
        <v>2488</v>
      </c>
      <c r="Q57" s="2590" t="e">
        <f ca="1">L60</f>
        <v>#DIV/0!</v>
      </c>
      <c r="R57" s="2590" t="s">
        <v>2503</v>
      </c>
    </row>
    <row r="58" spans="1:18" s="1455" customFormat="1" ht="29.25" thickBot="1">
      <c r="A58" s="697" t="s">
        <v>2351</v>
      </c>
      <c r="B58" s="2412" t="s">
        <v>931</v>
      </c>
      <c r="C58" s="698">
        <f ca="1">ROUND(C59+C64+C65+C66,0)</f>
        <v>0</v>
      </c>
      <c r="D58" s="2418" t="s">
        <v>932</v>
      </c>
      <c r="E58" s="2419"/>
      <c r="F58" s="2420"/>
      <c r="I58" s="2547" t="s">
        <v>2440</v>
      </c>
      <c r="J58" s="3699" t="e">
        <f ca="1">IF(J55&lt;0.4,0.4,J55)</f>
        <v>#DIV/0!</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ROUND(IF(项目基本情况!B11="自然人",C48*F59,C60+C61+C62),0)</f>
        <v>0</v>
      </c>
      <c r="D59" s="2421" t="s">
        <v>935</v>
      </c>
      <c r="E59" s="2422" t="s">
        <v>936</v>
      </c>
      <c r="F59" s="708">
        <f ca="1">IF(项目基本情况!B11="企业","",IF(INDIRECT("'数据-取费表'!c"&amp;$G$1)="住宅",5%,IF(F49*F50*F51/12/(1+'数据-取费表'!C42)&gt;20000,12%,7%)))</f>
        <v>7.0000000000000007E-2</v>
      </c>
      <c r="I59" s="2547" t="s">
        <v>2441</v>
      </c>
      <c r="J59" s="2551" t="e">
        <f ca="1">IF(OR(M47="住宅",J51&lt;L48,J56="是"),"——",ROUND(C29*J58,0))</f>
        <v>#DIV/0!</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f ca="1">IF(项目基本情况!B11="自然人","——",ROUND(C48*F60/(1+'数据-取费表'!C42),0))</f>
        <v>0</v>
      </c>
      <c r="D60" s="2422" t="s">
        <v>938</v>
      </c>
      <c r="E60" s="2404" t="s">
        <v>366</v>
      </c>
      <c r="F60" s="717">
        <f t="shared" ref="F60:F66" si="0">F32</f>
        <v>0.05</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f ca="1">IF(项目基本情况!B11="自然人","——",ROUND(F62*F63,0))</f>
        <v>0</v>
      </c>
      <c r="D62" s="2423" t="s">
        <v>943</v>
      </c>
      <c r="E62" s="2404" t="s">
        <v>944</v>
      </c>
      <c r="F62" s="711">
        <f t="shared" si="0"/>
        <v>0</v>
      </c>
      <c r="I62" s="2549" t="s">
        <v>2432</v>
      </c>
      <c r="J62" s="2550" t="s">
        <v>2433</v>
      </c>
      <c r="K62" s="2550" t="s">
        <v>2434</v>
      </c>
      <c r="L62" s="2550" t="s">
        <v>2430</v>
      </c>
      <c r="M62" s="3700" t="s">
        <v>3054</v>
      </c>
      <c r="O62" s="2589" t="s">
        <v>2469</v>
      </c>
      <c r="P62" s="2599" t="s">
        <v>2487</v>
      </c>
      <c r="Q62" s="2590" t="e">
        <f ca="1">Q56+Q57</f>
        <v>#DIV/0!</v>
      </c>
      <c r="R62" s="2590" t="s">
        <v>2470</v>
      </c>
    </row>
    <row r="63" spans="1:18" s="1455" customFormat="1" ht="16.5" thickBot="1">
      <c r="A63" s="712"/>
      <c r="B63" s="2410"/>
      <c r="C63" s="318"/>
      <c r="D63" s="2424"/>
      <c r="E63" s="2404" t="s">
        <v>948</v>
      </c>
      <c r="F63" s="685">
        <f t="shared" ca="1" si="0"/>
        <v>0</v>
      </c>
      <c r="I63" s="2549" t="s">
        <v>2446</v>
      </c>
      <c r="J63" s="3703">
        <v>70</v>
      </c>
      <c r="K63" s="3703">
        <v>50</v>
      </c>
      <c r="L63" s="3703">
        <v>80</v>
      </c>
      <c r="M63" s="3701">
        <v>0.02</v>
      </c>
      <c r="O63" s="2593" t="s">
        <v>2501</v>
      </c>
      <c r="P63" s="1296"/>
      <c r="Q63" s="1296"/>
      <c r="R63" s="1296"/>
    </row>
    <row r="64" spans="1:18" s="1455" customFormat="1" ht="15.75" thickBot="1">
      <c r="A64" s="2440" t="s">
        <v>2393</v>
      </c>
      <c r="B64" s="2404" t="s">
        <v>950</v>
      </c>
      <c r="C64" s="313">
        <f ca="1">ROUND(C57*F64,0)</f>
        <v>0</v>
      </c>
      <c r="D64" s="2422" t="s">
        <v>980</v>
      </c>
      <c r="E64" s="2404" t="s">
        <v>366</v>
      </c>
      <c r="F64" s="714">
        <f t="shared" ca="1" si="0"/>
        <v>0</v>
      </c>
      <c r="I64" s="2549" t="s">
        <v>107</v>
      </c>
      <c r="J64" s="3703">
        <v>50</v>
      </c>
      <c r="K64" s="3703">
        <v>35</v>
      </c>
      <c r="L64" s="3703">
        <v>60</v>
      </c>
      <c r="M64" s="3702">
        <v>0</v>
      </c>
      <c r="O64" s="2596" t="s">
        <v>2478</v>
      </c>
      <c r="P64" s="2597" t="s">
        <v>2479</v>
      </c>
      <c r="Q64" s="2598" t="s">
        <v>2477</v>
      </c>
      <c r="R64" s="2598" t="s">
        <v>2480</v>
      </c>
    </row>
    <row r="65" spans="1:18" s="1455" customFormat="1" ht="15.75" thickBot="1">
      <c r="A65" s="2440" t="s">
        <v>2387</v>
      </c>
      <c r="B65" s="2404" t="s">
        <v>369</v>
      </c>
      <c r="C65" s="313">
        <f ca="1">ROUND(C56*F65,0)</f>
        <v>0</v>
      </c>
      <c r="D65" s="2422" t="s">
        <v>370</v>
      </c>
      <c r="E65" s="2404" t="s">
        <v>366</v>
      </c>
      <c r="F65" s="716">
        <f t="shared" ca="1" si="0"/>
        <v>0</v>
      </c>
      <c r="I65" s="2549" t="s">
        <v>2448</v>
      </c>
      <c r="J65" s="3703">
        <v>40</v>
      </c>
      <c r="K65" s="3703">
        <v>30</v>
      </c>
      <c r="L65" s="3703">
        <v>50</v>
      </c>
      <c r="M65" s="3701">
        <v>0.02</v>
      </c>
      <c r="O65" s="2589" t="s">
        <v>2463</v>
      </c>
      <c r="P65" s="2599" t="s">
        <v>2481</v>
      </c>
      <c r="Q65" s="2590" t="e">
        <f ca="1">C40+J29</f>
        <v>#DIV/0!</v>
      </c>
      <c r="R65" s="2590" t="s">
        <v>2482</v>
      </c>
    </row>
    <row r="66" spans="1:18" s="1455" customFormat="1" ht="20.25" thickBot="1">
      <c r="A66" s="2440" t="s">
        <v>2388</v>
      </c>
      <c r="B66" s="2404" t="s">
        <v>368</v>
      </c>
      <c r="C66" s="313">
        <f ca="1">ROUND(C48*F66,0)</f>
        <v>0</v>
      </c>
      <c r="D66" s="2422" t="s">
        <v>372</v>
      </c>
      <c r="E66" s="2404" t="s">
        <v>366</v>
      </c>
      <c r="F66" s="694">
        <f t="shared" ca="1" si="0"/>
        <v>0</v>
      </c>
      <c r="O66" s="2589" t="s">
        <v>2464</v>
      </c>
      <c r="P66" s="2599" t="s">
        <v>2488</v>
      </c>
      <c r="Q66" s="2590" t="e">
        <f ca="1">L60</f>
        <v>#DIV/0!</v>
      </c>
      <c r="R66" s="2590" t="s">
        <v>2471</v>
      </c>
    </row>
    <row r="67" spans="1:18" s="1455" customFormat="1" ht="24.75"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20.25" thickBot="1">
      <c r="A68" s="2401" t="s">
        <v>2369</v>
      </c>
      <c r="B68" s="2402" t="s">
        <v>380</v>
      </c>
      <c r="C68" s="683" t="e">
        <f ca="1">ROUND(C67*(1-((1+F70)/(1+F68))^F69)/(F68-F70),0)</f>
        <v>#DIV/0!</v>
      </c>
      <c r="D68" s="2423" t="s">
        <v>374</v>
      </c>
      <c r="E68" s="2404" t="s">
        <v>375</v>
      </c>
      <c r="F68" s="694">
        <f ca="1">F40</f>
        <v>0</v>
      </c>
      <c r="O68" s="2591" t="s">
        <v>2466</v>
      </c>
      <c r="P68" s="2600" t="s">
        <v>2499</v>
      </c>
      <c r="Q68" s="2590">
        <f ca="1">ROUND(Q69-Q70*Q71,0)</f>
        <v>0</v>
      </c>
      <c r="R68" s="2590" t="s">
        <v>2504</v>
      </c>
    </row>
    <row r="69" spans="1:18" s="1455" customFormat="1" ht="15.75" thickBot="1">
      <c r="A69" s="2405"/>
      <c r="B69" s="2406"/>
      <c r="C69" s="688"/>
      <c r="D69" s="2428" t="s">
        <v>965</v>
      </c>
      <c r="E69" s="2404" t="s">
        <v>382</v>
      </c>
      <c r="F69" s="719">
        <f ca="1">F41</f>
        <v>0</v>
      </c>
      <c r="O69" s="2591" t="s">
        <v>2474</v>
      </c>
      <c r="P69" s="2600" t="s">
        <v>2489</v>
      </c>
      <c r="Q69" s="2590">
        <f ca="1">C39</f>
        <v>0</v>
      </c>
      <c r="R69" s="2590" t="s">
        <v>2482</v>
      </c>
    </row>
    <row r="70" spans="1:18" s="1455" customFormat="1" ht="15.75" thickBot="1">
      <c r="A70" s="2408"/>
      <c r="B70" s="2409"/>
      <c r="C70" s="692"/>
      <c r="D70" s="2424"/>
      <c r="E70" s="2404" t="s">
        <v>383</v>
      </c>
      <c r="F70" s="2534">
        <f ca="1">F42</f>
        <v>0</v>
      </c>
      <c r="O70" s="2591" t="s">
        <v>2475</v>
      </c>
      <c r="P70" s="2600" t="s">
        <v>2490</v>
      </c>
      <c r="Q70" s="2590">
        <f ca="1">C13</f>
        <v>0</v>
      </c>
      <c r="R70" s="2590" t="s">
        <v>2482</v>
      </c>
    </row>
    <row r="71" spans="1:18" s="1455" customFormat="1" ht="15.75" thickBot="1">
      <c r="A71" s="2429" t="s">
        <v>2376</v>
      </c>
      <c r="B71" s="2430" t="s">
        <v>384</v>
      </c>
      <c r="C71" s="722" t="e">
        <f ca="1">ROUND(C68/F71,0)</f>
        <v>#DIV/0!</v>
      </c>
      <c r="D71" s="2431" t="s">
        <v>385</v>
      </c>
      <c r="E71" s="2432" t="s">
        <v>386</v>
      </c>
      <c r="F71" s="725">
        <f ca="1">F43</f>
        <v>0</v>
      </c>
      <c r="I71" s="2399"/>
      <c r="K71" s="2399"/>
      <c r="O71" s="2591" t="s">
        <v>2476</v>
      </c>
      <c r="P71" s="2600" t="s">
        <v>2502</v>
      </c>
      <c r="Q71" s="2592">
        <f ca="1">C76</f>
        <v>0</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2715</v>
      </c>
      <c r="C79" s="650" t="e">
        <f ca="1">1-C80</f>
        <v>#DIV/0!</v>
      </c>
    </row>
    <row r="80" spans="1:18">
      <c r="B80" s="2878" t="s">
        <v>2716</v>
      </c>
      <c r="C80" s="650" t="e">
        <f ca="1">ROUND(C75/C39,3)</f>
        <v>#DIV/0!</v>
      </c>
    </row>
    <row r="81" spans="2:3">
      <c r="B81" s="646" t="s">
        <v>388</v>
      </c>
      <c r="C81" s="647"/>
    </row>
    <row r="82" spans="2:3">
      <c r="B82" s="2877" t="s">
        <v>2713</v>
      </c>
      <c r="C82" s="651" t="e">
        <f ca="1">1-C83</f>
        <v>#DIV/0!</v>
      </c>
    </row>
    <row r="83" spans="2:3">
      <c r="B83" s="2877" t="s">
        <v>2712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2686</v>
      </c>
      <c r="B1" s="2786"/>
      <c r="C1" s="2786"/>
      <c r="D1" s="2786"/>
      <c r="E1" s="2787"/>
    </row>
    <row r="2" spans="1:5" ht="14.25">
      <c r="A2" s="2788" t="s">
        <v>2687</v>
      </c>
      <c r="B2" s="2782">
        <f ca="1">SUMIF(B6:B13,"&lt;&gt;#ref!",B6:B13)</f>
        <v>0</v>
      </c>
      <c r="C2" s="2783" t="s">
        <v>2684</v>
      </c>
      <c r="D2" s="2784" t="s">
        <v>2689</v>
      </c>
      <c r="E2" s="2792">
        <f>SUM(E6:E13)</f>
        <v>0</v>
      </c>
    </row>
    <row r="3" spans="1:5" ht="14.25">
      <c r="A3" s="2788" t="s">
        <v>2688</v>
      </c>
      <c r="B3" s="2782" t="e">
        <f ca="1">ROUND(B2*10000/E2,0)</f>
        <v>#DIV/0!</v>
      </c>
      <c r="C3" s="2783" t="s">
        <v>2685</v>
      </c>
      <c r="D3" s="2789"/>
      <c r="E3" s="2793"/>
    </row>
    <row r="4" spans="1:5" ht="14.25">
      <c r="A4" s="2796"/>
      <c r="B4" s="2789"/>
      <c r="C4" s="2789"/>
      <c r="D4" s="2789"/>
      <c r="E4" s="2793"/>
    </row>
    <row r="5" spans="1:5">
      <c r="A5" s="2800" t="s">
        <v>2691</v>
      </c>
      <c r="B5" s="3523" t="s">
        <v>2693</v>
      </c>
      <c r="C5" s="3523"/>
      <c r="D5" s="2799"/>
      <c r="E5" s="2801" t="s">
        <v>2692</v>
      </c>
    </row>
    <row r="6" spans="1:5">
      <c r="A6" s="2797">
        <f>'数据-取费表'!AN6</f>
        <v>0</v>
      </c>
      <c r="B6" s="2791" t="e">
        <f ca="1">'数据-取费表'!AO6</f>
        <v>#REF!</v>
      </c>
      <c r="C6" s="2783" t="s">
        <v>2684</v>
      </c>
      <c r="D6" s="2789"/>
      <c r="E6" s="2792">
        <f>IF(A6=0,0,'数据-取费表'!K6+'数据-取费表'!S6)</f>
        <v>0</v>
      </c>
    </row>
    <row r="7" spans="1:5">
      <c r="A7" s="2797">
        <f>'数据-取费表'!AN7</f>
        <v>0</v>
      </c>
      <c r="B7" s="2791" t="e">
        <f ca="1">'数据-取费表'!AO7</f>
        <v>#REF!</v>
      </c>
      <c r="C7" s="2783" t="s">
        <v>2684</v>
      </c>
      <c r="D7" s="2789"/>
      <c r="E7" s="2792">
        <f>IF(A7=0,0,'数据-取费表'!K7+'数据-取费表'!S7)</f>
        <v>0</v>
      </c>
    </row>
    <row r="8" spans="1:5">
      <c r="A8" s="2797">
        <f>'数据-取费表'!AN8</f>
        <v>0</v>
      </c>
      <c r="B8" s="2791" t="e">
        <f ca="1">'数据-取费表'!AO8</f>
        <v>#REF!</v>
      </c>
      <c r="C8" s="2783" t="s">
        <v>2684</v>
      </c>
      <c r="D8" s="2789"/>
      <c r="E8" s="2792">
        <f>IF(A8=0,0,'数据-取费表'!K8+'数据-取费表'!S8)</f>
        <v>0</v>
      </c>
    </row>
    <row r="9" spans="1:5">
      <c r="A9" s="2797">
        <f>'数据-取费表'!AN9</f>
        <v>0</v>
      </c>
      <c r="B9" s="2791" t="e">
        <f ca="1">'数据-取费表'!AO9</f>
        <v>#REF!</v>
      </c>
      <c r="C9" s="2783" t="s">
        <v>2684</v>
      </c>
      <c r="D9" s="2789"/>
      <c r="E9" s="2792">
        <f>IF(A9=0,0,'数据-取费表'!K9+'数据-取费表'!S9)</f>
        <v>0</v>
      </c>
    </row>
    <row r="10" spans="1:5">
      <c r="A10" s="2797">
        <f>'数据-取费表'!AN10</f>
        <v>0</v>
      </c>
      <c r="B10" s="2791" t="e">
        <f ca="1">'数据-取费表'!AO10</f>
        <v>#REF!</v>
      </c>
      <c r="C10" s="2783" t="s">
        <v>2684</v>
      </c>
      <c r="D10" s="2789"/>
      <c r="E10" s="2792">
        <f>IF(A10=0,0,'数据-取费表'!K10+'数据-取费表'!S10)</f>
        <v>0</v>
      </c>
    </row>
    <row r="11" spans="1:5">
      <c r="A11" s="2797">
        <f>'数据-取费表'!AN11</f>
        <v>0</v>
      </c>
      <c r="B11" s="2791" t="e">
        <f ca="1">'数据-取费表'!AO11</f>
        <v>#REF!</v>
      </c>
      <c r="C11" s="2783" t="s">
        <v>2684</v>
      </c>
      <c r="D11" s="2789"/>
      <c r="E11" s="2792">
        <f>IF(A11=0,0,'数据-取费表'!K11+'数据-取费表'!S11)</f>
        <v>0</v>
      </c>
    </row>
    <row r="12" spans="1:5">
      <c r="A12" s="2797">
        <f>'数据-取费表'!AN12</f>
        <v>0</v>
      </c>
      <c r="B12" s="2791" t="e">
        <f ca="1">'数据-取费表'!AO12</f>
        <v>#REF!</v>
      </c>
      <c r="C12" s="2783" t="s">
        <v>2684</v>
      </c>
      <c r="D12" s="2789"/>
      <c r="E12" s="2792">
        <f>IF(A12=0,0,'数据-取费表'!K12+'数据-取费表'!S12)</f>
        <v>0</v>
      </c>
    </row>
    <row r="13" spans="1:5" ht="14.25" thickBot="1">
      <c r="A13" s="2798">
        <f>'数据-取费表'!AN13</f>
        <v>0</v>
      </c>
      <c r="B13" s="2794" t="e">
        <f ca="1">'数据-取费表'!AO13</f>
        <v>#REF!</v>
      </c>
      <c r="C13" s="2802" t="s">
        <v>2684</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40" t="s">
        <v>2560</v>
      </c>
      <c r="B1" s="3541"/>
      <c r="C1" s="3542"/>
      <c r="D1" s="3543">
        <f>SUM(I10,I15,I20,I21,I23)</f>
        <v>0</v>
      </c>
      <c r="E1" s="3543"/>
      <c r="F1" s="3543"/>
      <c r="G1" s="3543"/>
      <c r="H1" s="3543"/>
      <c r="I1" s="3544"/>
    </row>
    <row r="2" spans="1:9">
      <c r="A2" s="3530" t="s">
        <v>2561</v>
      </c>
      <c r="B2" s="3531" t="s">
        <v>2562</v>
      </c>
      <c r="C2" s="3531"/>
      <c r="D2" s="2640" t="s">
        <v>2563</v>
      </c>
      <c r="E2" s="2640" t="s">
        <v>2564</v>
      </c>
      <c r="F2" s="2640" t="s">
        <v>2565</v>
      </c>
      <c r="G2" s="2640" t="s">
        <v>2566</v>
      </c>
      <c r="H2" s="2640" t="s">
        <v>2567</v>
      </c>
      <c r="I2" s="2641" t="s">
        <v>2568</v>
      </c>
    </row>
    <row r="3" spans="1:9">
      <c r="A3" s="3530"/>
      <c r="B3" s="3531" t="s">
        <v>2569</v>
      </c>
      <c r="C3" s="3531"/>
      <c r="D3" s="2642"/>
      <c r="E3" s="2640"/>
      <c r="F3" s="2643"/>
      <c r="G3" s="2643"/>
      <c r="H3" s="2644"/>
      <c r="I3" s="2645">
        <f>ROUND(D3*E3*F3*G3*H3/10000,0)</f>
        <v>0</v>
      </c>
    </row>
    <row r="4" spans="1:9">
      <c r="A4" s="3530"/>
      <c r="B4" s="3531" t="s">
        <v>2570</v>
      </c>
      <c r="C4" s="3531"/>
      <c r="D4" s="2642"/>
      <c r="E4" s="2640"/>
      <c r="F4" s="2643"/>
      <c r="G4" s="2643"/>
      <c r="H4" s="2644"/>
      <c r="I4" s="2645">
        <f t="shared" ref="I4:I9" si="0">ROUND(D4*E4*F4*G4*H4/10000,0)</f>
        <v>0</v>
      </c>
    </row>
    <row r="5" spans="1:9">
      <c r="A5" s="3530"/>
      <c r="B5" s="3531" t="s">
        <v>2571</v>
      </c>
      <c r="C5" s="3531"/>
      <c r="D5" s="2642"/>
      <c r="E5" s="2640"/>
      <c r="F5" s="2643"/>
      <c r="G5" s="2643"/>
      <c r="H5" s="2644"/>
      <c r="I5" s="2645">
        <f t="shared" si="0"/>
        <v>0</v>
      </c>
    </row>
    <row r="6" spans="1:9">
      <c r="A6" s="3530"/>
      <c r="B6" s="3531" t="s">
        <v>2572</v>
      </c>
      <c r="C6" s="3531"/>
      <c r="D6" s="2642"/>
      <c r="E6" s="2640"/>
      <c r="F6" s="2643"/>
      <c r="G6" s="2643"/>
      <c r="H6" s="2644"/>
      <c r="I6" s="2645">
        <f t="shared" si="0"/>
        <v>0</v>
      </c>
    </row>
    <row r="7" spans="1:9">
      <c r="A7" s="3530"/>
      <c r="B7" s="3531" t="s">
        <v>2573</v>
      </c>
      <c r="C7" s="3531"/>
      <c r="D7" s="2642"/>
      <c r="E7" s="2640"/>
      <c r="F7" s="2643"/>
      <c r="G7" s="2643"/>
      <c r="H7" s="2644"/>
      <c r="I7" s="2645">
        <f t="shared" si="0"/>
        <v>0</v>
      </c>
    </row>
    <row r="8" spans="1:9">
      <c r="A8" s="3530"/>
      <c r="B8" s="3531" t="s">
        <v>2574</v>
      </c>
      <c r="C8" s="3531"/>
      <c r="D8" s="2642"/>
      <c r="E8" s="2640"/>
      <c r="F8" s="2643"/>
      <c r="G8" s="2643"/>
      <c r="H8" s="2644"/>
      <c r="I8" s="2645">
        <f t="shared" si="0"/>
        <v>0</v>
      </c>
    </row>
    <row r="9" spans="1:9">
      <c r="A9" s="3530"/>
      <c r="B9" s="3531" t="s">
        <v>2575</v>
      </c>
      <c r="C9" s="3531"/>
      <c r="D9" s="2642"/>
      <c r="E9" s="2640"/>
      <c r="F9" s="2643"/>
      <c r="G9" s="2643"/>
      <c r="H9" s="2644"/>
      <c r="I9" s="2645">
        <f t="shared" si="0"/>
        <v>0</v>
      </c>
    </row>
    <row r="10" spans="1:9">
      <c r="A10" s="3530"/>
      <c r="B10" s="3532" t="s">
        <v>2576</v>
      </c>
      <c r="C10" s="3532"/>
      <c r="D10" s="2646"/>
      <c r="E10" s="2646" t="e">
        <f>ROUND(D1*10000/D10/H9,0)</f>
        <v>#DIV/0!</v>
      </c>
      <c r="F10" s="2647"/>
      <c r="G10" s="2647"/>
      <c r="H10" s="2648"/>
      <c r="I10" s="2649">
        <f>SUM(I3:I9)</f>
        <v>0</v>
      </c>
    </row>
    <row r="11" spans="1:9" ht="14.25">
      <c r="A11" s="3530" t="s">
        <v>2577</v>
      </c>
      <c r="B11" s="3531" t="s">
        <v>2578</v>
      </c>
      <c r="C11" s="3531"/>
      <c r="D11" s="2642" t="s">
        <v>2579</v>
      </c>
      <c r="E11" s="2642" t="s">
        <v>2580</v>
      </c>
      <c r="F11" s="2643" t="s">
        <v>2581</v>
      </c>
      <c r="G11" s="2643" t="s">
        <v>2567</v>
      </c>
      <c r="H11" s="2650" t="s">
        <v>2582</v>
      </c>
      <c r="I11" s="2641" t="s">
        <v>2568</v>
      </c>
    </row>
    <row r="12" spans="1:9">
      <c r="A12" s="3530"/>
      <c r="B12" s="3531" t="s">
        <v>2583</v>
      </c>
      <c r="C12" s="3531"/>
      <c r="D12" s="2642"/>
      <c r="E12" s="2642"/>
      <c r="F12" s="2643"/>
      <c r="G12" s="2644"/>
      <c r="H12" s="2651"/>
      <c r="I12" s="2641">
        <f>ROUND(D12*E12*F12*G12/10000,0)</f>
        <v>0</v>
      </c>
    </row>
    <row r="13" spans="1:9">
      <c r="A13" s="3530"/>
      <c r="B13" s="3531" t="s">
        <v>2584</v>
      </c>
      <c r="C13" s="3531"/>
      <c r="D13" s="2642"/>
      <c r="E13" s="2642"/>
      <c r="F13" s="2643"/>
      <c r="G13" s="2644"/>
      <c r="H13" s="2651"/>
      <c r="I13" s="2641">
        <f>ROUND(D13*E13*F13*G13/10000,0)</f>
        <v>0</v>
      </c>
    </row>
    <row r="14" spans="1:9">
      <c r="A14" s="3530"/>
      <c r="B14" s="3531" t="s">
        <v>2585</v>
      </c>
      <c r="C14" s="3531"/>
      <c r="D14" s="2642"/>
      <c r="E14" s="2642"/>
      <c r="F14" s="2643"/>
      <c r="G14" s="2644"/>
      <c r="H14" s="2651"/>
      <c r="I14" s="2641">
        <f>ROUND(D14*E14*F14*G14/10000,0)</f>
        <v>0</v>
      </c>
    </row>
    <row r="15" spans="1:9">
      <c r="A15" s="3530"/>
      <c r="B15" s="3532" t="s">
        <v>2576</v>
      </c>
      <c r="C15" s="3532"/>
      <c r="D15" s="2646"/>
      <c r="E15" s="2646">
        <f>SUM(E12:E14)</f>
        <v>0</v>
      </c>
      <c r="F15" s="2647"/>
      <c r="G15" s="2644"/>
      <c r="H15" s="2651"/>
      <c r="I15" s="2652">
        <f>SUM(I12:I14)</f>
        <v>0</v>
      </c>
    </row>
    <row r="16" spans="1:9" ht="24">
      <c r="A16" s="3530" t="s">
        <v>2586</v>
      </c>
      <c r="B16" s="3531" t="s">
        <v>2587</v>
      </c>
      <c r="C16" s="3531"/>
      <c r="D16" s="2642" t="s">
        <v>2563</v>
      </c>
      <c r="E16" s="2653" t="s">
        <v>2588</v>
      </c>
      <c r="F16" s="2643" t="s">
        <v>2589</v>
      </c>
      <c r="G16" s="2644" t="s">
        <v>2567</v>
      </c>
      <c r="H16" s="2650" t="s">
        <v>2582</v>
      </c>
      <c r="I16" s="2641" t="s">
        <v>2568</v>
      </c>
    </row>
    <row r="17" spans="1:9" ht="14.25">
      <c r="A17" s="3530"/>
      <c r="B17" s="3531" t="s">
        <v>2590</v>
      </c>
      <c r="C17" s="3531"/>
      <c r="D17" s="2642"/>
      <c r="E17" s="2642"/>
      <c r="F17" s="2643"/>
      <c r="G17" s="2644"/>
      <c r="H17" s="2654"/>
      <c r="I17" s="2655">
        <f>ROUND(D17*E17*F17*G17/10000,0)</f>
        <v>0</v>
      </c>
    </row>
    <row r="18" spans="1:9" ht="14.25">
      <c r="A18" s="3530"/>
      <c r="B18" s="3531" t="s">
        <v>2591</v>
      </c>
      <c r="C18" s="3531"/>
      <c r="D18" s="2642"/>
      <c r="E18" s="2642"/>
      <c r="F18" s="2643"/>
      <c r="G18" s="2644"/>
      <c r="H18" s="2654"/>
      <c r="I18" s="2655">
        <f>ROUND(D18*E18*F18*G18/10000,0)</f>
        <v>0</v>
      </c>
    </row>
    <row r="19" spans="1:9" ht="14.25">
      <c r="A19" s="3530"/>
      <c r="B19" s="3531" t="s">
        <v>2592</v>
      </c>
      <c r="C19" s="3531"/>
      <c r="D19" s="2642"/>
      <c r="E19" s="2642"/>
      <c r="F19" s="2643"/>
      <c r="G19" s="2644"/>
      <c r="H19" s="2654"/>
      <c r="I19" s="2655">
        <f>ROUND(D19*E19*F19*G19/10000,0)</f>
        <v>0</v>
      </c>
    </row>
    <row r="20" spans="1:9">
      <c r="A20" s="3530"/>
      <c r="B20" s="3532" t="s">
        <v>2576</v>
      </c>
      <c r="C20" s="3532"/>
      <c r="D20" s="2646">
        <f>SUM(D17:D19)</f>
        <v>0</v>
      </c>
      <c r="E20" s="2646"/>
      <c r="F20" s="2647"/>
      <c r="G20" s="2644"/>
      <c r="H20" s="2651"/>
      <c r="I20" s="2652">
        <f>SUM(I17:I19)</f>
        <v>0</v>
      </c>
    </row>
    <row r="21" spans="1:9">
      <c r="A21" s="3530" t="s">
        <v>2593</v>
      </c>
      <c r="B21" s="3533"/>
      <c r="C21" s="3533"/>
      <c r="D21" s="3533"/>
      <c r="E21" s="3533"/>
      <c r="F21" s="3533"/>
      <c r="G21" s="3533"/>
      <c r="H21" s="3305">
        <v>0.1</v>
      </c>
      <c r="I21" s="2649">
        <f>ROUND(I10*H21,0)</f>
        <v>0</v>
      </c>
    </row>
    <row r="22" spans="1:9" ht="14.25">
      <c r="A22" s="3534" t="s">
        <v>2594</v>
      </c>
      <c r="B22" s="3535"/>
      <c r="C22" s="3536"/>
      <c r="D22" s="2656" t="s">
        <v>2595</v>
      </c>
      <c r="E22" s="2656" t="s">
        <v>2596</v>
      </c>
      <c r="F22" s="2657" t="s">
        <v>2597</v>
      </c>
      <c r="G22" s="2657" t="s">
        <v>2598</v>
      </c>
      <c r="H22" s="2650" t="s">
        <v>2599</v>
      </c>
      <c r="I22" s="2641" t="s">
        <v>2600</v>
      </c>
    </row>
    <row r="23" spans="1:9" ht="14.25" thickBot="1">
      <c r="A23" s="3537"/>
      <c r="B23" s="3538"/>
      <c r="C23" s="3539"/>
      <c r="D23" s="2658"/>
      <c r="E23" s="2658"/>
      <c r="F23" s="2658"/>
      <c r="G23" s="2659"/>
      <c r="H23" s="2660"/>
      <c r="I23" s="2661">
        <f>ROUND(E23*D23*F23*(1-G23)/10000,0)</f>
        <v>0</v>
      </c>
    </row>
    <row r="26" spans="1:9">
      <c r="A26" s="2662" t="s">
        <v>2601</v>
      </c>
      <c r="B26" s="2662"/>
      <c r="C26" s="2662"/>
      <c r="D26" s="2662"/>
      <c r="E26" s="3527">
        <f>C27-C30-C31-C32</f>
        <v>0</v>
      </c>
      <c r="F26" s="3527"/>
      <c r="G26" s="3527"/>
      <c r="H26" s="3257" t="s">
        <v>2974</v>
      </c>
    </row>
    <row r="27" spans="1:9">
      <c r="A27" s="2663">
        <v>1</v>
      </c>
      <c r="B27" s="2664" t="s">
        <v>2602</v>
      </c>
      <c r="C27" s="2664">
        <f>C28+C29</f>
        <v>0</v>
      </c>
      <c r="D27" s="2664"/>
      <c r="E27" s="3528"/>
      <c r="F27" s="3528"/>
      <c r="G27" s="3528"/>
    </row>
    <row r="28" spans="1:9">
      <c r="A28" s="2665" t="s">
        <v>2603</v>
      </c>
      <c r="B28" s="2664" t="s">
        <v>2604</v>
      </c>
      <c r="C28" s="2664"/>
      <c r="D28" s="2664"/>
      <c r="E28" s="3528"/>
      <c r="F28" s="3528"/>
      <c r="G28" s="3528"/>
    </row>
    <row r="29" spans="1:9">
      <c r="A29" s="2665" t="s">
        <v>2605</v>
      </c>
      <c r="B29" s="2664" t="s">
        <v>2606</v>
      </c>
      <c r="C29" s="2664"/>
      <c r="D29" s="2664"/>
      <c r="E29" s="2664" t="s">
        <v>2607</v>
      </c>
      <c r="F29" s="2664"/>
      <c r="G29" s="2664"/>
    </row>
    <row r="30" spans="1:9">
      <c r="A30" s="2663">
        <v>2</v>
      </c>
      <c r="B30" s="2664" t="s">
        <v>2608</v>
      </c>
      <c r="C30" s="2664">
        <f>C27*D30</f>
        <v>0</v>
      </c>
      <c r="D30" s="2666">
        <v>0.2</v>
      </c>
      <c r="E30" s="2664" t="s">
        <v>2609</v>
      </c>
      <c r="F30" s="2664"/>
      <c r="G30" s="2664"/>
    </row>
    <row r="31" spans="1:9">
      <c r="A31" s="2663">
        <v>3</v>
      </c>
      <c r="B31" s="2664" t="s">
        <v>2610</v>
      </c>
      <c r="C31" s="2664">
        <f>C25*D31</f>
        <v>0</v>
      </c>
      <c r="D31" s="2666">
        <v>0.15</v>
      </c>
      <c r="E31" s="2664" t="s">
        <v>2611</v>
      </c>
      <c r="F31" s="2664"/>
      <c r="G31" s="2664"/>
    </row>
    <row r="32" spans="1:9">
      <c r="A32" s="2663">
        <v>4</v>
      </c>
      <c r="B32" s="2664" t="s">
        <v>2612</v>
      </c>
      <c r="C32" s="2664">
        <f>C27*D32</f>
        <v>0</v>
      </c>
      <c r="D32" s="2666">
        <v>0.05</v>
      </c>
      <c r="E32" s="3529"/>
      <c r="F32" s="3529"/>
      <c r="G32" s="3529"/>
    </row>
    <row r="33" spans="1:7" hidden="1">
      <c r="A33" s="3524" t="s">
        <v>2613</v>
      </c>
      <c r="B33" s="3525"/>
      <c r="C33" s="3525"/>
      <c r="D33" s="3526"/>
      <c r="E33" s="3527"/>
      <c r="F33" s="3527"/>
      <c r="G33" s="3527"/>
    </row>
    <row r="34" spans="1:7" hidden="1">
      <c r="A34" s="2667">
        <v>1</v>
      </c>
      <c r="B34" s="2664" t="s">
        <v>2614</v>
      </c>
      <c r="C34" s="2664"/>
      <c r="D34" s="2664"/>
      <c r="E34" s="3528"/>
      <c r="F34" s="3528"/>
      <c r="G34" s="3528"/>
    </row>
    <row r="35" spans="1:7" hidden="1">
      <c r="A35" s="2667">
        <v>2</v>
      </c>
      <c r="B35" s="2664" t="s">
        <v>2615</v>
      </c>
      <c r="C35" s="2664"/>
      <c r="D35" s="2664"/>
      <c r="E35" s="3528"/>
      <c r="F35" s="3528"/>
      <c r="G35" s="3528"/>
    </row>
    <row r="36" spans="1:7" hidden="1">
      <c r="A36" s="2667">
        <v>3</v>
      </c>
      <c r="B36" s="2664" t="s">
        <v>2616</v>
      </c>
      <c r="C36" s="2664"/>
      <c r="D36" s="2664"/>
      <c r="E36" s="3528"/>
      <c r="F36" s="3528"/>
      <c r="G36" s="3528"/>
    </row>
    <row r="37" spans="1:7" hidden="1">
      <c r="A37" s="2667">
        <v>4</v>
      </c>
      <c r="B37" s="2664" t="s">
        <v>2617</v>
      </c>
      <c r="C37" s="2664"/>
      <c r="D37" s="2664"/>
      <c r="E37" s="3528"/>
      <c r="F37" s="3528"/>
      <c r="G37" s="3528"/>
    </row>
    <row r="38" spans="1:7" hidden="1">
      <c r="A38" s="3524" t="s">
        <v>2618</v>
      </c>
      <c r="B38" s="3525"/>
      <c r="C38" s="3525"/>
      <c r="D38" s="3526"/>
      <c r="E38" s="3527"/>
      <c r="F38" s="3527"/>
      <c r="G38" s="35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983</v>
      </c>
      <c r="B1" s="3107" t="s">
        <v>984</v>
      </c>
      <c r="C1" s="3108" t="s">
        <v>985</v>
      </c>
      <c r="D1" s="3109"/>
      <c r="E1" s="3110"/>
      <c r="F1" s="3111" t="s">
        <v>2709</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0</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63" t="s">
        <v>991</v>
      </c>
      <c r="D4" s="3564"/>
      <c r="E4" s="3565" t="s">
        <v>992</v>
      </c>
      <c r="F4" s="3566"/>
      <c r="G4" s="3563" t="s">
        <v>993</v>
      </c>
      <c r="H4" s="3564"/>
      <c r="I4" s="3563" t="s">
        <v>994</v>
      </c>
      <c r="J4" s="3564"/>
      <c r="K4" s="145" t="s">
        <v>995</v>
      </c>
      <c r="L4" s="2297"/>
      <c r="M4" s="2298"/>
      <c r="N4" s="2298"/>
      <c r="O4" s="2298"/>
      <c r="P4" s="3567" t="s">
        <v>990</v>
      </c>
      <c r="Q4" s="3568"/>
      <c r="R4" s="3573" t="s">
        <v>992</v>
      </c>
      <c r="S4" s="3574"/>
      <c r="T4" s="3573" t="s">
        <v>993</v>
      </c>
      <c r="U4" s="3574"/>
      <c r="V4" s="3579" t="s">
        <v>994</v>
      </c>
      <c r="W4" s="3579"/>
      <c r="X4" s="1340"/>
      <c r="Y4" s="3573" t="s">
        <v>990</v>
      </c>
      <c r="Z4" s="3574"/>
      <c r="AA4" s="3560" t="s">
        <v>992</v>
      </c>
      <c r="AB4" s="3560" t="s">
        <v>993</v>
      </c>
      <c r="AC4" s="3560" t="s">
        <v>994</v>
      </c>
    </row>
    <row r="5" spans="1:29">
      <c r="A5" s="146"/>
      <c r="B5" s="147"/>
      <c r="C5" s="3582" t="s">
        <v>996</v>
      </c>
      <c r="D5" s="3583"/>
      <c r="E5" s="3589" t="s">
        <v>997</v>
      </c>
      <c r="F5" s="3590"/>
      <c r="G5" s="3582" t="s">
        <v>998</v>
      </c>
      <c r="H5" s="3583"/>
      <c r="I5" s="3582" t="s">
        <v>999</v>
      </c>
      <c r="J5" s="3583"/>
      <c r="K5" s="152"/>
      <c r="L5" s="2297"/>
      <c r="M5" s="2298"/>
      <c r="N5" s="2298"/>
      <c r="O5" s="2298"/>
      <c r="P5" s="3569"/>
      <c r="Q5" s="3570"/>
      <c r="R5" s="3575"/>
      <c r="S5" s="3576"/>
      <c r="T5" s="3575"/>
      <c r="U5" s="3576"/>
      <c r="V5" s="3579"/>
      <c r="W5" s="3579"/>
      <c r="X5" s="1340"/>
      <c r="Y5" s="3575"/>
      <c r="Z5" s="3576"/>
      <c r="AA5" s="3561"/>
      <c r="AB5" s="3561"/>
      <c r="AC5" s="3561"/>
    </row>
    <row r="6" spans="1:29" ht="14.25" thickBot="1">
      <c r="A6" s="148"/>
      <c r="B6" s="149"/>
      <c r="C6" s="3580" t="s">
        <v>1000</v>
      </c>
      <c r="D6" s="3581"/>
      <c r="E6" s="3587" t="s">
        <v>1000</v>
      </c>
      <c r="F6" s="3588"/>
      <c r="G6" s="3580" t="s">
        <v>1000</v>
      </c>
      <c r="H6" s="3581"/>
      <c r="I6" s="3580" t="s">
        <v>1000</v>
      </c>
      <c r="J6" s="3581"/>
      <c r="K6" s="152" t="s">
        <v>1001</v>
      </c>
      <c r="L6" s="2297"/>
      <c r="M6" s="2298"/>
      <c r="N6" s="2298"/>
      <c r="O6" s="2298"/>
      <c r="P6" s="3571"/>
      <c r="Q6" s="3572"/>
      <c r="R6" s="3575"/>
      <c r="S6" s="3576"/>
      <c r="T6" s="3577"/>
      <c r="U6" s="3578"/>
      <c r="V6" s="3579"/>
      <c r="W6" s="3579"/>
      <c r="X6" s="1340"/>
      <c r="Y6" s="3577"/>
      <c r="Z6" s="3578"/>
      <c r="AA6" s="3562"/>
      <c r="AB6" s="3562"/>
      <c r="AC6" s="3562"/>
    </row>
    <row r="7" spans="1:29" s="40" customFormat="1" ht="15" thickBot="1">
      <c r="A7" s="1014" t="s">
        <v>1002</v>
      </c>
      <c r="B7" s="1015"/>
      <c r="C7" s="1016">
        <f>'数据-取费表'!B2</f>
        <v>0</v>
      </c>
      <c r="D7" s="754">
        <v>100</v>
      </c>
      <c r="E7" s="1017"/>
      <c r="F7" s="756">
        <f>SUMIF(58:58,YEAR(E7)&amp;"-"&amp;MONTH(E7),59:59)</f>
        <v>100</v>
      </c>
      <c r="G7" s="1017"/>
      <c r="H7" s="754">
        <f>SUMIF(58:58,YEAR(G7)&amp;"-"&amp;MONTH(G7),59:59)</f>
        <v>100</v>
      </c>
      <c r="I7" s="1017"/>
      <c r="J7" s="754">
        <f>SUMIF(58:58,YEAR(I7)&amp;"-"&amp;MONTH(I7),59:59)</f>
        <v>100</v>
      </c>
      <c r="K7" s="1341"/>
      <c r="L7" s="2299"/>
      <c r="M7" s="2261"/>
      <c r="N7" s="2261"/>
      <c r="O7" s="2261"/>
      <c r="P7" s="3584" t="s">
        <v>1002</v>
      </c>
      <c r="Q7" s="3586"/>
      <c r="R7" s="1342" t="s">
        <v>115</v>
      </c>
      <c r="S7" s="1343">
        <f t="shared" ref="S7:S15" si="0">F7</f>
        <v>100</v>
      </c>
      <c r="T7" s="1342" t="s">
        <v>115</v>
      </c>
      <c r="U7" s="1343">
        <f t="shared" ref="U7:U15" si="1">H7</f>
        <v>100</v>
      </c>
      <c r="V7" s="1342" t="s">
        <v>115</v>
      </c>
      <c r="W7" s="1343">
        <f t="shared" ref="W7:W15" si="2">J7</f>
        <v>100</v>
      </c>
      <c r="X7" s="287"/>
      <c r="Y7" s="3584" t="s">
        <v>1002</v>
      </c>
      <c r="Z7" s="3585"/>
      <c r="AA7" s="1344">
        <f>D7/F7</f>
        <v>1</v>
      </c>
      <c r="AB7" s="1344">
        <f>D7/H7</f>
        <v>1</v>
      </c>
      <c r="AC7" s="1344">
        <f>D7/J7</f>
        <v>1</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84" t="s">
        <v>1003</v>
      </c>
      <c r="Q8" s="3585"/>
      <c r="R8" s="1342" t="s">
        <v>115</v>
      </c>
      <c r="S8" s="1343">
        <f t="shared" si="0"/>
        <v>0</v>
      </c>
      <c r="T8" s="1342" t="s">
        <v>115</v>
      </c>
      <c r="U8" s="1343">
        <f t="shared" si="1"/>
        <v>0</v>
      </c>
      <c r="V8" s="1342" t="s">
        <v>115</v>
      </c>
      <c r="W8" s="1343">
        <f t="shared" si="2"/>
        <v>0</v>
      </c>
      <c r="X8" s="287"/>
      <c r="Y8" s="3584" t="s">
        <v>1003</v>
      </c>
      <c r="Z8" s="3585"/>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59" t="s">
        <v>67</v>
      </c>
      <c r="Q9" s="7" t="str">
        <f t="shared" ref="Q9:Q15" si="6">B9</f>
        <v>用途</v>
      </c>
      <c r="R9" s="1342" t="s">
        <v>65</v>
      </c>
      <c r="S9" s="1343">
        <f t="shared" si="0"/>
        <v>100</v>
      </c>
      <c r="T9" s="1342" t="s">
        <v>65</v>
      </c>
      <c r="U9" s="1343">
        <f t="shared" si="1"/>
        <v>100</v>
      </c>
      <c r="V9" s="1342" t="s">
        <v>65</v>
      </c>
      <c r="W9" s="1343">
        <f t="shared" si="2"/>
        <v>100</v>
      </c>
      <c r="X9" s="287"/>
      <c r="Y9" s="336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59"/>
      <c r="Q10" s="7" t="str">
        <f t="shared" si="6"/>
        <v>土地使用年限（年）</v>
      </c>
      <c r="R10" s="1342" t="s">
        <v>65</v>
      </c>
      <c r="S10" s="1343">
        <f t="shared" si="0"/>
        <v>100</v>
      </c>
      <c r="T10" s="1342" t="s">
        <v>65</v>
      </c>
      <c r="U10" s="1343">
        <f t="shared" si="1"/>
        <v>100</v>
      </c>
      <c r="V10" s="1342" t="s">
        <v>65</v>
      </c>
      <c r="W10" s="1343">
        <f t="shared" si="2"/>
        <v>100</v>
      </c>
      <c r="X10" s="287"/>
      <c r="Y10" s="336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59"/>
      <c r="Q11" s="7" t="str">
        <f t="shared" si="6"/>
        <v>容积率</v>
      </c>
      <c r="R11" s="1342" t="s">
        <v>104</v>
      </c>
      <c r="S11" s="1343" t="e">
        <f t="shared" si="0"/>
        <v>#N/A</v>
      </c>
      <c r="T11" s="1342" t="s">
        <v>104</v>
      </c>
      <c r="U11" s="1343" t="e">
        <f t="shared" si="1"/>
        <v>#N/A</v>
      </c>
      <c r="V11" s="1342" t="s">
        <v>104</v>
      </c>
      <c r="W11" s="1343" t="e">
        <f t="shared" si="2"/>
        <v>#N/A</v>
      </c>
      <c r="X11" s="287"/>
      <c r="Y11" s="336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59"/>
      <c r="Q12" s="7">
        <f t="shared" si="6"/>
        <v>111</v>
      </c>
      <c r="R12" s="1342" t="s">
        <v>104</v>
      </c>
      <c r="S12" s="1343">
        <f t="shared" si="0"/>
        <v>100</v>
      </c>
      <c r="T12" s="1342" t="s">
        <v>104</v>
      </c>
      <c r="U12" s="1343">
        <f t="shared" si="1"/>
        <v>100</v>
      </c>
      <c r="V12" s="1342" t="s">
        <v>104</v>
      </c>
      <c r="W12" s="1343">
        <f t="shared" si="2"/>
        <v>100</v>
      </c>
      <c r="X12" s="287"/>
      <c r="Y12" s="336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59"/>
      <c r="Q13" s="7">
        <f t="shared" si="6"/>
        <v>111</v>
      </c>
      <c r="R13" s="1342" t="s">
        <v>104</v>
      </c>
      <c r="S13" s="1343">
        <f t="shared" si="0"/>
        <v>100</v>
      </c>
      <c r="T13" s="1342" t="s">
        <v>104</v>
      </c>
      <c r="U13" s="1343">
        <f t="shared" si="1"/>
        <v>100</v>
      </c>
      <c r="V13" s="1342" t="s">
        <v>104</v>
      </c>
      <c r="W13" s="1343">
        <f t="shared" si="2"/>
        <v>100</v>
      </c>
      <c r="X13" s="287"/>
      <c r="Y13" s="3367"/>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59"/>
      <c r="Q14" s="7">
        <f t="shared" si="6"/>
        <v>111</v>
      </c>
      <c r="R14" s="1342" t="s">
        <v>104</v>
      </c>
      <c r="S14" s="1343">
        <f t="shared" si="0"/>
        <v>100</v>
      </c>
      <c r="T14" s="1342" t="s">
        <v>104</v>
      </c>
      <c r="U14" s="1343">
        <f t="shared" si="1"/>
        <v>100</v>
      </c>
      <c r="V14" s="1342" t="s">
        <v>104</v>
      </c>
      <c r="W14" s="1343">
        <f t="shared" si="2"/>
        <v>100</v>
      </c>
      <c r="X14" s="287"/>
      <c r="Y14" s="3367"/>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557" t="s">
        <v>69</v>
      </c>
      <c r="Q15" s="1351" t="str">
        <f t="shared" si="6"/>
        <v>居住社区成熟度</v>
      </c>
      <c r="R15" s="1352" t="s">
        <v>104</v>
      </c>
      <c r="S15" s="1353">
        <f t="shared" si="0"/>
        <v>100</v>
      </c>
      <c r="T15" s="1352" t="s">
        <v>104</v>
      </c>
      <c r="U15" s="1353">
        <f t="shared" si="1"/>
        <v>100</v>
      </c>
      <c r="V15" s="1352" t="s">
        <v>104</v>
      </c>
      <c r="W15" s="1353">
        <f t="shared" si="2"/>
        <v>100</v>
      </c>
      <c r="X15" s="1340"/>
      <c r="Y15" s="355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558"/>
      <c r="Q16" s="1351"/>
      <c r="R16" s="1352"/>
      <c r="S16" s="1353"/>
      <c r="T16" s="1352"/>
      <c r="U16" s="1353"/>
      <c r="V16" s="1352"/>
      <c r="W16" s="1353"/>
      <c r="X16" s="1340"/>
      <c r="Y16" s="355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558"/>
      <c r="Q17" s="1351" t="str">
        <f>B17</f>
        <v>交通便捷度</v>
      </c>
      <c r="R17" s="1352" t="s">
        <v>104</v>
      </c>
      <c r="S17" s="1353">
        <f>F17</f>
        <v>100</v>
      </c>
      <c r="T17" s="1352" t="s">
        <v>104</v>
      </c>
      <c r="U17" s="1353">
        <f>H17</f>
        <v>100</v>
      </c>
      <c r="V17" s="1352" t="s">
        <v>104</v>
      </c>
      <c r="W17" s="1353">
        <f>J17</f>
        <v>100</v>
      </c>
      <c r="X17" s="1340"/>
      <c r="Y17" s="355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558"/>
      <c r="Q18" s="1351"/>
      <c r="R18" s="1352"/>
      <c r="S18" s="1353"/>
      <c r="T18" s="1352"/>
      <c r="U18" s="1353"/>
      <c r="V18" s="1352"/>
      <c r="W18" s="1353"/>
      <c r="X18" s="1340"/>
      <c r="Y18" s="3551"/>
      <c r="Z18" s="1354"/>
      <c r="AA18" s="1355">
        <v>1</v>
      </c>
      <c r="AB18" s="1355">
        <v>1</v>
      </c>
      <c r="AC18" s="1355">
        <v>1</v>
      </c>
    </row>
    <row r="19" spans="1:29" ht="40.5">
      <c r="A19" s="151"/>
      <c r="B19" s="1356" t="s">
        <v>2645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558"/>
      <c r="Q19" s="1351" t="str">
        <f>B19</f>
        <v>公共配套设施</v>
      </c>
      <c r="R19" s="1352" t="s">
        <v>104</v>
      </c>
      <c r="S19" s="1353">
        <f>F19</f>
        <v>100</v>
      </c>
      <c r="T19" s="1352" t="s">
        <v>104</v>
      </c>
      <c r="U19" s="1353">
        <f>H19</f>
        <v>100</v>
      </c>
      <c r="V19" s="1352" t="s">
        <v>104</v>
      </c>
      <c r="W19" s="1353">
        <f>J19</f>
        <v>100</v>
      </c>
      <c r="X19" s="1340"/>
      <c r="Y19" s="355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558"/>
      <c r="Q20" s="1351"/>
      <c r="R20" s="1352"/>
      <c r="S20" s="1353"/>
      <c r="T20" s="1352"/>
      <c r="U20" s="1353"/>
      <c r="V20" s="1352"/>
      <c r="W20" s="1353"/>
      <c r="X20" s="1340"/>
      <c r="Y20" s="3551"/>
      <c r="Z20" s="1354"/>
      <c r="AA20" s="1355">
        <v>1</v>
      </c>
      <c r="AB20" s="1355">
        <v>1</v>
      </c>
      <c r="AC20" s="1355">
        <v>1</v>
      </c>
    </row>
    <row r="21" spans="1:29" ht="27">
      <c r="A21" s="151"/>
      <c r="B21" s="1412" t="s">
        <v>2656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558"/>
      <c r="Q21" s="2748" t="str">
        <f>B21</f>
        <v>基础设施水平</v>
      </c>
      <c r="R21" s="1352" t="s">
        <v>65</v>
      </c>
      <c r="S21" s="1353">
        <f>F21</f>
        <v>100</v>
      </c>
      <c r="T21" s="1352" t="s">
        <v>65</v>
      </c>
      <c r="U21" s="1353">
        <f>H21</f>
        <v>100</v>
      </c>
      <c r="V21" s="1352" t="s">
        <v>65</v>
      </c>
      <c r="W21" s="1353">
        <f>J21</f>
        <v>100</v>
      </c>
      <c r="X21" s="2750"/>
      <c r="Y21" s="355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558"/>
      <c r="Q22" s="2748"/>
      <c r="R22" s="1352"/>
      <c r="S22" s="1353"/>
      <c r="T22" s="1352"/>
      <c r="U22" s="1353"/>
      <c r="V22" s="1352"/>
      <c r="W22" s="1353"/>
      <c r="X22" s="2750"/>
      <c r="Y22" s="3551"/>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558"/>
      <c r="Q23" s="1351" t="str">
        <f>B23</f>
        <v>自然及人文环境</v>
      </c>
      <c r="R23" s="1352" t="s">
        <v>104</v>
      </c>
      <c r="S23" s="1353">
        <f>F23</f>
        <v>100</v>
      </c>
      <c r="T23" s="1352" t="s">
        <v>104</v>
      </c>
      <c r="U23" s="1353">
        <f>H23</f>
        <v>100</v>
      </c>
      <c r="V23" s="1352" t="s">
        <v>104</v>
      </c>
      <c r="W23" s="1353">
        <f>J23</f>
        <v>100</v>
      </c>
      <c r="X23" s="1340"/>
      <c r="Y23" s="355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558"/>
      <c r="Q24" s="1351"/>
      <c r="R24" s="1352"/>
      <c r="S24" s="1353"/>
      <c r="T24" s="1352"/>
      <c r="U24" s="1353"/>
      <c r="V24" s="1352"/>
      <c r="W24" s="1353"/>
      <c r="X24" s="1340"/>
      <c r="Y24" s="3551"/>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55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5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558"/>
      <c r="Q26" s="1351" t="str">
        <f t="shared" si="11"/>
        <v>朝向</v>
      </c>
      <c r="R26" s="1352" t="s">
        <v>104</v>
      </c>
      <c r="S26" s="1353">
        <f t="shared" si="12"/>
        <v>100</v>
      </c>
      <c r="T26" s="1352" t="s">
        <v>104</v>
      </c>
      <c r="U26" s="1353">
        <f t="shared" si="13"/>
        <v>100</v>
      </c>
      <c r="V26" s="1352" t="s">
        <v>104</v>
      </c>
      <c r="W26" s="1353">
        <f t="shared" si="14"/>
        <v>100</v>
      </c>
      <c r="X26" s="1340"/>
      <c r="Y26" s="355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558"/>
      <c r="Q27" s="7">
        <f t="shared" si="11"/>
        <v>111</v>
      </c>
      <c r="R27" s="1342" t="s">
        <v>104</v>
      </c>
      <c r="S27" s="1343">
        <f t="shared" si="12"/>
        <v>100</v>
      </c>
      <c r="T27" s="1342" t="s">
        <v>104</v>
      </c>
      <c r="U27" s="1343">
        <f t="shared" si="13"/>
        <v>100</v>
      </c>
      <c r="V27" s="1342" t="s">
        <v>104</v>
      </c>
      <c r="W27" s="1343">
        <f t="shared" si="14"/>
        <v>100</v>
      </c>
      <c r="X27" s="287"/>
      <c r="Y27" s="355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558"/>
      <c r="Q28" s="1351">
        <f t="shared" si="11"/>
        <v>111</v>
      </c>
      <c r="R28" s="1352" t="s">
        <v>104</v>
      </c>
      <c r="S28" s="1353">
        <f t="shared" si="12"/>
        <v>100</v>
      </c>
      <c r="T28" s="1352" t="s">
        <v>104</v>
      </c>
      <c r="U28" s="1353">
        <f t="shared" si="13"/>
        <v>100</v>
      </c>
      <c r="V28" s="1352" t="s">
        <v>104</v>
      </c>
      <c r="W28" s="1353">
        <f t="shared" si="14"/>
        <v>100</v>
      </c>
      <c r="X28" s="1340"/>
      <c r="Y28" s="355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558"/>
      <c r="Q29" s="1351">
        <f t="shared" si="11"/>
        <v>111</v>
      </c>
      <c r="R29" s="1352" t="s">
        <v>104</v>
      </c>
      <c r="S29" s="1353">
        <f t="shared" si="12"/>
        <v>100</v>
      </c>
      <c r="T29" s="1352" t="s">
        <v>104</v>
      </c>
      <c r="U29" s="1353">
        <f t="shared" si="13"/>
        <v>100</v>
      </c>
      <c r="V29" s="1352" t="s">
        <v>104</v>
      </c>
      <c r="W29" s="1353">
        <f t="shared" si="14"/>
        <v>100</v>
      </c>
      <c r="X29" s="1340"/>
      <c r="Y29" s="355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558"/>
      <c r="Q30" s="1351">
        <f t="shared" si="11"/>
        <v>111</v>
      </c>
      <c r="R30" s="1352" t="s">
        <v>104</v>
      </c>
      <c r="S30" s="1353">
        <f t="shared" si="12"/>
        <v>100</v>
      </c>
      <c r="T30" s="1352" t="s">
        <v>104</v>
      </c>
      <c r="U30" s="1353">
        <f t="shared" si="13"/>
        <v>100</v>
      </c>
      <c r="V30" s="1352" t="s">
        <v>104</v>
      </c>
      <c r="W30" s="1353">
        <f t="shared" si="14"/>
        <v>100</v>
      </c>
      <c r="X30" s="1340"/>
      <c r="Y30" s="355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558"/>
      <c r="Q31" s="1351">
        <f t="shared" si="11"/>
        <v>111</v>
      </c>
      <c r="R31" s="1352" t="s">
        <v>104</v>
      </c>
      <c r="S31" s="1353">
        <f t="shared" si="12"/>
        <v>100</v>
      </c>
      <c r="T31" s="1352" t="s">
        <v>104</v>
      </c>
      <c r="U31" s="1353">
        <f t="shared" si="13"/>
        <v>100</v>
      </c>
      <c r="V31" s="1352" t="s">
        <v>104</v>
      </c>
      <c r="W31" s="1353">
        <f t="shared" si="14"/>
        <v>100</v>
      </c>
      <c r="X31" s="1340"/>
      <c r="Y31" s="3551"/>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52" t="s">
        <v>70</v>
      </c>
      <c r="Q32" s="1351" t="str">
        <f t="shared" si="11"/>
        <v>建筑类型</v>
      </c>
      <c r="R32" s="1352" t="s">
        <v>104</v>
      </c>
      <c r="S32" s="1353">
        <f t="shared" si="12"/>
        <v>100</v>
      </c>
      <c r="T32" s="1352" t="s">
        <v>104</v>
      </c>
      <c r="U32" s="1353">
        <f t="shared" si="13"/>
        <v>100</v>
      </c>
      <c r="V32" s="1352" t="s">
        <v>104</v>
      </c>
      <c r="W32" s="1353">
        <f t="shared" si="14"/>
        <v>100</v>
      </c>
      <c r="X32" s="1340"/>
      <c r="Y32" s="355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53"/>
      <c r="Q33" s="1359" t="str">
        <f t="shared" si="11"/>
        <v>项目建筑规模</v>
      </c>
      <c r="R33" s="1360" t="s">
        <v>104</v>
      </c>
      <c r="S33" s="1361" t="e">
        <f t="shared" si="12"/>
        <v>#N/A</v>
      </c>
      <c r="T33" s="1360" t="s">
        <v>104</v>
      </c>
      <c r="U33" s="1361" t="e">
        <f t="shared" si="13"/>
        <v>#N/A</v>
      </c>
      <c r="V33" s="1360" t="s">
        <v>104</v>
      </c>
      <c r="W33" s="1361" t="e">
        <f t="shared" si="14"/>
        <v>#N/A</v>
      </c>
      <c r="X33" s="1362"/>
      <c r="Y33" s="355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53"/>
      <c r="Q34" s="1351" t="str">
        <f t="shared" si="11"/>
        <v>建筑结构</v>
      </c>
      <c r="R34" s="1352" t="s">
        <v>104</v>
      </c>
      <c r="S34" s="1353">
        <f t="shared" si="12"/>
        <v>100</v>
      </c>
      <c r="T34" s="1352" t="s">
        <v>104</v>
      </c>
      <c r="U34" s="1353">
        <f t="shared" si="13"/>
        <v>100</v>
      </c>
      <c r="V34" s="1352" t="s">
        <v>104</v>
      </c>
      <c r="W34" s="1353">
        <f t="shared" si="14"/>
        <v>100</v>
      </c>
      <c r="X34" s="1340"/>
      <c r="Y34" s="355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53"/>
      <c r="Q35" s="1351" t="str">
        <f t="shared" si="11"/>
        <v>建筑品质</v>
      </c>
      <c r="R35" s="1352" t="s">
        <v>104</v>
      </c>
      <c r="S35" s="1353">
        <f t="shared" si="12"/>
        <v>100</v>
      </c>
      <c r="T35" s="1352" t="s">
        <v>104</v>
      </c>
      <c r="U35" s="1353">
        <f t="shared" si="13"/>
        <v>100</v>
      </c>
      <c r="V35" s="1352" t="s">
        <v>104</v>
      </c>
      <c r="W35" s="1353">
        <f t="shared" si="14"/>
        <v>100</v>
      </c>
      <c r="X35" s="1340"/>
      <c r="Y35" s="355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53"/>
      <c r="Q36" s="1351" t="str">
        <f t="shared" si="11"/>
        <v>公共部分装修</v>
      </c>
      <c r="R36" s="1352" t="s">
        <v>104</v>
      </c>
      <c r="S36" s="1353">
        <f t="shared" si="12"/>
        <v>100</v>
      </c>
      <c r="T36" s="1352" t="s">
        <v>104</v>
      </c>
      <c r="U36" s="1353">
        <f t="shared" si="13"/>
        <v>100</v>
      </c>
      <c r="V36" s="1352" t="s">
        <v>104</v>
      </c>
      <c r="W36" s="1353">
        <f t="shared" si="14"/>
        <v>100</v>
      </c>
      <c r="X36" s="1340"/>
      <c r="Y36" s="355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53"/>
      <c r="Q37" s="7" t="str">
        <f t="shared" si="11"/>
        <v>成新度</v>
      </c>
      <c r="R37" s="1342" t="s">
        <v>104</v>
      </c>
      <c r="S37" s="1343" t="e">
        <f t="shared" si="12"/>
        <v>#N/A</v>
      </c>
      <c r="T37" s="1342" t="s">
        <v>104</v>
      </c>
      <c r="U37" s="1343" t="e">
        <f t="shared" si="13"/>
        <v>#N/A</v>
      </c>
      <c r="V37" s="1342" t="s">
        <v>104</v>
      </c>
      <c r="W37" s="1343" t="e">
        <f t="shared" si="14"/>
        <v>#N/A</v>
      </c>
      <c r="X37" s="287"/>
      <c r="Y37" s="355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53" t="s">
        <v>70</v>
      </c>
      <c r="Q38" s="1351" t="str">
        <f t="shared" si="11"/>
        <v>物业管理</v>
      </c>
      <c r="R38" s="1352" t="s">
        <v>104</v>
      </c>
      <c r="S38" s="1353">
        <f t="shared" si="12"/>
        <v>100</v>
      </c>
      <c r="T38" s="1352" t="s">
        <v>104</v>
      </c>
      <c r="U38" s="1353">
        <f t="shared" si="13"/>
        <v>100</v>
      </c>
      <c r="V38" s="1352" t="s">
        <v>104</v>
      </c>
      <c r="W38" s="1353">
        <f t="shared" si="14"/>
        <v>100</v>
      </c>
      <c r="X38" s="1340"/>
      <c r="Y38" s="3555" t="s">
        <v>70</v>
      </c>
      <c r="Z38" s="1354" t="str">
        <f t="shared" si="18"/>
        <v>物业管理</v>
      </c>
      <c r="AA38" s="1355">
        <f t="shared" si="15"/>
        <v>1</v>
      </c>
      <c r="AB38" s="1355">
        <f t="shared" si="16"/>
        <v>1</v>
      </c>
      <c r="AC38" s="1355">
        <f t="shared" si="17"/>
        <v>1</v>
      </c>
    </row>
    <row r="39" spans="1:29" ht="15">
      <c r="A39" s="161"/>
      <c r="B39" s="12" t="s">
        <v>2657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53"/>
      <c r="Q39" s="1351" t="str">
        <f t="shared" si="11"/>
        <v>市政基础设施</v>
      </c>
      <c r="R39" s="1352" t="s">
        <v>104</v>
      </c>
      <c r="S39" s="1353">
        <f t="shared" si="12"/>
        <v>100</v>
      </c>
      <c r="T39" s="1352" t="s">
        <v>104</v>
      </c>
      <c r="U39" s="1353">
        <f t="shared" si="13"/>
        <v>100</v>
      </c>
      <c r="V39" s="1352" t="s">
        <v>104</v>
      </c>
      <c r="W39" s="1353">
        <f t="shared" si="14"/>
        <v>100</v>
      </c>
      <c r="X39" s="1340"/>
      <c r="Y39" s="355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53"/>
      <c r="Q40" s="1351" t="str">
        <f t="shared" si="11"/>
        <v>房型</v>
      </c>
      <c r="R40" s="1352" t="s">
        <v>104</v>
      </c>
      <c r="S40" s="1353">
        <f t="shared" si="12"/>
        <v>100</v>
      </c>
      <c r="T40" s="1352" t="s">
        <v>104</v>
      </c>
      <c r="U40" s="1353">
        <f t="shared" si="13"/>
        <v>100</v>
      </c>
      <c r="V40" s="1352" t="s">
        <v>104</v>
      </c>
      <c r="W40" s="1353">
        <f t="shared" si="14"/>
        <v>100</v>
      </c>
      <c r="X40" s="1340"/>
      <c r="Y40" s="355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53"/>
      <c r="Q41" s="1359" t="str">
        <f t="shared" si="11"/>
        <v>单套/主力户型建筑面积</v>
      </c>
      <c r="R41" s="1360" t="s">
        <v>104</v>
      </c>
      <c r="S41" s="1361">
        <f t="shared" si="12"/>
        <v>100</v>
      </c>
      <c r="T41" s="1360" t="s">
        <v>104</v>
      </c>
      <c r="U41" s="1361">
        <f t="shared" si="13"/>
        <v>100</v>
      </c>
      <c r="V41" s="1360" t="s">
        <v>104</v>
      </c>
      <c r="W41" s="1361">
        <f t="shared" si="14"/>
        <v>100</v>
      </c>
      <c r="X41" s="1362"/>
      <c r="Y41" s="355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53"/>
      <c r="Q42" s="1351" t="str">
        <f t="shared" si="11"/>
        <v>内部装修</v>
      </c>
      <c r="R42" s="1352" t="s">
        <v>104</v>
      </c>
      <c r="S42" s="1353">
        <f t="shared" si="12"/>
        <v>100</v>
      </c>
      <c r="T42" s="1352" t="s">
        <v>104</v>
      </c>
      <c r="U42" s="1353">
        <f t="shared" si="13"/>
        <v>100</v>
      </c>
      <c r="V42" s="1352" t="s">
        <v>104</v>
      </c>
      <c r="W42" s="1353">
        <f t="shared" si="14"/>
        <v>100</v>
      </c>
      <c r="X42" s="1340"/>
      <c r="Y42" s="355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53"/>
      <c r="Q43" s="1351" t="str">
        <f t="shared" si="11"/>
        <v>内部装修维护情况</v>
      </c>
      <c r="R43" s="1352" t="s">
        <v>104</v>
      </c>
      <c r="S43" s="1353">
        <f t="shared" si="12"/>
        <v>100</v>
      </c>
      <c r="T43" s="1352" t="s">
        <v>104</v>
      </c>
      <c r="U43" s="1353">
        <f t="shared" si="13"/>
        <v>100</v>
      </c>
      <c r="V43" s="1352" t="s">
        <v>104</v>
      </c>
      <c r="W43" s="1353">
        <f t="shared" si="14"/>
        <v>100</v>
      </c>
      <c r="X43" s="1340"/>
      <c r="Y43" s="355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53"/>
      <c r="Q44" s="7">
        <f t="shared" si="11"/>
        <v>111</v>
      </c>
      <c r="R44" s="1342" t="s">
        <v>104</v>
      </c>
      <c r="S44" s="1343">
        <f t="shared" si="12"/>
        <v>100</v>
      </c>
      <c r="T44" s="1342" t="s">
        <v>104</v>
      </c>
      <c r="U44" s="1343">
        <f t="shared" si="13"/>
        <v>100</v>
      </c>
      <c r="V44" s="1342" t="s">
        <v>104</v>
      </c>
      <c r="W44" s="1343">
        <f t="shared" si="14"/>
        <v>100</v>
      </c>
      <c r="X44" s="287"/>
      <c r="Y44" s="355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53"/>
      <c r="Q45" s="1351">
        <f t="shared" si="11"/>
        <v>111</v>
      </c>
      <c r="R45" s="1352" t="s">
        <v>104</v>
      </c>
      <c r="S45" s="1353">
        <f t="shared" si="12"/>
        <v>100</v>
      </c>
      <c r="T45" s="1352" t="s">
        <v>104</v>
      </c>
      <c r="U45" s="1353">
        <f t="shared" si="13"/>
        <v>100</v>
      </c>
      <c r="V45" s="1352" t="s">
        <v>104</v>
      </c>
      <c r="W45" s="1353">
        <f t="shared" si="14"/>
        <v>100</v>
      </c>
      <c r="X45" s="1340"/>
      <c r="Y45" s="355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54"/>
      <c r="Q46" s="1351">
        <f t="shared" si="11"/>
        <v>111</v>
      </c>
      <c r="R46" s="1352" t="s">
        <v>103</v>
      </c>
      <c r="S46" s="1353">
        <f t="shared" si="12"/>
        <v>100</v>
      </c>
      <c r="T46" s="1352" t="s">
        <v>103</v>
      </c>
      <c r="U46" s="1353">
        <f t="shared" si="13"/>
        <v>100</v>
      </c>
      <c r="V46" s="1352" t="s">
        <v>103</v>
      </c>
      <c r="W46" s="1353">
        <f t="shared" si="14"/>
        <v>100</v>
      </c>
      <c r="X46" s="1340"/>
      <c r="Y46" s="3556"/>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548" t="str">
        <f>A47</f>
        <v>成交单价（元/平方米）</v>
      </c>
      <c r="Q47" s="3548"/>
      <c r="R47" s="3549">
        <f>E47</f>
        <v>0</v>
      </c>
      <c r="S47" s="3549"/>
      <c r="T47" s="3549">
        <f>G47</f>
        <v>0</v>
      </c>
      <c r="U47" s="3549"/>
      <c r="V47" s="3549">
        <f>I47</f>
        <v>0</v>
      </c>
      <c r="W47" s="3549"/>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1365"/>
      <c r="Y48" s="1365"/>
      <c r="Z48" s="1365"/>
      <c r="AA48" s="1365"/>
      <c r="AB48" s="1365"/>
      <c r="AC48" s="1365"/>
    </row>
    <row r="49" spans="1:29" ht="15.75" thickBot="1">
      <c r="A49" s="115" t="s">
        <v>3032</v>
      </c>
      <c r="B49" s="116"/>
      <c r="C49" s="2847" t="e">
        <f>R49</f>
        <v>#DIV/0!</v>
      </c>
      <c r="D49" s="2848"/>
      <c r="E49" s="2848"/>
      <c r="F49" s="2848"/>
      <c r="G49" s="2848"/>
      <c r="H49" s="2848"/>
      <c r="I49" s="2848"/>
      <c r="J49" s="2848"/>
      <c r="K49" s="1368"/>
      <c r="L49" s="2305"/>
      <c r="M49" s="2306"/>
      <c r="N49" s="2306"/>
      <c r="O49" s="2306"/>
      <c r="P49" s="3545" t="str">
        <f>A49</f>
        <v>估价对象XX用房的比较价值（楼面单价，元/平方米）</v>
      </c>
      <c r="Q49" s="3546"/>
      <c r="R49" s="3547" t="e">
        <f>IF(F1="售价",ROUND(AVERAGE(R48:V48),0),ROUND(AVERAGE(R48:V48),1))</f>
        <v>#DIV/0!</v>
      </c>
      <c r="S49" s="3547"/>
      <c r="T49" s="3547"/>
      <c r="U49" s="3547"/>
      <c r="V49" s="3547"/>
      <c r="W49" s="354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2810</v>
      </c>
      <c r="B58" s="849"/>
      <c r="C58" s="3049" t="str">
        <f>YEAR(C7)&amp;"-"&amp;MONTH(C7)</f>
        <v>1900-1</v>
      </c>
      <c r="D58" s="3048" t="e">
        <f>EDATE(C58,-1)</f>
        <v>#NUM!</v>
      </c>
      <c r="E58" s="3048" t="e">
        <f>EDATE(D58,-1)</f>
        <v>#NUM!</v>
      </c>
      <c r="F58" s="3048" t="e">
        <f t="shared" ref="F58:O58" si="19">EDATE(E58,-1)</f>
        <v>#NUM!</v>
      </c>
      <c r="G58" s="3048" t="e">
        <f t="shared" si="19"/>
        <v>#NUM!</v>
      </c>
      <c r="H58" s="3048" t="e">
        <f t="shared" si="19"/>
        <v>#NUM!</v>
      </c>
      <c r="I58" s="3048" t="e">
        <f t="shared" si="19"/>
        <v>#NUM!</v>
      </c>
      <c r="J58" s="3048" t="e">
        <f t="shared" si="19"/>
        <v>#NUM!</v>
      </c>
      <c r="K58" s="3048" t="e">
        <f t="shared" si="19"/>
        <v>#NUM!</v>
      </c>
      <c r="L58" s="3048" t="e">
        <f t="shared" si="19"/>
        <v>#NUM!</v>
      </c>
      <c r="M58" s="3048" t="e">
        <f t="shared" si="19"/>
        <v>#NUM!</v>
      </c>
      <c r="N58" s="3048" t="e">
        <f t="shared" si="19"/>
        <v>#NUM!</v>
      </c>
      <c r="O58" s="3048" t="e">
        <f t="shared" si="19"/>
        <v>#NUM!</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177" t="s">
        <v>2660</v>
      </c>
      <c r="D82" s="177" t="s">
        <v>2664</v>
      </c>
      <c r="E82" s="177" t="s">
        <v>2661</v>
      </c>
      <c r="F82" s="177" t="s">
        <v>2662</v>
      </c>
      <c r="G82" s="177" t="s">
        <v>2663</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0</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63" t="s">
        <v>54</v>
      </c>
      <c r="D4" s="3564"/>
      <c r="E4" s="3565" t="s">
        <v>55</v>
      </c>
      <c r="F4" s="3566"/>
      <c r="G4" s="3563" t="s">
        <v>56</v>
      </c>
      <c r="H4" s="3564"/>
      <c r="I4" s="3563" t="s">
        <v>57</v>
      </c>
      <c r="J4" s="3564"/>
      <c r="K4" s="187" t="s">
        <v>58</v>
      </c>
      <c r="L4" s="2297"/>
      <c r="M4" s="2298"/>
      <c r="N4" s="2298"/>
      <c r="O4" s="2298"/>
      <c r="P4" s="3567" t="s">
        <v>53</v>
      </c>
      <c r="Q4" s="3568"/>
      <c r="R4" s="3573" t="s">
        <v>55</v>
      </c>
      <c r="S4" s="3574"/>
      <c r="T4" s="3573" t="s">
        <v>56</v>
      </c>
      <c r="U4" s="3574"/>
      <c r="V4" s="3579" t="s">
        <v>57</v>
      </c>
      <c r="W4" s="3579"/>
      <c r="X4" s="1340"/>
      <c r="Y4" s="3573" t="s">
        <v>53</v>
      </c>
      <c r="Z4" s="3574"/>
      <c r="AA4" s="3560" t="s">
        <v>55</v>
      </c>
      <c r="AB4" s="3579" t="s">
        <v>56</v>
      </c>
      <c r="AC4" s="3560" t="s">
        <v>57</v>
      </c>
    </row>
    <row r="5" spans="1:29">
      <c r="A5" s="146"/>
      <c r="B5" s="147"/>
      <c r="C5" s="3582" t="s">
        <v>59</v>
      </c>
      <c r="D5" s="3583"/>
      <c r="E5" s="3589" t="s">
        <v>60</v>
      </c>
      <c r="F5" s="3590"/>
      <c r="G5" s="3582" t="s">
        <v>61</v>
      </c>
      <c r="H5" s="3583"/>
      <c r="I5" s="3582" t="s">
        <v>62</v>
      </c>
      <c r="J5" s="3583"/>
      <c r="K5" s="187"/>
      <c r="L5" s="2297"/>
      <c r="M5" s="2298"/>
      <c r="N5" s="2298"/>
      <c r="O5" s="2298"/>
      <c r="P5" s="3569"/>
      <c r="Q5" s="3570"/>
      <c r="R5" s="3575"/>
      <c r="S5" s="3576"/>
      <c r="T5" s="3575"/>
      <c r="U5" s="3576"/>
      <c r="V5" s="3579"/>
      <c r="W5" s="3579"/>
      <c r="X5" s="1340"/>
      <c r="Y5" s="3575"/>
      <c r="Z5" s="3576"/>
      <c r="AA5" s="3561"/>
      <c r="AB5" s="3579"/>
      <c r="AC5" s="3561"/>
    </row>
    <row r="6" spans="1:29" ht="14.25" thickBot="1">
      <c r="A6" s="148"/>
      <c r="B6" s="149"/>
      <c r="C6" s="3580" t="s">
        <v>63</v>
      </c>
      <c r="D6" s="3581"/>
      <c r="E6" s="3587" t="s">
        <v>63</v>
      </c>
      <c r="F6" s="3588"/>
      <c r="G6" s="3580" t="s">
        <v>63</v>
      </c>
      <c r="H6" s="3581"/>
      <c r="I6" s="3580" t="s">
        <v>63</v>
      </c>
      <c r="J6" s="3581"/>
      <c r="K6" s="187" t="s">
        <v>117</v>
      </c>
      <c r="L6" s="2297"/>
      <c r="M6" s="2298"/>
      <c r="N6" s="2298"/>
      <c r="O6" s="2298"/>
      <c r="P6" s="3571"/>
      <c r="Q6" s="3572"/>
      <c r="R6" s="3575"/>
      <c r="S6" s="3576"/>
      <c r="T6" s="3577"/>
      <c r="U6" s="3578"/>
      <c r="V6" s="3579"/>
      <c r="W6" s="3579"/>
      <c r="X6" s="1340"/>
      <c r="Y6" s="3577"/>
      <c r="Z6" s="3578"/>
      <c r="AA6" s="3562"/>
      <c r="AB6" s="3579"/>
      <c r="AC6" s="3562"/>
    </row>
    <row r="7" spans="1:29" s="40" customFormat="1" ht="15" thickBot="1">
      <c r="A7" s="1014" t="s">
        <v>64</v>
      </c>
      <c r="B7" s="1015"/>
      <c r="C7" s="1016">
        <f>'数据-取费表'!B2</f>
        <v>0</v>
      </c>
      <c r="D7" s="754">
        <v>100</v>
      </c>
      <c r="E7" s="1017"/>
      <c r="F7" s="756">
        <f>SUMIF(58:58,YEAR(E7)&amp;"-"&amp;MONTH(E7),59:59)</f>
        <v>100</v>
      </c>
      <c r="G7" s="1017"/>
      <c r="H7" s="754">
        <f>SUMIF(58:58,YEAR(G7)&amp;"-"&amp;MONTH(G7),59:59)</f>
        <v>100</v>
      </c>
      <c r="I7" s="1017"/>
      <c r="J7" s="754">
        <f>SUMIF(58:58,YEAR(I7)&amp;"-"&amp;MONTH(I7),59:59)</f>
        <v>100</v>
      </c>
      <c r="K7" s="1019"/>
      <c r="L7" s="2299"/>
      <c r="M7" s="2261"/>
      <c r="N7" s="2261"/>
      <c r="O7" s="2261"/>
      <c r="P7" s="3584" t="s">
        <v>64</v>
      </c>
      <c r="Q7" s="3586"/>
      <c r="R7" s="1342" t="s">
        <v>65</v>
      </c>
      <c r="S7" s="1343">
        <f t="shared" ref="S7:S15" si="0">F7</f>
        <v>100</v>
      </c>
      <c r="T7" s="1342" t="s">
        <v>65</v>
      </c>
      <c r="U7" s="1343">
        <f t="shared" ref="U7:U15" si="1">H7</f>
        <v>100</v>
      </c>
      <c r="V7" s="1342" t="s">
        <v>65</v>
      </c>
      <c r="W7" s="1343">
        <f t="shared" ref="W7:W15" si="2">J7</f>
        <v>100</v>
      </c>
      <c r="X7" s="287"/>
      <c r="Y7" s="3584" t="s">
        <v>64</v>
      </c>
      <c r="Z7" s="3585"/>
      <c r="AA7" s="1344">
        <f>D7/F7</f>
        <v>1</v>
      </c>
      <c r="AB7" s="1344">
        <f>D7/H7</f>
        <v>1</v>
      </c>
      <c r="AC7" s="1344">
        <f>D7/J7</f>
        <v>1</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84" t="s">
        <v>1025</v>
      </c>
      <c r="Q8" s="3585"/>
      <c r="R8" s="1342" t="s">
        <v>65</v>
      </c>
      <c r="S8" s="1343">
        <f t="shared" si="0"/>
        <v>0</v>
      </c>
      <c r="T8" s="1342" t="s">
        <v>65</v>
      </c>
      <c r="U8" s="1343">
        <f t="shared" si="1"/>
        <v>0</v>
      </c>
      <c r="V8" s="1342" t="s">
        <v>65</v>
      </c>
      <c r="W8" s="1343">
        <f t="shared" si="2"/>
        <v>0</v>
      </c>
      <c r="X8" s="287"/>
      <c r="Y8" s="3584" t="s">
        <v>1025</v>
      </c>
      <c r="Z8" s="3585"/>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59" t="s">
        <v>67</v>
      </c>
      <c r="Q9" s="7" t="str">
        <f t="shared" ref="Q9:Q15" si="6">B9</f>
        <v>用途</v>
      </c>
      <c r="R9" s="1342" t="s">
        <v>65</v>
      </c>
      <c r="S9" s="1343">
        <f t="shared" si="0"/>
        <v>100</v>
      </c>
      <c r="T9" s="1342" t="s">
        <v>65</v>
      </c>
      <c r="U9" s="1343">
        <f t="shared" si="1"/>
        <v>100</v>
      </c>
      <c r="V9" s="1342" t="s">
        <v>65</v>
      </c>
      <c r="W9" s="1343">
        <f t="shared" si="2"/>
        <v>100</v>
      </c>
      <c r="X9" s="287"/>
      <c r="Y9" s="336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59"/>
      <c r="Q10" s="7" t="str">
        <f t="shared" si="6"/>
        <v>土地使用年限（年）</v>
      </c>
      <c r="R10" s="1342" t="s">
        <v>65</v>
      </c>
      <c r="S10" s="1343">
        <f t="shared" si="0"/>
        <v>100</v>
      </c>
      <c r="T10" s="1342" t="s">
        <v>65</v>
      </c>
      <c r="U10" s="1343">
        <f t="shared" si="1"/>
        <v>100</v>
      </c>
      <c r="V10" s="1342" t="s">
        <v>65</v>
      </c>
      <c r="W10" s="1343">
        <f t="shared" si="2"/>
        <v>100</v>
      </c>
      <c r="X10" s="287"/>
      <c r="Y10" s="3367"/>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59"/>
      <c r="Q11" s="7" t="str">
        <f t="shared" si="6"/>
        <v>容积率</v>
      </c>
      <c r="R11" s="1342" t="s">
        <v>65</v>
      </c>
      <c r="S11" s="1343" t="e">
        <f t="shared" si="0"/>
        <v>#N/A</v>
      </c>
      <c r="T11" s="1342" t="s">
        <v>65</v>
      </c>
      <c r="U11" s="1343" t="e">
        <f t="shared" si="1"/>
        <v>#N/A</v>
      </c>
      <c r="V11" s="1342" t="s">
        <v>65</v>
      </c>
      <c r="W11" s="1343" t="e">
        <f t="shared" si="2"/>
        <v>#N/A</v>
      </c>
      <c r="X11" s="287"/>
      <c r="Y11" s="336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59"/>
      <c r="Q12" s="7">
        <f t="shared" si="6"/>
        <v>111</v>
      </c>
      <c r="R12" s="1342" t="s">
        <v>65</v>
      </c>
      <c r="S12" s="1343">
        <f t="shared" si="0"/>
        <v>100</v>
      </c>
      <c r="T12" s="1342" t="s">
        <v>65</v>
      </c>
      <c r="U12" s="1343">
        <f t="shared" si="1"/>
        <v>100</v>
      </c>
      <c r="V12" s="1342" t="s">
        <v>65</v>
      </c>
      <c r="W12" s="1343">
        <f t="shared" si="2"/>
        <v>100</v>
      </c>
      <c r="X12" s="287"/>
      <c r="Y12" s="3367"/>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59"/>
      <c r="Q13" s="7">
        <f t="shared" si="6"/>
        <v>111</v>
      </c>
      <c r="R13" s="1342" t="s">
        <v>65</v>
      </c>
      <c r="S13" s="1343">
        <f t="shared" si="0"/>
        <v>100</v>
      </c>
      <c r="T13" s="1342" t="s">
        <v>65</v>
      </c>
      <c r="U13" s="1343">
        <f t="shared" si="1"/>
        <v>100</v>
      </c>
      <c r="V13" s="1342" t="s">
        <v>65</v>
      </c>
      <c r="W13" s="1343">
        <f t="shared" si="2"/>
        <v>100</v>
      </c>
      <c r="X13" s="287"/>
      <c r="Y13" s="3367"/>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59"/>
      <c r="Q14" s="7">
        <f t="shared" si="6"/>
        <v>111</v>
      </c>
      <c r="R14" s="1342" t="s">
        <v>65</v>
      </c>
      <c r="S14" s="1343">
        <f t="shared" si="0"/>
        <v>100</v>
      </c>
      <c r="T14" s="1342" t="s">
        <v>65</v>
      </c>
      <c r="U14" s="1343">
        <f t="shared" si="1"/>
        <v>100</v>
      </c>
      <c r="V14" s="1342" t="s">
        <v>65</v>
      </c>
      <c r="W14" s="1343">
        <f t="shared" si="2"/>
        <v>100</v>
      </c>
      <c r="X14" s="287"/>
      <c r="Y14" s="3367"/>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557" t="s">
        <v>69</v>
      </c>
      <c r="Q15" s="1351" t="str">
        <f t="shared" si="6"/>
        <v>商业繁华度</v>
      </c>
      <c r="R15" s="1352" t="s">
        <v>65</v>
      </c>
      <c r="S15" s="1353">
        <f t="shared" si="0"/>
        <v>100</v>
      </c>
      <c r="T15" s="1352" t="s">
        <v>65</v>
      </c>
      <c r="U15" s="1353">
        <f t="shared" si="1"/>
        <v>100</v>
      </c>
      <c r="V15" s="1352" t="s">
        <v>65</v>
      </c>
      <c r="W15" s="1353">
        <f t="shared" si="2"/>
        <v>100</v>
      </c>
      <c r="X15" s="1340"/>
      <c r="Y15" s="355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558"/>
      <c r="Q16" s="1351"/>
      <c r="R16" s="1352"/>
      <c r="S16" s="1353"/>
      <c r="T16" s="1352"/>
      <c r="U16" s="1353"/>
      <c r="V16" s="1352"/>
      <c r="W16" s="1353"/>
      <c r="X16" s="1340"/>
      <c r="Y16" s="3551"/>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558"/>
      <c r="Q17" s="1351" t="str">
        <f>B17</f>
        <v>交通便捷度</v>
      </c>
      <c r="R17" s="1352" t="s">
        <v>65</v>
      </c>
      <c r="S17" s="1353">
        <f>F17</f>
        <v>100</v>
      </c>
      <c r="T17" s="1352" t="s">
        <v>65</v>
      </c>
      <c r="U17" s="1353">
        <f>H17</f>
        <v>100</v>
      </c>
      <c r="V17" s="1352" t="s">
        <v>65</v>
      </c>
      <c r="W17" s="1353">
        <f>J17</f>
        <v>100</v>
      </c>
      <c r="X17" s="1340"/>
      <c r="Y17" s="355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558"/>
      <c r="Q18" s="1351"/>
      <c r="R18" s="1352"/>
      <c r="S18" s="1353"/>
      <c r="T18" s="1352"/>
      <c r="U18" s="1353"/>
      <c r="V18" s="1352"/>
      <c r="W18" s="1353"/>
      <c r="X18" s="1340"/>
      <c r="Y18" s="3551"/>
      <c r="Z18" s="1354"/>
      <c r="AA18" s="1355">
        <v>1</v>
      </c>
      <c r="AB18" s="1355">
        <v>1</v>
      </c>
      <c r="AC18" s="1355">
        <v>1</v>
      </c>
    </row>
    <row r="19" spans="1:29" ht="40.5">
      <c r="A19" s="151"/>
      <c r="B19" s="1356" t="s">
        <v>2665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558"/>
      <c r="Q19" s="1351" t="str">
        <f>B19</f>
        <v>公共配套设施</v>
      </c>
      <c r="R19" s="1352" t="s">
        <v>65</v>
      </c>
      <c r="S19" s="1353">
        <f>F19</f>
        <v>100</v>
      </c>
      <c r="T19" s="1352" t="s">
        <v>65</v>
      </c>
      <c r="U19" s="1353">
        <f>H19</f>
        <v>100</v>
      </c>
      <c r="V19" s="1352" t="s">
        <v>65</v>
      </c>
      <c r="W19" s="1353">
        <f>J19</f>
        <v>100</v>
      </c>
      <c r="X19" s="1340"/>
      <c r="Y19" s="355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558"/>
      <c r="Q20" s="1351"/>
      <c r="R20" s="1352"/>
      <c r="S20" s="1353"/>
      <c r="T20" s="1352"/>
      <c r="U20" s="1353"/>
      <c r="V20" s="1352"/>
      <c r="W20" s="1353"/>
      <c r="X20" s="1340"/>
      <c r="Y20" s="3551"/>
      <c r="Z20" s="1354"/>
      <c r="AA20" s="1355">
        <v>1</v>
      </c>
      <c r="AB20" s="1355">
        <v>1</v>
      </c>
      <c r="AC20" s="1355">
        <v>1</v>
      </c>
    </row>
    <row r="21" spans="1:29" ht="27">
      <c r="A21" s="151"/>
      <c r="B21" s="1412" t="s">
        <v>2666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558"/>
      <c r="Q21" s="2748" t="str">
        <f>B21</f>
        <v>基础设施水平</v>
      </c>
      <c r="R21" s="1352" t="s">
        <v>65</v>
      </c>
      <c r="S21" s="1353">
        <f>F21</f>
        <v>100</v>
      </c>
      <c r="T21" s="1352" t="s">
        <v>65</v>
      </c>
      <c r="U21" s="1353">
        <f>H21</f>
        <v>100</v>
      </c>
      <c r="V21" s="1352" t="s">
        <v>65</v>
      </c>
      <c r="W21" s="1353">
        <f>J21</f>
        <v>100</v>
      </c>
      <c r="X21" s="2750"/>
      <c r="Y21" s="355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558"/>
      <c r="Q22" s="2748"/>
      <c r="R22" s="1352"/>
      <c r="S22" s="1353"/>
      <c r="T22" s="1352"/>
      <c r="U22" s="1353"/>
      <c r="V22" s="1352"/>
      <c r="W22" s="1353"/>
      <c r="X22" s="2750"/>
      <c r="Y22" s="3551"/>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558"/>
      <c r="Q23" s="1351" t="str">
        <f>B23</f>
        <v>自然及人文环境</v>
      </c>
      <c r="R23" s="1352" t="s">
        <v>65</v>
      </c>
      <c r="S23" s="1353">
        <f>F23</f>
        <v>100</v>
      </c>
      <c r="T23" s="1352" t="s">
        <v>65</v>
      </c>
      <c r="U23" s="1353">
        <f>H23</f>
        <v>100</v>
      </c>
      <c r="V23" s="1352" t="s">
        <v>65</v>
      </c>
      <c r="W23" s="1353">
        <f>J23</f>
        <v>100</v>
      </c>
      <c r="X23" s="1340"/>
      <c r="Y23" s="355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558"/>
      <c r="Q24" s="1351"/>
      <c r="R24" s="1352"/>
      <c r="S24" s="1353"/>
      <c r="T24" s="1352"/>
      <c r="U24" s="1353"/>
      <c r="V24" s="1352"/>
      <c r="W24" s="1353"/>
      <c r="X24" s="1340"/>
      <c r="Y24" s="355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558"/>
      <c r="Q25" s="1351" t="str">
        <f t="shared" ref="Q25:Q46" si="11">B25</f>
        <v>临街状况</v>
      </c>
      <c r="R25" s="1352" t="s">
        <v>65</v>
      </c>
      <c r="S25" s="1353">
        <f>F25</f>
        <v>100</v>
      </c>
      <c r="T25" s="1352" t="s">
        <v>65</v>
      </c>
      <c r="U25" s="1353">
        <f>H25</f>
        <v>100</v>
      </c>
      <c r="V25" s="1352" t="s">
        <v>65</v>
      </c>
      <c r="W25" s="1353">
        <f>J25</f>
        <v>100</v>
      </c>
      <c r="X25" s="1340"/>
      <c r="Y25" s="3551"/>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558"/>
      <c r="Q26" s="1351" t="str">
        <f t="shared" si="11"/>
        <v>平面位置/可视性</v>
      </c>
      <c r="R26" s="1352" t="s">
        <v>65</v>
      </c>
      <c r="S26" s="1353">
        <f>F26</f>
        <v>100</v>
      </c>
      <c r="T26" s="1352" t="s">
        <v>65</v>
      </c>
      <c r="U26" s="1353">
        <f>H26</f>
        <v>100</v>
      </c>
      <c r="V26" s="1352" t="s">
        <v>65</v>
      </c>
      <c r="W26" s="1353">
        <f>J26</f>
        <v>100</v>
      </c>
      <c r="X26" s="1340"/>
      <c r="Y26" s="3551"/>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558"/>
      <c r="Q27" s="7" t="str">
        <f t="shared" si="11"/>
        <v>人流量</v>
      </c>
      <c r="R27" s="1342" t="s">
        <v>65</v>
      </c>
      <c r="S27" s="1343">
        <f>F27</f>
        <v>100</v>
      </c>
      <c r="T27" s="1342" t="s">
        <v>65</v>
      </c>
      <c r="U27" s="1343">
        <f>H27</f>
        <v>100</v>
      </c>
      <c r="V27" s="1342" t="s">
        <v>65</v>
      </c>
      <c r="W27" s="1343">
        <f>J27</f>
        <v>100</v>
      </c>
      <c r="X27" s="287"/>
      <c r="Y27" s="355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55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5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558"/>
      <c r="Q29" s="1351">
        <f t="shared" si="11"/>
        <v>111</v>
      </c>
      <c r="R29" s="1352" t="s">
        <v>65</v>
      </c>
      <c r="S29" s="1353">
        <f t="shared" si="12"/>
        <v>100</v>
      </c>
      <c r="T29" s="1352" t="s">
        <v>65</v>
      </c>
      <c r="U29" s="1353">
        <f t="shared" si="13"/>
        <v>100</v>
      </c>
      <c r="V29" s="1352" t="s">
        <v>65</v>
      </c>
      <c r="W29" s="1353">
        <f t="shared" si="14"/>
        <v>100</v>
      </c>
      <c r="X29" s="1340"/>
      <c r="Y29" s="355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558"/>
      <c r="Q30" s="1351">
        <f t="shared" si="11"/>
        <v>111</v>
      </c>
      <c r="R30" s="1352" t="s">
        <v>65</v>
      </c>
      <c r="S30" s="1353">
        <f t="shared" si="12"/>
        <v>100</v>
      </c>
      <c r="T30" s="1352" t="s">
        <v>65</v>
      </c>
      <c r="U30" s="1353">
        <f t="shared" si="13"/>
        <v>100</v>
      </c>
      <c r="V30" s="1352" t="s">
        <v>65</v>
      </c>
      <c r="W30" s="1353">
        <f t="shared" si="14"/>
        <v>100</v>
      </c>
      <c r="X30" s="1340"/>
      <c r="Y30" s="355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558"/>
      <c r="Q31" s="1351">
        <f t="shared" si="11"/>
        <v>111</v>
      </c>
      <c r="R31" s="1352" t="s">
        <v>65</v>
      </c>
      <c r="S31" s="1353">
        <f t="shared" si="12"/>
        <v>100</v>
      </c>
      <c r="T31" s="1352" t="s">
        <v>65</v>
      </c>
      <c r="U31" s="1353">
        <f t="shared" si="13"/>
        <v>100</v>
      </c>
      <c r="V31" s="1352" t="s">
        <v>65</v>
      </c>
      <c r="W31" s="1353">
        <f t="shared" si="14"/>
        <v>100</v>
      </c>
      <c r="X31" s="1340"/>
      <c r="Y31" s="3551"/>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52" t="s">
        <v>1032</v>
      </c>
      <c r="Q32" s="1351" t="str">
        <f t="shared" si="11"/>
        <v>商业类型</v>
      </c>
      <c r="R32" s="1352" t="s">
        <v>65</v>
      </c>
      <c r="S32" s="1353">
        <f t="shared" si="12"/>
        <v>100</v>
      </c>
      <c r="T32" s="1352" t="s">
        <v>65</v>
      </c>
      <c r="U32" s="1353">
        <f t="shared" si="13"/>
        <v>100</v>
      </c>
      <c r="V32" s="1352" t="s">
        <v>65</v>
      </c>
      <c r="W32" s="1353">
        <f t="shared" si="14"/>
        <v>100</v>
      </c>
      <c r="X32" s="1340"/>
      <c r="Y32" s="3555"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53"/>
      <c r="Q33" s="1359" t="str">
        <f t="shared" si="11"/>
        <v>项目建筑规模</v>
      </c>
      <c r="R33" s="1360" t="s">
        <v>65</v>
      </c>
      <c r="S33" s="1361" t="e">
        <f t="shared" si="12"/>
        <v>#N/A</v>
      </c>
      <c r="T33" s="1360" t="s">
        <v>65</v>
      </c>
      <c r="U33" s="1361" t="e">
        <f t="shared" si="13"/>
        <v>#N/A</v>
      </c>
      <c r="V33" s="1360" t="s">
        <v>65</v>
      </c>
      <c r="W33" s="1361" t="e">
        <f t="shared" si="14"/>
        <v>#N/A</v>
      </c>
      <c r="X33" s="1362"/>
      <c r="Y33" s="355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53"/>
      <c r="Q34" s="1351" t="str">
        <f t="shared" si="11"/>
        <v>建筑结构</v>
      </c>
      <c r="R34" s="1352" t="s">
        <v>65</v>
      </c>
      <c r="S34" s="1353">
        <f t="shared" si="12"/>
        <v>100</v>
      </c>
      <c r="T34" s="1352" t="s">
        <v>65</v>
      </c>
      <c r="U34" s="1353">
        <f t="shared" si="13"/>
        <v>100</v>
      </c>
      <c r="V34" s="1352" t="s">
        <v>65</v>
      </c>
      <c r="W34" s="1353">
        <f t="shared" si="14"/>
        <v>100</v>
      </c>
      <c r="X34" s="1340"/>
      <c r="Y34" s="3555"/>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53"/>
      <c r="Q35" s="1351" t="str">
        <f t="shared" si="11"/>
        <v>公共部分装修</v>
      </c>
      <c r="R35" s="1352" t="s">
        <v>65</v>
      </c>
      <c r="S35" s="1353">
        <f t="shared" si="12"/>
        <v>100</v>
      </c>
      <c r="T35" s="1352" t="s">
        <v>65</v>
      </c>
      <c r="U35" s="1353">
        <f t="shared" si="13"/>
        <v>100</v>
      </c>
      <c r="V35" s="1352" t="s">
        <v>65</v>
      </c>
      <c r="W35" s="1353">
        <f t="shared" si="14"/>
        <v>100</v>
      </c>
      <c r="X35" s="1340"/>
      <c r="Y35" s="3555"/>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53"/>
      <c r="Q36" s="1351" t="str">
        <f t="shared" si="11"/>
        <v>成新度</v>
      </c>
      <c r="R36" s="1352" t="s">
        <v>65</v>
      </c>
      <c r="S36" s="1353" t="e">
        <f t="shared" si="12"/>
        <v>#N/A</v>
      </c>
      <c r="T36" s="1352" t="s">
        <v>65</v>
      </c>
      <c r="U36" s="1353" t="e">
        <f t="shared" si="13"/>
        <v>#N/A</v>
      </c>
      <c r="V36" s="1352" t="s">
        <v>65</v>
      </c>
      <c r="W36" s="1353" t="e">
        <f t="shared" si="14"/>
        <v>#N/A</v>
      </c>
      <c r="X36" s="1340"/>
      <c r="Y36" s="3555"/>
      <c r="Z36" s="1354" t="str">
        <f t="shared" si="15"/>
        <v>成新度</v>
      </c>
      <c r="AA36" s="1355" t="e">
        <f t="shared" si="3"/>
        <v>#N/A</v>
      </c>
      <c r="AB36" s="1355" t="e">
        <f t="shared" si="4"/>
        <v>#N/A</v>
      </c>
      <c r="AC36" s="1355" t="e">
        <f t="shared" si="5"/>
        <v>#N/A</v>
      </c>
    </row>
    <row r="37" spans="1:29" s="40" customFormat="1" ht="15">
      <c r="A37" s="1041"/>
      <c r="B37" s="12" t="s">
        <v>2667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53"/>
      <c r="Q37" s="7" t="str">
        <f t="shared" si="11"/>
        <v>市政基础设施</v>
      </c>
      <c r="R37" s="1342" t="s">
        <v>65</v>
      </c>
      <c r="S37" s="1343">
        <f t="shared" si="12"/>
        <v>100</v>
      </c>
      <c r="T37" s="1342" t="s">
        <v>65</v>
      </c>
      <c r="U37" s="1343">
        <f t="shared" si="13"/>
        <v>100</v>
      </c>
      <c r="V37" s="1342" t="s">
        <v>65</v>
      </c>
      <c r="W37" s="1343">
        <f t="shared" si="14"/>
        <v>100</v>
      </c>
      <c r="X37" s="287"/>
      <c r="Y37" s="355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53" t="s">
        <v>1035</v>
      </c>
      <c r="Q38" s="1351" t="str">
        <f t="shared" si="11"/>
        <v>业态</v>
      </c>
      <c r="R38" s="1352" t="s">
        <v>65</v>
      </c>
      <c r="S38" s="1353">
        <f t="shared" si="12"/>
        <v>100</v>
      </c>
      <c r="T38" s="1352" t="s">
        <v>65</v>
      </c>
      <c r="U38" s="1353">
        <f t="shared" si="13"/>
        <v>100</v>
      </c>
      <c r="V38" s="1352" t="s">
        <v>65</v>
      </c>
      <c r="W38" s="1353">
        <f t="shared" si="14"/>
        <v>100</v>
      </c>
      <c r="X38" s="1340"/>
      <c r="Y38" s="3555"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53"/>
      <c r="Q39" s="1351" t="str">
        <f t="shared" si="11"/>
        <v>层高</v>
      </c>
      <c r="R39" s="1352" t="s">
        <v>65</v>
      </c>
      <c r="S39" s="1353">
        <f t="shared" si="12"/>
        <v>100</v>
      </c>
      <c r="T39" s="1352" t="s">
        <v>65</v>
      </c>
      <c r="U39" s="1353">
        <f t="shared" si="13"/>
        <v>100</v>
      </c>
      <c r="V39" s="1352" t="s">
        <v>65</v>
      </c>
      <c r="W39" s="1353">
        <f t="shared" si="14"/>
        <v>100</v>
      </c>
      <c r="X39" s="1340"/>
      <c r="Y39" s="3555"/>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53"/>
      <c r="Q40" s="1351" t="str">
        <f t="shared" si="11"/>
        <v>单套建筑面积</v>
      </c>
      <c r="R40" s="1352" t="s">
        <v>65</v>
      </c>
      <c r="S40" s="1353">
        <f t="shared" si="12"/>
        <v>100</v>
      </c>
      <c r="T40" s="1352" t="s">
        <v>65</v>
      </c>
      <c r="U40" s="1353">
        <f t="shared" si="13"/>
        <v>100</v>
      </c>
      <c r="V40" s="1352" t="s">
        <v>65</v>
      </c>
      <c r="W40" s="1353">
        <f t="shared" si="14"/>
        <v>100</v>
      </c>
      <c r="X40" s="1340"/>
      <c r="Y40" s="3555"/>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53"/>
      <c r="Q41" s="1359" t="str">
        <f t="shared" si="11"/>
        <v>进深比</v>
      </c>
      <c r="R41" s="1360" t="s">
        <v>65</v>
      </c>
      <c r="S41" s="1361">
        <f t="shared" si="12"/>
        <v>100</v>
      </c>
      <c r="T41" s="1360" t="s">
        <v>65</v>
      </c>
      <c r="U41" s="1361">
        <f t="shared" si="13"/>
        <v>100</v>
      </c>
      <c r="V41" s="1360" t="s">
        <v>65</v>
      </c>
      <c r="W41" s="1361">
        <f t="shared" si="14"/>
        <v>100</v>
      </c>
      <c r="X41" s="1362"/>
      <c r="Y41" s="3555"/>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53"/>
      <c r="Q42" s="1351" t="str">
        <f t="shared" si="11"/>
        <v>内部装修</v>
      </c>
      <c r="R42" s="1352" t="s">
        <v>65</v>
      </c>
      <c r="S42" s="1353">
        <f t="shared" si="12"/>
        <v>100</v>
      </c>
      <c r="T42" s="1352" t="s">
        <v>65</v>
      </c>
      <c r="U42" s="1353">
        <f t="shared" si="13"/>
        <v>100</v>
      </c>
      <c r="V42" s="1352" t="s">
        <v>65</v>
      </c>
      <c r="W42" s="1353">
        <f t="shared" si="14"/>
        <v>100</v>
      </c>
      <c r="X42" s="1340"/>
      <c r="Y42" s="355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53"/>
      <c r="Q43" s="1351" t="str">
        <f t="shared" si="11"/>
        <v>内部装修维护情况</v>
      </c>
      <c r="R43" s="1352" t="s">
        <v>65</v>
      </c>
      <c r="S43" s="1353">
        <f t="shared" si="12"/>
        <v>100</v>
      </c>
      <c r="T43" s="1352" t="s">
        <v>65</v>
      </c>
      <c r="U43" s="1353">
        <f t="shared" si="13"/>
        <v>100</v>
      </c>
      <c r="V43" s="1352" t="s">
        <v>65</v>
      </c>
      <c r="W43" s="1353">
        <f t="shared" si="14"/>
        <v>100</v>
      </c>
      <c r="X43" s="1340"/>
      <c r="Y43" s="355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53"/>
      <c r="Q44" s="7">
        <f t="shared" si="11"/>
        <v>111</v>
      </c>
      <c r="R44" s="1342" t="s">
        <v>65</v>
      </c>
      <c r="S44" s="1343">
        <f t="shared" si="12"/>
        <v>100</v>
      </c>
      <c r="T44" s="1342" t="s">
        <v>65</v>
      </c>
      <c r="U44" s="1343">
        <f t="shared" si="13"/>
        <v>100</v>
      </c>
      <c r="V44" s="1342" t="s">
        <v>65</v>
      </c>
      <c r="W44" s="1343">
        <f t="shared" si="14"/>
        <v>100</v>
      </c>
      <c r="X44" s="287"/>
      <c r="Y44" s="355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53"/>
      <c r="Q45" s="1351">
        <f t="shared" si="11"/>
        <v>111</v>
      </c>
      <c r="R45" s="1352" t="s">
        <v>65</v>
      </c>
      <c r="S45" s="1353">
        <f t="shared" si="12"/>
        <v>100</v>
      </c>
      <c r="T45" s="1352" t="s">
        <v>65</v>
      </c>
      <c r="U45" s="1353">
        <f t="shared" si="13"/>
        <v>100</v>
      </c>
      <c r="V45" s="1352" t="s">
        <v>65</v>
      </c>
      <c r="W45" s="1353">
        <f t="shared" si="14"/>
        <v>100</v>
      </c>
      <c r="X45" s="1340"/>
      <c r="Y45" s="355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54"/>
      <c r="Q46" s="1351">
        <f t="shared" si="11"/>
        <v>111</v>
      </c>
      <c r="R46" s="1352" t="s">
        <v>65</v>
      </c>
      <c r="S46" s="1353">
        <f t="shared" si="12"/>
        <v>100</v>
      </c>
      <c r="T46" s="1352" t="s">
        <v>65</v>
      </c>
      <c r="U46" s="1353">
        <f t="shared" si="13"/>
        <v>100</v>
      </c>
      <c r="V46" s="1352" t="s">
        <v>65</v>
      </c>
      <c r="W46" s="1353">
        <f t="shared" si="14"/>
        <v>100</v>
      </c>
      <c r="X46" s="1340"/>
      <c r="Y46" s="3556"/>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548" t="str">
        <f>A47</f>
        <v>成交单价（元/平方米）</v>
      </c>
      <c r="Q47" s="3548"/>
      <c r="R47" s="3579">
        <f>E47</f>
        <v>0</v>
      </c>
      <c r="S47" s="3579"/>
      <c r="T47" s="3579">
        <f>G47</f>
        <v>0</v>
      </c>
      <c r="U47" s="3579"/>
      <c r="V47" s="3579">
        <f>I47</f>
        <v>0</v>
      </c>
      <c r="W47" s="3579"/>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1365"/>
      <c r="Y48" s="1365"/>
      <c r="Z48" s="1365"/>
      <c r="AA48" s="1365"/>
      <c r="AB48" s="1365"/>
      <c r="AC48" s="1365"/>
    </row>
    <row r="49" spans="1:29" ht="15.75" thickBot="1">
      <c r="A49" s="115" t="s">
        <v>3032</v>
      </c>
      <c r="B49" s="116"/>
      <c r="C49" s="2848" t="e">
        <f>R49</f>
        <v>#DIV/0!</v>
      </c>
      <c r="D49" s="2848"/>
      <c r="E49" s="2848"/>
      <c r="F49" s="2848"/>
      <c r="G49" s="2848"/>
      <c r="H49" s="2848"/>
      <c r="I49" s="2848"/>
      <c r="J49" s="2848"/>
      <c r="K49" s="1395"/>
      <c r="L49" s="2305"/>
      <c r="M49" s="2306"/>
      <c r="N49" s="2298"/>
      <c r="O49" s="2306"/>
      <c r="P49" s="3545" t="str">
        <f>A49</f>
        <v>估价对象XX用房的比较价值（楼面单价，元/平方米）</v>
      </c>
      <c r="Q49" s="3546"/>
      <c r="R49" s="3547" t="e">
        <f>IF(F1="售价",ROUND(AVERAGE(R48:V48),0),ROUND(AVERAGE(R48:V48),1))</f>
        <v>#DIV/0!</v>
      </c>
      <c r="S49" s="3547"/>
      <c r="T49" s="3547"/>
      <c r="U49" s="3547"/>
      <c r="V49" s="3547"/>
      <c r="W49" s="3547"/>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2806</v>
      </c>
      <c r="B58" s="849"/>
      <c r="C58" s="3047" t="str">
        <f>YEAR(C7)&amp;"-"&amp;MONTH(C7)</f>
        <v>1900-1</v>
      </c>
      <c r="D58" s="3048" t="e">
        <f>EDATE(C58,-1)</f>
        <v>#NUM!</v>
      </c>
      <c r="E58" s="3048" t="e">
        <f t="shared" ref="E58:N58" si="16">EDATE(D58,-1)</f>
        <v>#NUM!</v>
      </c>
      <c r="F58" s="3048" t="e">
        <f t="shared" si="16"/>
        <v>#NUM!</v>
      </c>
      <c r="G58" s="3048" t="e">
        <f t="shared" si="16"/>
        <v>#NUM!</v>
      </c>
      <c r="H58" s="3048" t="e">
        <f t="shared" si="16"/>
        <v>#NUM!</v>
      </c>
      <c r="I58" s="3048" t="e">
        <f t="shared" si="16"/>
        <v>#NUM!</v>
      </c>
      <c r="J58" s="3048" t="e">
        <f t="shared" si="16"/>
        <v>#NUM!</v>
      </c>
      <c r="K58" s="3048" t="e">
        <f t="shared" si="16"/>
        <v>#NUM!</v>
      </c>
      <c r="L58" s="3048" t="e">
        <f t="shared" si="16"/>
        <v>#NUM!</v>
      </c>
      <c r="M58" s="3048" t="e">
        <f t="shared" si="16"/>
        <v>#NUM!</v>
      </c>
      <c r="N58" s="3048" t="e">
        <f t="shared" si="16"/>
        <v>#NUM!</v>
      </c>
      <c r="O58" s="3048" t="e">
        <f>EDATE(N58,-1)</f>
        <v>#NUM!</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2668</v>
      </c>
      <c r="C82" s="213" t="s">
        <v>2669</v>
      </c>
      <c r="D82" s="213" t="s">
        <v>2670</v>
      </c>
      <c r="E82" s="213" t="s">
        <v>2671</v>
      </c>
      <c r="F82" s="213" t="s">
        <v>2672</v>
      </c>
      <c r="G82" s="213" t="s">
        <v>2673</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0</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63" t="s">
        <v>1080</v>
      </c>
      <c r="D4" s="3564"/>
      <c r="E4" s="3565" t="s">
        <v>1081</v>
      </c>
      <c r="F4" s="3566"/>
      <c r="G4" s="3563" t="s">
        <v>1082</v>
      </c>
      <c r="H4" s="3564"/>
      <c r="I4" s="3563" t="s">
        <v>1083</v>
      </c>
      <c r="J4" s="3564"/>
      <c r="K4" s="187" t="s">
        <v>1084</v>
      </c>
      <c r="L4" s="2297"/>
      <c r="M4" s="2298"/>
      <c r="N4" s="2298"/>
      <c r="O4" s="2298"/>
      <c r="P4" s="3597" t="s">
        <v>1079</v>
      </c>
      <c r="Q4" s="3598"/>
      <c r="R4" s="3601" t="s">
        <v>1081</v>
      </c>
      <c r="S4" s="3602"/>
      <c r="T4" s="3601" t="s">
        <v>1082</v>
      </c>
      <c r="U4" s="3602"/>
      <c r="V4" s="3603" t="s">
        <v>1083</v>
      </c>
      <c r="W4" s="3603"/>
      <c r="X4" s="2337"/>
      <c r="Y4" s="3601" t="s">
        <v>1079</v>
      </c>
      <c r="Z4" s="3602"/>
      <c r="AA4" s="3605" t="s">
        <v>1081</v>
      </c>
      <c r="AB4" s="3605" t="s">
        <v>1082</v>
      </c>
      <c r="AC4" s="3594" t="s">
        <v>1083</v>
      </c>
    </row>
    <row r="5" spans="1:29">
      <c r="A5" s="146"/>
      <c r="B5" s="147"/>
      <c r="C5" s="3582" t="s">
        <v>1085</v>
      </c>
      <c r="D5" s="3583"/>
      <c r="E5" s="3589" t="s">
        <v>1086</v>
      </c>
      <c r="F5" s="3590"/>
      <c r="G5" s="3582" t="s">
        <v>1087</v>
      </c>
      <c r="H5" s="3583"/>
      <c r="I5" s="3582" t="s">
        <v>1088</v>
      </c>
      <c r="J5" s="3583"/>
      <c r="K5" s="187"/>
      <c r="L5" s="2297"/>
      <c r="M5" s="2298"/>
      <c r="N5" s="2298"/>
      <c r="O5" s="2298"/>
      <c r="P5" s="3599"/>
      <c r="Q5" s="3570"/>
      <c r="R5" s="3575"/>
      <c r="S5" s="3576"/>
      <c r="T5" s="3575"/>
      <c r="U5" s="3576"/>
      <c r="V5" s="3579"/>
      <c r="W5" s="3579"/>
      <c r="X5" s="2223"/>
      <c r="Y5" s="3575"/>
      <c r="Z5" s="3576"/>
      <c r="AA5" s="3561"/>
      <c r="AB5" s="3561"/>
      <c r="AC5" s="3595"/>
    </row>
    <row r="6" spans="1:29" ht="14.25" thickBot="1">
      <c r="A6" s="148"/>
      <c r="B6" s="149"/>
      <c r="C6" s="3580" t="s">
        <v>1089</v>
      </c>
      <c r="D6" s="3581"/>
      <c r="E6" s="3587" t="s">
        <v>1089</v>
      </c>
      <c r="F6" s="3588"/>
      <c r="G6" s="3580" t="s">
        <v>1089</v>
      </c>
      <c r="H6" s="3581"/>
      <c r="I6" s="3580" t="s">
        <v>1089</v>
      </c>
      <c r="J6" s="3581"/>
      <c r="K6" s="187" t="s">
        <v>1090</v>
      </c>
      <c r="L6" s="2297"/>
      <c r="M6" s="2298"/>
      <c r="N6" s="2298"/>
      <c r="O6" s="2298"/>
      <c r="P6" s="3600"/>
      <c r="Q6" s="3572"/>
      <c r="R6" s="3575"/>
      <c r="S6" s="3576"/>
      <c r="T6" s="3577"/>
      <c r="U6" s="3578"/>
      <c r="V6" s="3579"/>
      <c r="W6" s="3579"/>
      <c r="X6" s="2223"/>
      <c r="Y6" s="3577"/>
      <c r="Z6" s="3578"/>
      <c r="AA6" s="3562"/>
      <c r="AB6" s="3562"/>
      <c r="AC6" s="3596"/>
    </row>
    <row r="7" spans="1:29" s="40" customFormat="1" ht="15" thickBot="1">
      <c r="A7" s="1014" t="s">
        <v>1091</v>
      </c>
      <c r="B7" s="1015"/>
      <c r="C7" s="753">
        <f>'数据-取费表'!B2</f>
        <v>0</v>
      </c>
      <c r="D7" s="754">
        <v>100</v>
      </c>
      <c r="E7" s="1017"/>
      <c r="F7" s="756">
        <f>SUMIF(59:59,YEAR(E7)&amp;"-"&amp;MONTH(E7),60:60)</f>
        <v>100</v>
      </c>
      <c r="G7" s="1017"/>
      <c r="H7" s="754">
        <f>SUMIF(59:59,YEAR(G7)&amp;"-"&amp;MONTH(G7),60:60)</f>
        <v>100</v>
      </c>
      <c r="I7" s="1017"/>
      <c r="J7" s="754">
        <f>SUMIF(59:59,YEAR(I7)&amp;"-"&amp;MONTH(I7),60:60)</f>
        <v>100</v>
      </c>
      <c r="K7" s="1019"/>
      <c r="L7" s="2299"/>
      <c r="M7" s="2261"/>
      <c r="N7" s="2261"/>
      <c r="O7" s="2261"/>
      <c r="P7" s="3604" t="s">
        <v>1091</v>
      </c>
      <c r="Q7" s="3586"/>
      <c r="R7" s="1342" t="s">
        <v>65</v>
      </c>
      <c r="S7" s="1343">
        <f t="shared" ref="S7:S15" si="0">F7</f>
        <v>100</v>
      </c>
      <c r="T7" s="1342" t="s">
        <v>65</v>
      </c>
      <c r="U7" s="1343">
        <f t="shared" ref="U7:U15" si="1">H7</f>
        <v>100</v>
      </c>
      <c r="V7" s="1342" t="s">
        <v>65</v>
      </c>
      <c r="W7" s="1343">
        <f t="shared" ref="W7:W15" si="2">J7</f>
        <v>100</v>
      </c>
      <c r="X7" s="287"/>
      <c r="Y7" s="3584" t="s">
        <v>1091</v>
      </c>
      <c r="Z7" s="3585"/>
      <c r="AA7" s="1344">
        <f>D7/F7</f>
        <v>1</v>
      </c>
      <c r="AB7" s="1344">
        <f>D7/H7</f>
        <v>1</v>
      </c>
      <c r="AC7" s="2338">
        <f>D7/J7</f>
        <v>1</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04" t="s">
        <v>1025</v>
      </c>
      <c r="Q8" s="3585"/>
      <c r="R8" s="1342" t="s">
        <v>65</v>
      </c>
      <c r="S8" s="1343">
        <f t="shared" si="0"/>
        <v>0</v>
      </c>
      <c r="T8" s="1342" t="s">
        <v>65</v>
      </c>
      <c r="U8" s="1343">
        <f t="shared" si="1"/>
        <v>0</v>
      </c>
      <c r="V8" s="1342" t="s">
        <v>65</v>
      </c>
      <c r="W8" s="1343">
        <f t="shared" si="2"/>
        <v>0</v>
      </c>
      <c r="X8" s="287"/>
      <c r="Y8" s="3584" t="s">
        <v>1025</v>
      </c>
      <c r="Z8" s="3585"/>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59" t="s">
        <v>67</v>
      </c>
      <c r="Q9" s="2214" t="str">
        <f t="shared" ref="Q9:Q15" si="6">B9</f>
        <v>用途</v>
      </c>
      <c r="R9" s="1342" t="s">
        <v>65</v>
      </c>
      <c r="S9" s="1343">
        <f t="shared" si="0"/>
        <v>100</v>
      </c>
      <c r="T9" s="1342" t="s">
        <v>65</v>
      </c>
      <c r="U9" s="1343">
        <f t="shared" si="1"/>
        <v>100</v>
      </c>
      <c r="V9" s="1342" t="s">
        <v>65</v>
      </c>
      <c r="W9" s="1343">
        <f t="shared" si="2"/>
        <v>100</v>
      </c>
      <c r="X9" s="287"/>
      <c r="Y9" s="3367"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59"/>
      <c r="Q10" s="2214" t="str">
        <f t="shared" si="6"/>
        <v>土地使用年限（年）</v>
      </c>
      <c r="R10" s="1342" t="s">
        <v>65</v>
      </c>
      <c r="S10" s="1343">
        <f t="shared" si="0"/>
        <v>100</v>
      </c>
      <c r="T10" s="1342" t="s">
        <v>65</v>
      </c>
      <c r="U10" s="1343">
        <f t="shared" si="1"/>
        <v>100</v>
      </c>
      <c r="V10" s="1342" t="s">
        <v>65</v>
      </c>
      <c r="W10" s="1343">
        <f t="shared" si="2"/>
        <v>100</v>
      </c>
      <c r="X10" s="287"/>
      <c r="Y10" s="3367"/>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59"/>
      <c r="Q11" s="2214" t="str">
        <f t="shared" si="6"/>
        <v>容积率</v>
      </c>
      <c r="R11" s="1342" t="s">
        <v>65</v>
      </c>
      <c r="S11" s="1343" t="e">
        <f t="shared" si="0"/>
        <v>#N/A</v>
      </c>
      <c r="T11" s="1342" t="s">
        <v>65</v>
      </c>
      <c r="U11" s="1343" t="e">
        <f t="shared" si="1"/>
        <v>#N/A</v>
      </c>
      <c r="V11" s="1342" t="s">
        <v>65</v>
      </c>
      <c r="W11" s="1343" t="e">
        <f t="shared" si="2"/>
        <v>#N/A</v>
      </c>
      <c r="X11" s="287"/>
      <c r="Y11" s="3367"/>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59"/>
      <c r="Q12" s="2214">
        <f t="shared" si="6"/>
        <v>111</v>
      </c>
      <c r="R12" s="1342" t="s">
        <v>65</v>
      </c>
      <c r="S12" s="1343">
        <f t="shared" si="0"/>
        <v>100</v>
      </c>
      <c r="T12" s="1342" t="s">
        <v>65</v>
      </c>
      <c r="U12" s="1343">
        <f t="shared" si="1"/>
        <v>100</v>
      </c>
      <c r="V12" s="1342" t="s">
        <v>65</v>
      </c>
      <c r="W12" s="1343">
        <f t="shared" si="2"/>
        <v>100</v>
      </c>
      <c r="X12" s="287"/>
      <c r="Y12" s="3367"/>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59"/>
      <c r="Q13" s="2214">
        <f t="shared" si="6"/>
        <v>111</v>
      </c>
      <c r="R13" s="1342" t="s">
        <v>65</v>
      </c>
      <c r="S13" s="1343">
        <f t="shared" si="0"/>
        <v>100</v>
      </c>
      <c r="T13" s="1342" t="s">
        <v>65</v>
      </c>
      <c r="U13" s="1343">
        <f t="shared" si="1"/>
        <v>100</v>
      </c>
      <c r="V13" s="1342" t="s">
        <v>65</v>
      </c>
      <c r="W13" s="1343">
        <f t="shared" si="2"/>
        <v>100</v>
      </c>
      <c r="X13" s="287"/>
      <c r="Y13" s="3367"/>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59"/>
      <c r="Q14" s="2214">
        <f t="shared" si="6"/>
        <v>111</v>
      </c>
      <c r="R14" s="1342" t="s">
        <v>65</v>
      </c>
      <c r="S14" s="1343">
        <f t="shared" si="0"/>
        <v>100</v>
      </c>
      <c r="T14" s="1342" t="s">
        <v>65</v>
      </c>
      <c r="U14" s="1343">
        <f t="shared" si="1"/>
        <v>100</v>
      </c>
      <c r="V14" s="1342" t="s">
        <v>65</v>
      </c>
      <c r="W14" s="1343">
        <f t="shared" si="2"/>
        <v>100</v>
      </c>
      <c r="X14" s="287"/>
      <c r="Y14" s="3367"/>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557" t="s">
        <v>69</v>
      </c>
      <c r="Q15" s="2221" t="str">
        <f t="shared" si="6"/>
        <v>办公集聚程度</v>
      </c>
      <c r="R15" s="1352" t="s">
        <v>65</v>
      </c>
      <c r="S15" s="1353">
        <f t="shared" si="0"/>
        <v>100</v>
      </c>
      <c r="T15" s="1352" t="s">
        <v>65</v>
      </c>
      <c r="U15" s="1353">
        <f t="shared" si="1"/>
        <v>100</v>
      </c>
      <c r="V15" s="1352" t="s">
        <v>65</v>
      </c>
      <c r="W15" s="1353">
        <f t="shared" si="2"/>
        <v>100</v>
      </c>
      <c r="X15" s="2223"/>
      <c r="Y15" s="3550"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558"/>
      <c r="Q16" s="2221"/>
      <c r="R16" s="1352"/>
      <c r="S16" s="1353"/>
      <c r="T16" s="1352"/>
      <c r="U16" s="1353"/>
      <c r="V16" s="1352"/>
      <c r="W16" s="1353"/>
      <c r="X16" s="2223"/>
      <c r="Y16" s="3551"/>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558"/>
      <c r="Q17" s="2221" t="str">
        <f>B17</f>
        <v>交通便捷度</v>
      </c>
      <c r="R17" s="1352" t="s">
        <v>65</v>
      </c>
      <c r="S17" s="1353">
        <f>F17</f>
        <v>100</v>
      </c>
      <c r="T17" s="1352" t="s">
        <v>65</v>
      </c>
      <c r="U17" s="1353">
        <f>H17</f>
        <v>100</v>
      </c>
      <c r="V17" s="1352" t="s">
        <v>65</v>
      </c>
      <c r="W17" s="1353">
        <f>J17</f>
        <v>100</v>
      </c>
      <c r="X17" s="2223"/>
      <c r="Y17" s="3551"/>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558"/>
      <c r="Q18" s="2221"/>
      <c r="R18" s="1352"/>
      <c r="S18" s="1353"/>
      <c r="T18" s="1352"/>
      <c r="U18" s="1353"/>
      <c r="V18" s="1352"/>
      <c r="W18" s="1353"/>
      <c r="X18" s="2223"/>
      <c r="Y18" s="3551"/>
      <c r="Z18" s="2222"/>
      <c r="AA18" s="1355">
        <v>1</v>
      </c>
      <c r="AB18" s="1355">
        <v>1</v>
      </c>
      <c r="AC18" s="2339">
        <v>1</v>
      </c>
    </row>
    <row r="19" spans="1:29" ht="40.5">
      <c r="A19" s="151"/>
      <c r="B19" s="1034" t="s">
        <v>2674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558"/>
      <c r="Q19" s="2221" t="str">
        <f>B19</f>
        <v>公共配套设施</v>
      </c>
      <c r="R19" s="1352" t="s">
        <v>65</v>
      </c>
      <c r="S19" s="1353">
        <f>F19</f>
        <v>100</v>
      </c>
      <c r="T19" s="1352" t="s">
        <v>65</v>
      </c>
      <c r="U19" s="1353">
        <f>H19</f>
        <v>100</v>
      </c>
      <c r="V19" s="1352" t="s">
        <v>65</v>
      </c>
      <c r="W19" s="1353">
        <f>J19</f>
        <v>100</v>
      </c>
      <c r="X19" s="2223"/>
      <c r="Y19" s="3551"/>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558"/>
      <c r="Q20" s="2221"/>
      <c r="R20" s="1352"/>
      <c r="S20" s="1353"/>
      <c r="T20" s="1352"/>
      <c r="U20" s="1353"/>
      <c r="V20" s="1352"/>
      <c r="W20" s="1353"/>
      <c r="X20" s="2223"/>
      <c r="Y20" s="3551"/>
      <c r="Z20" s="2222"/>
      <c r="AA20" s="1355">
        <v>1</v>
      </c>
      <c r="AB20" s="1355">
        <v>1</v>
      </c>
      <c r="AC20" s="2339">
        <v>1</v>
      </c>
    </row>
    <row r="21" spans="1:29" ht="27">
      <c r="A21" s="151"/>
      <c r="B21" s="1036" t="s">
        <v>2675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558"/>
      <c r="Q21" s="2748" t="str">
        <f>B21</f>
        <v>基础设施水平</v>
      </c>
      <c r="R21" s="1352" t="s">
        <v>65</v>
      </c>
      <c r="S21" s="1353">
        <f>F21</f>
        <v>100</v>
      </c>
      <c r="T21" s="1352" t="s">
        <v>65</v>
      </c>
      <c r="U21" s="1353">
        <f>H21</f>
        <v>100</v>
      </c>
      <c r="V21" s="1352" t="s">
        <v>65</v>
      </c>
      <c r="W21" s="1353">
        <f>J21</f>
        <v>100</v>
      </c>
      <c r="X21" s="2750"/>
      <c r="Y21" s="3551"/>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558"/>
      <c r="Q22" s="2748"/>
      <c r="R22" s="1352"/>
      <c r="S22" s="1353"/>
      <c r="T22" s="1352"/>
      <c r="U22" s="1353"/>
      <c r="V22" s="1352"/>
      <c r="W22" s="1353"/>
      <c r="X22" s="2750"/>
      <c r="Y22" s="3551"/>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558"/>
      <c r="Q23" s="2221" t="str">
        <f>B23</f>
        <v>环境质量</v>
      </c>
      <c r="R23" s="1352" t="s">
        <v>65</v>
      </c>
      <c r="S23" s="1353">
        <f>F23</f>
        <v>100</v>
      </c>
      <c r="T23" s="1352" t="s">
        <v>65</v>
      </c>
      <c r="U23" s="1353">
        <f>H23</f>
        <v>100</v>
      </c>
      <c r="V23" s="1352" t="s">
        <v>65</v>
      </c>
      <c r="W23" s="1353">
        <f>J23</f>
        <v>100</v>
      </c>
      <c r="X23" s="2223"/>
      <c r="Y23" s="3551"/>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558"/>
      <c r="Q24" s="2221"/>
      <c r="R24" s="1352"/>
      <c r="S24" s="1353"/>
      <c r="T24" s="1352"/>
      <c r="U24" s="1353"/>
      <c r="V24" s="1352"/>
      <c r="W24" s="1353"/>
      <c r="X24" s="2223"/>
      <c r="Y24" s="3551"/>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558"/>
      <c r="Q25" s="2221" t="str">
        <f>B25</f>
        <v>毗邻道路的类型与等级</v>
      </c>
      <c r="R25" s="1352" t="s">
        <v>65</v>
      </c>
      <c r="S25" s="1353">
        <f>F25</f>
        <v>100</v>
      </c>
      <c r="T25" s="1352" t="s">
        <v>65</v>
      </c>
      <c r="U25" s="1353">
        <f>H25</f>
        <v>100</v>
      </c>
      <c r="V25" s="1352" t="s">
        <v>65</v>
      </c>
      <c r="W25" s="1353">
        <f>J25</f>
        <v>100</v>
      </c>
      <c r="X25" s="2223"/>
      <c r="Y25" s="3551"/>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558"/>
      <c r="Q26" s="2221"/>
      <c r="R26" s="1352"/>
      <c r="S26" s="1353"/>
      <c r="T26" s="1352"/>
      <c r="U26" s="1353"/>
      <c r="V26" s="1352"/>
      <c r="W26" s="1353"/>
      <c r="X26" s="2223"/>
      <c r="Y26" s="3551"/>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558"/>
      <c r="Q27" s="2221" t="str">
        <f t="shared" ref="Q27:Q47" si="11">B27</f>
        <v>楼层</v>
      </c>
      <c r="R27" s="1352" t="s">
        <v>65</v>
      </c>
      <c r="S27" s="1353">
        <f>F27</f>
        <v>100</v>
      </c>
      <c r="T27" s="1352" t="s">
        <v>65</v>
      </c>
      <c r="U27" s="1353">
        <f>H27</f>
        <v>100</v>
      </c>
      <c r="V27" s="1352" t="s">
        <v>65</v>
      </c>
      <c r="W27" s="1353">
        <f>J27</f>
        <v>100</v>
      </c>
      <c r="X27" s="2223"/>
      <c r="Y27" s="3551"/>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558"/>
      <c r="Q28" s="2214" t="str">
        <f t="shared" si="11"/>
        <v>朝向</v>
      </c>
      <c r="R28" s="1342" t="s">
        <v>65</v>
      </c>
      <c r="S28" s="1343">
        <f>F28</f>
        <v>100</v>
      </c>
      <c r="T28" s="1342" t="s">
        <v>65</v>
      </c>
      <c r="U28" s="1343">
        <f>H28</f>
        <v>100</v>
      </c>
      <c r="V28" s="1342" t="s">
        <v>65</v>
      </c>
      <c r="W28" s="1343">
        <f>J28</f>
        <v>100</v>
      </c>
      <c r="X28" s="287"/>
      <c r="Y28" s="3551"/>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558"/>
      <c r="Q29" s="2221">
        <f t="shared" si="11"/>
        <v>111</v>
      </c>
      <c r="R29" s="1352" t="s">
        <v>65</v>
      </c>
      <c r="S29" s="1353">
        <f t="shared" ref="S29:S47" si="12">F29</f>
        <v>100</v>
      </c>
      <c r="T29" s="1352" t="s">
        <v>65</v>
      </c>
      <c r="U29" s="1353">
        <f t="shared" ref="U29:U47" si="13">H29</f>
        <v>100</v>
      </c>
      <c r="V29" s="1352" t="s">
        <v>65</v>
      </c>
      <c r="W29" s="1353">
        <f t="shared" ref="W29:W47" si="14">J29</f>
        <v>100</v>
      </c>
      <c r="X29" s="2223"/>
      <c r="Y29" s="3551"/>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558"/>
      <c r="Q30" s="2221">
        <f t="shared" si="11"/>
        <v>111</v>
      </c>
      <c r="R30" s="1352" t="s">
        <v>65</v>
      </c>
      <c r="S30" s="1353">
        <f t="shared" si="12"/>
        <v>100</v>
      </c>
      <c r="T30" s="1352" t="s">
        <v>65</v>
      </c>
      <c r="U30" s="1353">
        <f t="shared" si="13"/>
        <v>100</v>
      </c>
      <c r="V30" s="1352" t="s">
        <v>65</v>
      </c>
      <c r="W30" s="1353">
        <f t="shared" si="14"/>
        <v>100</v>
      </c>
      <c r="X30" s="2223"/>
      <c r="Y30" s="3551"/>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558"/>
      <c r="Q31" s="2221">
        <f t="shared" si="11"/>
        <v>111</v>
      </c>
      <c r="R31" s="1352" t="s">
        <v>65</v>
      </c>
      <c r="S31" s="1353">
        <f t="shared" si="12"/>
        <v>100</v>
      </c>
      <c r="T31" s="1352" t="s">
        <v>65</v>
      </c>
      <c r="U31" s="1353">
        <f t="shared" si="13"/>
        <v>100</v>
      </c>
      <c r="V31" s="1352" t="s">
        <v>65</v>
      </c>
      <c r="W31" s="1353">
        <f t="shared" si="14"/>
        <v>100</v>
      </c>
      <c r="X31" s="2223"/>
      <c r="Y31" s="3551"/>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558"/>
      <c r="Q32" s="2221">
        <f t="shared" si="11"/>
        <v>111</v>
      </c>
      <c r="R32" s="1352" t="s">
        <v>65</v>
      </c>
      <c r="S32" s="1353">
        <f t="shared" si="12"/>
        <v>100</v>
      </c>
      <c r="T32" s="1352" t="s">
        <v>65</v>
      </c>
      <c r="U32" s="1353">
        <f t="shared" si="13"/>
        <v>100</v>
      </c>
      <c r="V32" s="1352" t="s">
        <v>65</v>
      </c>
      <c r="W32" s="1353">
        <f t="shared" si="14"/>
        <v>100</v>
      </c>
      <c r="X32" s="2223"/>
      <c r="Y32" s="3551"/>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52" t="s">
        <v>1097</v>
      </c>
      <c r="Q33" s="2221" t="str">
        <f t="shared" si="11"/>
        <v>建筑类型</v>
      </c>
      <c r="R33" s="1352" t="s">
        <v>65</v>
      </c>
      <c r="S33" s="1353">
        <f t="shared" si="12"/>
        <v>100</v>
      </c>
      <c r="T33" s="1352" t="s">
        <v>65</v>
      </c>
      <c r="U33" s="1353">
        <f t="shared" si="13"/>
        <v>100</v>
      </c>
      <c r="V33" s="1352" t="s">
        <v>65</v>
      </c>
      <c r="W33" s="1353">
        <f t="shared" si="14"/>
        <v>100</v>
      </c>
      <c r="X33" s="2223"/>
      <c r="Y33" s="3555"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53"/>
      <c r="Q34" s="1359" t="str">
        <f t="shared" si="11"/>
        <v>项目建筑规模</v>
      </c>
      <c r="R34" s="1360" t="s">
        <v>65</v>
      </c>
      <c r="S34" s="1361" t="e">
        <f t="shared" si="12"/>
        <v>#N/A</v>
      </c>
      <c r="T34" s="1360" t="s">
        <v>65</v>
      </c>
      <c r="U34" s="1361" t="e">
        <f t="shared" si="13"/>
        <v>#N/A</v>
      </c>
      <c r="V34" s="1360" t="s">
        <v>65</v>
      </c>
      <c r="W34" s="1361" t="e">
        <f t="shared" si="14"/>
        <v>#N/A</v>
      </c>
      <c r="X34" s="1362"/>
      <c r="Y34" s="3555"/>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53"/>
      <c r="Q35" s="2221" t="str">
        <f t="shared" si="11"/>
        <v>建筑结构</v>
      </c>
      <c r="R35" s="1352" t="s">
        <v>65</v>
      </c>
      <c r="S35" s="1353">
        <f t="shared" si="12"/>
        <v>100</v>
      </c>
      <c r="T35" s="1352" t="s">
        <v>65</v>
      </c>
      <c r="U35" s="1353">
        <f t="shared" si="13"/>
        <v>100</v>
      </c>
      <c r="V35" s="1352" t="s">
        <v>65</v>
      </c>
      <c r="W35" s="1353">
        <f t="shared" si="14"/>
        <v>100</v>
      </c>
      <c r="X35" s="2223"/>
      <c r="Y35" s="3555"/>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53"/>
      <c r="Q36" s="2221" t="str">
        <f t="shared" si="11"/>
        <v>公共部分装修</v>
      </c>
      <c r="R36" s="1352" t="s">
        <v>65</v>
      </c>
      <c r="S36" s="1353">
        <f t="shared" si="12"/>
        <v>100</v>
      </c>
      <c r="T36" s="1352" t="s">
        <v>65</v>
      </c>
      <c r="U36" s="1353">
        <f t="shared" si="13"/>
        <v>100</v>
      </c>
      <c r="V36" s="1352" t="s">
        <v>65</v>
      </c>
      <c r="W36" s="1353">
        <f t="shared" si="14"/>
        <v>100</v>
      </c>
      <c r="X36" s="2223"/>
      <c r="Y36" s="3555"/>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53"/>
      <c r="Q37" s="2221" t="str">
        <f t="shared" si="11"/>
        <v>成新度</v>
      </c>
      <c r="R37" s="1352" t="s">
        <v>65</v>
      </c>
      <c r="S37" s="1353" t="e">
        <f t="shared" si="12"/>
        <v>#N/A</v>
      </c>
      <c r="T37" s="1352" t="s">
        <v>65</v>
      </c>
      <c r="U37" s="1353" t="e">
        <f t="shared" si="13"/>
        <v>#N/A</v>
      </c>
      <c r="V37" s="1352" t="s">
        <v>65</v>
      </c>
      <c r="W37" s="1353" t="e">
        <f t="shared" si="14"/>
        <v>#N/A</v>
      </c>
      <c r="X37" s="2223"/>
      <c r="Y37" s="3555"/>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53"/>
      <c r="Q38" s="2214" t="str">
        <f t="shared" si="11"/>
        <v>写字楼等级</v>
      </c>
      <c r="R38" s="1342" t="s">
        <v>65</v>
      </c>
      <c r="S38" s="1343">
        <f t="shared" si="12"/>
        <v>100</v>
      </c>
      <c r="T38" s="1342" t="s">
        <v>65</v>
      </c>
      <c r="U38" s="1343">
        <f t="shared" si="13"/>
        <v>100</v>
      </c>
      <c r="V38" s="1342" t="s">
        <v>65</v>
      </c>
      <c r="W38" s="1343">
        <f t="shared" si="14"/>
        <v>100</v>
      </c>
      <c r="X38" s="287"/>
      <c r="Y38" s="3555"/>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53" t="s">
        <v>70</v>
      </c>
      <c r="Q39" s="2221" t="str">
        <f t="shared" si="11"/>
        <v>物业管理</v>
      </c>
      <c r="R39" s="1352" t="s">
        <v>65</v>
      </c>
      <c r="S39" s="1353">
        <f t="shared" si="12"/>
        <v>100</v>
      </c>
      <c r="T39" s="1352" t="s">
        <v>65</v>
      </c>
      <c r="U39" s="1353">
        <f t="shared" si="13"/>
        <v>100</v>
      </c>
      <c r="V39" s="1352" t="s">
        <v>65</v>
      </c>
      <c r="W39" s="1353">
        <f t="shared" si="14"/>
        <v>100</v>
      </c>
      <c r="X39" s="2223"/>
      <c r="Y39" s="3555" t="s">
        <v>70</v>
      </c>
      <c r="Z39" s="2222" t="str">
        <f t="shared" si="15"/>
        <v>物业管理</v>
      </c>
      <c r="AA39" s="1355">
        <f t="shared" si="3"/>
        <v>1</v>
      </c>
      <c r="AB39" s="1355">
        <f t="shared" si="4"/>
        <v>1</v>
      </c>
      <c r="AC39" s="2339">
        <f t="shared" si="5"/>
        <v>1</v>
      </c>
    </row>
    <row r="40" spans="1:29" ht="15">
      <c r="A40" s="161"/>
      <c r="B40" s="12" t="s">
        <v>2667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53"/>
      <c r="Q40" s="2221" t="str">
        <f t="shared" si="11"/>
        <v>市政基础设施</v>
      </c>
      <c r="R40" s="1352" t="s">
        <v>65</v>
      </c>
      <c r="S40" s="1353">
        <f t="shared" si="12"/>
        <v>100</v>
      </c>
      <c r="T40" s="1352" t="s">
        <v>65</v>
      </c>
      <c r="U40" s="1353">
        <f t="shared" si="13"/>
        <v>100</v>
      </c>
      <c r="V40" s="1352" t="s">
        <v>65</v>
      </c>
      <c r="W40" s="1353">
        <f t="shared" si="14"/>
        <v>100</v>
      </c>
      <c r="X40" s="2223"/>
      <c r="Y40" s="3555"/>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53"/>
      <c r="Q41" s="2221" t="str">
        <f t="shared" si="11"/>
        <v>层高</v>
      </c>
      <c r="R41" s="1352" t="s">
        <v>65</v>
      </c>
      <c r="S41" s="1353">
        <f t="shared" si="12"/>
        <v>100</v>
      </c>
      <c r="T41" s="1352" t="s">
        <v>65</v>
      </c>
      <c r="U41" s="1353">
        <f t="shared" si="13"/>
        <v>100</v>
      </c>
      <c r="V41" s="1352" t="s">
        <v>65</v>
      </c>
      <c r="W41" s="1353">
        <f t="shared" si="14"/>
        <v>100</v>
      </c>
      <c r="X41" s="2223"/>
      <c r="Y41" s="3555"/>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53"/>
      <c r="Q42" s="1359" t="str">
        <f t="shared" si="11"/>
        <v>单套建筑面积</v>
      </c>
      <c r="R42" s="1360" t="s">
        <v>65</v>
      </c>
      <c r="S42" s="1361">
        <f t="shared" si="12"/>
        <v>100</v>
      </c>
      <c r="T42" s="1360" t="s">
        <v>65</v>
      </c>
      <c r="U42" s="1361">
        <f t="shared" si="13"/>
        <v>100</v>
      </c>
      <c r="V42" s="1360" t="s">
        <v>65</v>
      </c>
      <c r="W42" s="1361">
        <f t="shared" si="14"/>
        <v>100</v>
      </c>
      <c r="X42" s="1362"/>
      <c r="Y42" s="3555"/>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53"/>
      <c r="Q43" s="2221" t="str">
        <f t="shared" si="11"/>
        <v>内部装修</v>
      </c>
      <c r="R43" s="1352" t="s">
        <v>65</v>
      </c>
      <c r="S43" s="1353">
        <f t="shared" si="12"/>
        <v>100</v>
      </c>
      <c r="T43" s="1352" t="s">
        <v>65</v>
      </c>
      <c r="U43" s="1353">
        <f t="shared" si="13"/>
        <v>100</v>
      </c>
      <c r="V43" s="1352" t="s">
        <v>65</v>
      </c>
      <c r="W43" s="1353">
        <f t="shared" si="14"/>
        <v>100</v>
      </c>
      <c r="X43" s="2223"/>
      <c r="Y43" s="3555"/>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53"/>
      <c r="Q44" s="2221" t="str">
        <f t="shared" si="11"/>
        <v>内部装修维护情况</v>
      </c>
      <c r="R44" s="1352" t="s">
        <v>65</v>
      </c>
      <c r="S44" s="1353">
        <f t="shared" si="12"/>
        <v>100</v>
      </c>
      <c r="T44" s="1352" t="s">
        <v>65</v>
      </c>
      <c r="U44" s="1353">
        <f t="shared" si="13"/>
        <v>100</v>
      </c>
      <c r="V44" s="1352" t="s">
        <v>65</v>
      </c>
      <c r="W44" s="1353">
        <f t="shared" si="14"/>
        <v>100</v>
      </c>
      <c r="X44" s="2223"/>
      <c r="Y44" s="3555"/>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53"/>
      <c r="Q45" s="2214">
        <f t="shared" si="11"/>
        <v>111</v>
      </c>
      <c r="R45" s="1342" t="s">
        <v>65</v>
      </c>
      <c r="S45" s="1343">
        <f t="shared" si="12"/>
        <v>100</v>
      </c>
      <c r="T45" s="1342" t="s">
        <v>65</v>
      </c>
      <c r="U45" s="1343">
        <f t="shared" si="13"/>
        <v>100</v>
      </c>
      <c r="V45" s="1342" t="s">
        <v>65</v>
      </c>
      <c r="W45" s="1343">
        <f t="shared" si="14"/>
        <v>100</v>
      </c>
      <c r="X45" s="287"/>
      <c r="Y45" s="3555"/>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53"/>
      <c r="Q46" s="2221">
        <f t="shared" si="11"/>
        <v>111</v>
      </c>
      <c r="R46" s="1352" t="s">
        <v>65</v>
      </c>
      <c r="S46" s="1353">
        <f t="shared" si="12"/>
        <v>100</v>
      </c>
      <c r="T46" s="1352" t="s">
        <v>65</v>
      </c>
      <c r="U46" s="1353">
        <f t="shared" si="13"/>
        <v>100</v>
      </c>
      <c r="V46" s="1352" t="s">
        <v>65</v>
      </c>
      <c r="W46" s="1353">
        <f t="shared" si="14"/>
        <v>100</v>
      </c>
      <c r="X46" s="2223"/>
      <c r="Y46" s="3555"/>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54"/>
      <c r="Q47" s="2221">
        <f t="shared" si="11"/>
        <v>111</v>
      </c>
      <c r="R47" s="1352" t="s">
        <v>65</v>
      </c>
      <c r="S47" s="1353">
        <f t="shared" si="12"/>
        <v>100</v>
      </c>
      <c r="T47" s="1352" t="s">
        <v>65</v>
      </c>
      <c r="U47" s="1353">
        <f t="shared" si="13"/>
        <v>100</v>
      </c>
      <c r="V47" s="1352" t="s">
        <v>65</v>
      </c>
      <c r="W47" s="1353">
        <f t="shared" si="14"/>
        <v>100</v>
      </c>
      <c r="X47" s="2223"/>
      <c r="Y47" s="3556"/>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559" t="str">
        <f>A48</f>
        <v>成交单价（元/平方米）</v>
      </c>
      <c r="Q48" s="3548"/>
      <c r="R48" s="3549">
        <f>E48</f>
        <v>0</v>
      </c>
      <c r="S48" s="3549"/>
      <c r="T48" s="3549">
        <f>G48</f>
        <v>0</v>
      </c>
      <c r="U48" s="3549"/>
      <c r="V48" s="3549">
        <f>I48</f>
        <v>0</v>
      </c>
      <c r="W48" s="3549"/>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59" t="str">
        <f>A49</f>
        <v>比较价值（元/平方米）</v>
      </c>
      <c r="Q49" s="3548"/>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156"/>
      <c r="Y49" s="156"/>
      <c r="Z49" s="156"/>
      <c r="AA49" s="156"/>
      <c r="AB49" s="156"/>
      <c r="AC49" s="209"/>
    </row>
    <row r="50" spans="1:29" ht="15.75" thickBot="1">
      <c r="A50" s="115" t="s">
        <v>3032</v>
      </c>
      <c r="B50" s="116"/>
      <c r="C50" s="2848" t="e">
        <f>R50</f>
        <v>#DIV/0!</v>
      </c>
      <c r="D50" s="2848"/>
      <c r="E50" s="2848"/>
      <c r="F50" s="2848"/>
      <c r="G50" s="2848"/>
      <c r="H50" s="2848"/>
      <c r="I50" s="2848"/>
      <c r="J50" s="837"/>
      <c r="K50" s="1395"/>
      <c r="L50" s="2305"/>
      <c r="M50" s="2298"/>
      <c r="N50" s="2298"/>
      <c r="O50" s="2298"/>
      <c r="P50" s="3591" t="str">
        <f>A50</f>
        <v>估价对象XX用房的比较价值（楼面单价，元/平方米）</v>
      </c>
      <c r="Q50" s="3592"/>
      <c r="R50" s="3593" t="e">
        <f>IF(F1="售价",ROUND(AVERAGE(R49:V49),0),ROUND(AVERAGE(R49:V49),1))</f>
        <v>#DIV/0!</v>
      </c>
      <c r="S50" s="3593"/>
      <c r="T50" s="3593"/>
      <c r="U50" s="3593"/>
      <c r="V50" s="3593"/>
      <c r="W50" s="3593"/>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2807</v>
      </c>
      <c r="B59" s="849"/>
      <c r="C59" s="3047" t="str">
        <f>YEAR(C7)&amp;"-"&amp;MONTH(C7)</f>
        <v>1900-1</v>
      </c>
      <c r="D59" s="3048" t="e">
        <f>EDATE(C59,-1)</f>
        <v>#NUM!</v>
      </c>
      <c r="E59" s="3048" t="e">
        <f>EDATE(D59,-1)</f>
        <v>#NUM!</v>
      </c>
      <c r="F59" s="3048" t="e">
        <f t="shared" ref="F59:O59" si="16">EDATE(E59,-1)</f>
        <v>#NUM!</v>
      </c>
      <c r="G59" s="3048" t="e">
        <f t="shared" si="16"/>
        <v>#NUM!</v>
      </c>
      <c r="H59" s="3048" t="e">
        <f t="shared" si="16"/>
        <v>#NUM!</v>
      </c>
      <c r="I59" s="3048" t="e">
        <f t="shared" si="16"/>
        <v>#NUM!</v>
      </c>
      <c r="J59" s="3048" t="e">
        <f t="shared" si="16"/>
        <v>#NUM!</v>
      </c>
      <c r="K59" s="3048" t="e">
        <f t="shared" si="16"/>
        <v>#NUM!</v>
      </c>
      <c r="L59" s="3048" t="e">
        <f t="shared" si="16"/>
        <v>#NUM!</v>
      </c>
      <c r="M59" s="3048" t="e">
        <f t="shared" si="16"/>
        <v>#NUM!</v>
      </c>
      <c r="N59" s="3048" t="e">
        <f t="shared" si="16"/>
        <v>#NUM!</v>
      </c>
      <c r="O59" s="3048" t="e">
        <f t="shared" si="16"/>
        <v>#NUM!</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2676</v>
      </c>
      <c r="C83" s="213" t="s">
        <v>2669</v>
      </c>
      <c r="D83" s="213" t="s">
        <v>2670</v>
      </c>
      <c r="E83" s="213" t="s">
        <v>2671</v>
      </c>
      <c r="F83" s="213" t="s">
        <v>2672</v>
      </c>
      <c r="G83" s="213" t="s">
        <v>2673</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2651</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0</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63" t="s">
        <v>1118</v>
      </c>
      <c r="D4" s="3564"/>
      <c r="E4" s="3565" t="s">
        <v>1119</v>
      </c>
      <c r="F4" s="3566"/>
      <c r="G4" s="3563" t="s">
        <v>1120</v>
      </c>
      <c r="H4" s="3564"/>
      <c r="I4" s="3563" t="s">
        <v>1121</v>
      </c>
      <c r="J4" s="3564"/>
      <c r="K4" s="187" t="s">
        <v>1122</v>
      </c>
      <c r="L4" s="2297"/>
      <c r="M4" s="2298"/>
      <c r="N4" s="2298"/>
      <c r="O4" s="2298"/>
      <c r="P4" s="3567" t="s">
        <v>1117</v>
      </c>
      <c r="Q4" s="3568"/>
      <c r="R4" s="3573" t="s">
        <v>1119</v>
      </c>
      <c r="S4" s="3574"/>
      <c r="T4" s="3573" t="s">
        <v>1120</v>
      </c>
      <c r="U4" s="3574"/>
      <c r="V4" s="3579" t="s">
        <v>1121</v>
      </c>
      <c r="W4" s="3579"/>
      <c r="X4" s="1340"/>
      <c r="Y4" s="3573" t="s">
        <v>1117</v>
      </c>
      <c r="Z4" s="3574"/>
      <c r="AA4" s="3560" t="s">
        <v>1119</v>
      </c>
      <c r="AB4" s="3561" t="s">
        <v>1120</v>
      </c>
      <c r="AC4" s="3560" t="s">
        <v>1121</v>
      </c>
    </row>
    <row r="5" spans="1:29">
      <c r="A5" s="146"/>
      <c r="B5" s="147"/>
      <c r="C5" s="3582" t="s">
        <v>1123</v>
      </c>
      <c r="D5" s="3583"/>
      <c r="E5" s="3589" t="s">
        <v>1124</v>
      </c>
      <c r="F5" s="3590"/>
      <c r="G5" s="3582" t="s">
        <v>1125</v>
      </c>
      <c r="H5" s="3583"/>
      <c r="I5" s="3582" t="s">
        <v>1126</v>
      </c>
      <c r="J5" s="3583"/>
      <c r="K5" s="187"/>
      <c r="L5" s="2297"/>
      <c r="M5" s="2298"/>
      <c r="N5" s="2298"/>
      <c r="O5" s="2298"/>
      <c r="P5" s="3569"/>
      <c r="Q5" s="3570"/>
      <c r="R5" s="3575"/>
      <c r="S5" s="3576"/>
      <c r="T5" s="3575"/>
      <c r="U5" s="3576"/>
      <c r="V5" s="3579"/>
      <c r="W5" s="3579"/>
      <c r="X5" s="1340"/>
      <c r="Y5" s="3575"/>
      <c r="Z5" s="3576"/>
      <c r="AA5" s="3561"/>
      <c r="AB5" s="3561"/>
      <c r="AC5" s="3561"/>
    </row>
    <row r="6" spans="1:29" ht="14.25" thickBot="1">
      <c r="A6" s="148"/>
      <c r="B6" s="149"/>
      <c r="C6" s="3580" t="s">
        <v>1127</v>
      </c>
      <c r="D6" s="3581"/>
      <c r="E6" s="3587" t="s">
        <v>1127</v>
      </c>
      <c r="F6" s="3588"/>
      <c r="G6" s="3580" t="s">
        <v>1127</v>
      </c>
      <c r="H6" s="3581"/>
      <c r="I6" s="3580" t="s">
        <v>1127</v>
      </c>
      <c r="J6" s="3581"/>
      <c r="K6" s="187" t="s">
        <v>1128</v>
      </c>
      <c r="L6" s="2297"/>
      <c r="M6" s="2298"/>
      <c r="N6" s="2298"/>
      <c r="O6" s="2298"/>
      <c r="P6" s="3571"/>
      <c r="Q6" s="3572"/>
      <c r="R6" s="3575"/>
      <c r="S6" s="3576"/>
      <c r="T6" s="3577"/>
      <c r="U6" s="3578"/>
      <c r="V6" s="3579"/>
      <c r="W6" s="3579"/>
      <c r="X6" s="1340"/>
      <c r="Y6" s="3577"/>
      <c r="Z6" s="3578"/>
      <c r="AA6" s="3562"/>
      <c r="AB6" s="3562"/>
      <c r="AC6" s="3562"/>
    </row>
    <row r="7" spans="1:29" s="40" customFormat="1" ht="15" thickBot="1">
      <c r="A7" s="1014" t="s">
        <v>1129</v>
      </c>
      <c r="B7" s="1015"/>
      <c r="C7" s="753">
        <f>'数据-取费表'!B2</f>
        <v>0</v>
      </c>
      <c r="D7" s="754">
        <v>100</v>
      </c>
      <c r="E7" s="1017"/>
      <c r="F7" s="756">
        <f>SUMIF(52:52,YEAR(E7)&amp;"-"&amp;MONTH(E7),53:53)</f>
        <v>100</v>
      </c>
      <c r="G7" s="1017"/>
      <c r="H7" s="754">
        <f>SUMIF(52:52,YEAR(G7)&amp;"-"&amp;MONTH(G7),53:53)</f>
        <v>100</v>
      </c>
      <c r="I7" s="1017"/>
      <c r="J7" s="754">
        <f>SUMIF(52:52,YEAR(I7)&amp;"-"&amp;MONTH(I7),53:53)</f>
        <v>100</v>
      </c>
      <c r="K7" s="1019"/>
      <c r="L7" s="2299"/>
      <c r="M7" s="2261"/>
      <c r="N7" s="2261"/>
      <c r="O7" s="2261"/>
      <c r="P7" s="3584" t="s">
        <v>1129</v>
      </c>
      <c r="Q7" s="3586"/>
      <c r="R7" s="1342" t="s">
        <v>65</v>
      </c>
      <c r="S7" s="1343">
        <f t="shared" ref="S7:S15" si="0">F7</f>
        <v>100</v>
      </c>
      <c r="T7" s="1342" t="s">
        <v>65</v>
      </c>
      <c r="U7" s="1343">
        <f t="shared" ref="U7:U15" si="1">H7</f>
        <v>100</v>
      </c>
      <c r="V7" s="1342" t="s">
        <v>65</v>
      </c>
      <c r="W7" s="1343">
        <f t="shared" ref="W7:W15" si="2">J7</f>
        <v>100</v>
      </c>
      <c r="X7" s="287"/>
      <c r="Y7" s="3584" t="s">
        <v>1129</v>
      </c>
      <c r="Z7" s="3585"/>
      <c r="AA7" s="1344">
        <f>D7/F7</f>
        <v>1</v>
      </c>
      <c r="AB7" s="1344">
        <f>D7/H7</f>
        <v>1</v>
      </c>
      <c r="AC7" s="1344">
        <f>D7/J7</f>
        <v>1</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84" t="s">
        <v>1025</v>
      </c>
      <c r="Q8" s="3585"/>
      <c r="R8" s="1342" t="s">
        <v>65</v>
      </c>
      <c r="S8" s="1343">
        <f t="shared" si="0"/>
        <v>0</v>
      </c>
      <c r="T8" s="1342" t="s">
        <v>65</v>
      </c>
      <c r="U8" s="1343">
        <f t="shared" si="1"/>
        <v>0</v>
      </c>
      <c r="V8" s="1342" t="s">
        <v>65</v>
      </c>
      <c r="W8" s="1343">
        <f t="shared" si="2"/>
        <v>0</v>
      </c>
      <c r="X8" s="287"/>
      <c r="Y8" s="3584" t="s">
        <v>1025</v>
      </c>
      <c r="Z8" s="3585"/>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48" t="s">
        <v>67</v>
      </c>
      <c r="Q9" s="7" t="str">
        <f t="shared" ref="Q9:Q15" si="6">B9</f>
        <v>用途</v>
      </c>
      <c r="R9" s="1342" t="s">
        <v>65</v>
      </c>
      <c r="S9" s="1343">
        <f t="shared" si="0"/>
        <v>100</v>
      </c>
      <c r="T9" s="1342" t="s">
        <v>65</v>
      </c>
      <c r="U9" s="1343">
        <f t="shared" si="1"/>
        <v>100</v>
      </c>
      <c r="V9" s="1342" t="s">
        <v>65</v>
      </c>
      <c r="W9" s="1343">
        <f t="shared" si="2"/>
        <v>100</v>
      </c>
      <c r="X9" s="287"/>
      <c r="Y9" s="3367"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48"/>
      <c r="Q10" s="7" t="str">
        <f t="shared" si="6"/>
        <v>土地使用年限（年）</v>
      </c>
      <c r="R10" s="1342" t="s">
        <v>65</v>
      </c>
      <c r="S10" s="1343">
        <f t="shared" si="0"/>
        <v>100</v>
      </c>
      <c r="T10" s="1342" t="s">
        <v>65</v>
      </c>
      <c r="U10" s="1343">
        <f t="shared" si="1"/>
        <v>100</v>
      </c>
      <c r="V10" s="1342" t="s">
        <v>65</v>
      </c>
      <c r="W10" s="1343">
        <f t="shared" si="2"/>
        <v>100</v>
      </c>
      <c r="X10" s="287"/>
      <c r="Y10" s="3367"/>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48"/>
      <c r="Q11" s="7" t="str">
        <f t="shared" si="6"/>
        <v>容积率</v>
      </c>
      <c r="R11" s="1342" t="s">
        <v>65</v>
      </c>
      <c r="S11" s="1343" t="e">
        <f t="shared" si="0"/>
        <v>#N/A</v>
      </c>
      <c r="T11" s="1342" t="s">
        <v>65</v>
      </c>
      <c r="U11" s="1343" t="e">
        <f t="shared" si="1"/>
        <v>#N/A</v>
      </c>
      <c r="V11" s="1342" t="s">
        <v>65</v>
      </c>
      <c r="W11" s="1343" t="e">
        <f t="shared" si="2"/>
        <v>#N/A</v>
      </c>
      <c r="X11" s="287"/>
      <c r="Y11" s="3367"/>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48"/>
      <c r="Q12" s="7">
        <f t="shared" si="6"/>
        <v>111</v>
      </c>
      <c r="R12" s="1342" t="s">
        <v>65</v>
      </c>
      <c r="S12" s="1343">
        <f t="shared" si="0"/>
        <v>100</v>
      </c>
      <c r="T12" s="1342" t="s">
        <v>65</v>
      </c>
      <c r="U12" s="1343">
        <f t="shared" si="1"/>
        <v>100</v>
      </c>
      <c r="V12" s="1342" t="s">
        <v>65</v>
      </c>
      <c r="W12" s="1343">
        <f t="shared" si="2"/>
        <v>100</v>
      </c>
      <c r="X12" s="287"/>
      <c r="Y12" s="3367"/>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48"/>
      <c r="Q13" s="7">
        <f t="shared" si="6"/>
        <v>111</v>
      </c>
      <c r="R13" s="1342" t="s">
        <v>65</v>
      </c>
      <c r="S13" s="1343">
        <f t="shared" si="0"/>
        <v>100</v>
      </c>
      <c r="T13" s="1342" t="s">
        <v>65</v>
      </c>
      <c r="U13" s="1343">
        <f t="shared" si="1"/>
        <v>100</v>
      </c>
      <c r="V13" s="1342" t="s">
        <v>65</v>
      </c>
      <c r="W13" s="1343">
        <f t="shared" si="2"/>
        <v>100</v>
      </c>
      <c r="X13" s="287"/>
      <c r="Y13" s="3367"/>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48"/>
      <c r="Q14" s="7">
        <f t="shared" si="6"/>
        <v>111</v>
      </c>
      <c r="R14" s="1342" t="s">
        <v>65</v>
      </c>
      <c r="S14" s="1343">
        <f t="shared" si="0"/>
        <v>100</v>
      </c>
      <c r="T14" s="1342" t="s">
        <v>65</v>
      </c>
      <c r="U14" s="1343">
        <f t="shared" si="1"/>
        <v>100</v>
      </c>
      <c r="V14" s="1342" t="s">
        <v>65</v>
      </c>
      <c r="W14" s="1343">
        <f t="shared" si="2"/>
        <v>100</v>
      </c>
      <c r="X14" s="287"/>
      <c r="Y14" s="3367"/>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50" t="s">
        <v>69</v>
      </c>
      <c r="Q15" s="1351" t="str">
        <f t="shared" si="6"/>
        <v>产业集聚程度</v>
      </c>
      <c r="R15" s="1352" t="s">
        <v>65</v>
      </c>
      <c r="S15" s="1353">
        <f t="shared" si="0"/>
        <v>100</v>
      </c>
      <c r="T15" s="1352" t="s">
        <v>65</v>
      </c>
      <c r="U15" s="1353">
        <f t="shared" si="1"/>
        <v>100</v>
      </c>
      <c r="V15" s="1352" t="s">
        <v>65</v>
      </c>
      <c r="W15" s="1353">
        <f t="shared" si="2"/>
        <v>100</v>
      </c>
      <c r="X15" s="1340"/>
      <c r="Y15" s="355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51"/>
      <c r="Q16" s="1351"/>
      <c r="R16" s="1352"/>
      <c r="S16" s="1353"/>
      <c r="T16" s="1352"/>
      <c r="U16" s="1353"/>
      <c r="V16" s="1352"/>
      <c r="W16" s="1353"/>
      <c r="X16" s="1340"/>
      <c r="Y16" s="355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51"/>
      <c r="Q17" s="1351" t="str">
        <f>B17</f>
        <v>交通便捷度</v>
      </c>
      <c r="R17" s="1352" t="s">
        <v>65</v>
      </c>
      <c r="S17" s="1353">
        <f>F17</f>
        <v>100</v>
      </c>
      <c r="T17" s="1352" t="s">
        <v>65</v>
      </c>
      <c r="U17" s="1353">
        <f>H17</f>
        <v>100</v>
      </c>
      <c r="V17" s="1352" t="s">
        <v>65</v>
      </c>
      <c r="W17" s="1353">
        <f>J17</f>
        <v>100</v>
      </c>
      <c r="X17" s="1340"/>
      <c r="Y17" s="355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51"/>
      <c r="Q18" s="1351"/>
      <c r="R18" s="1352"/>
      <c r="S18" s="1353"/>
      <c r="T18" s="1352"/>
      <c r="U18" s="1353"/>
      <c r="V18" s="1352"/>
      <c r="W18" s="1353"/>
      <c r="X18" s="1340"/>
      <c r="Y18" s="3551"/>
      <c r="Z18" s="1354"/>
      <c r="AA18" s="1355">
        <v>1</v>
      </c>
      <c r="AB18" s="1355">
        <v>1</v>
      </c>
      <c r="AC18" s="1355">
        <v>1</v>
      </c>
    </row>
    <row r="19" spans="1:29" ht="40.5">
      <c r="A19" s="151"/>
      <c r="B19" s="1356" t="s">
        <v>2674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51"/>
      <c r="Q19" s="1351" t="str">
        <f>B19</f>
        <v>公共配套设施</v>
      </c>
      <c r="R19" s="1352" t="s">
        <v>65</v>
      </c>
      <c r="S19" s="1353">
        <f>F19</f>
        <v>100</v>
      </c>
      <c r="T19" s="1352" t="s">
        <v>65</v>
      </c>
      <c r="U19" s="1353">
        <f>H19</f>
        <v>100</v>
      </c>
      <c r="V19" s="1352" t="s">
        <v>65</v>
      </c>
      <c r="W19" s="1353">
        <f>J19</f>
        <v>100</v>
      </c>
      <c r="X19" s="1340"/>
      <c r="Y19" s="355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51"/>
      <c r="Q20" s="1351"/>
      <c r="R20" s="1352"/>
      <c r="S20" s="1353"/>
      <c r="T20" s="1352"/>
      <c r="U20" s="1353"/>
      <c r="V20" s="1352"/>
      <c r="W20" s="1353"/>
      <c r="X20" s="1340"/>
      <c r="Y20" s="3551"/>
      <c r="Z20" s="1354"/>
      <c r="AA20" s="1355">
        <v>1</v>
      </c>
      <c r="AB20" s="1355">
        <v>1</v>
      </c>
      <c r="AC20" s="1355">
        <v>1</v>
      </c>
    </row>
    <row r="21" spans="1:29" ht="40.5">
      <c r="A21" s="151"/>
      <c r="B21" s="1412" t="s">
        <v>2677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51"/>
      <c r="Q21" s="2748" t="str">
        <f>B21</f>
        <v>基础设施水平</v>
      </c>
      <c r="R21" s="1352" t="s">
        <v>65</v>
      </c>
      <c r="S21" s="1353">
        <f>F21</f>
        <v>100</v>
      </c>
      <c r="T21" s="1352" t="s">
        <v>65</v>
      </c>
      <c r="U21" s="1353">
        <f>H21</f>
        <v>100</v>
      </c>
      <c r="V21" s="1352" t="s">
        <v>65</v>
      </c>
      <c r="W21" s="1353">
        <f>J21</f>
        <v>100</v>
      </c>
      <c r="X21" s="2750"/>
      <c r="Y21" s="3551"/>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551"/>
      <c r="Q22" s="2748"/>
      <c r="R22" s="1352"/>
      <c r="S22" s="1353"/>
      <c r="T22" s="1352"/>
      <c r="U22" s="1353"/>
      <c r="V22" s="1352"/>
      <c r="W22" s="1353"/>
      <c r="X22" s="2750"/>
      <c r="Y22" s="3551"/>
      <c r="Z22" s="2749"/>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51"/>
      <c r="Q23" s="1351" t="str">
        <f>B23</f>
        <v>环境质量</v>
      </c>
      <c r="R23" s="1352" t="s">
        <v>65</v>
      </c>
      <c r="S23" s="1353">
        <f>F23</f>
        <v>100</v>
      </c>
      <c r="T23" s="1352" t="s">
        <v>65</v>
      </c>
      <c r="U23" s="1353">
        <f>H23</f>
        <v>100</v>
      </c>
      <c r="V23" s="1352" t="s">
        <v>65</v>
      </c>
      <c r="W23" s="1353">
        <f>J23</f>
        <v>100</v>
      </c>
      <c r="X23" s="1340"/>
      <c r="Y23" s="355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51"/>
      <c r="Q24" s="1351"/>
      <c r="R24" s="1352"/>
      <c r="S24" s="1353"/>
      <c r="T24" s="1352"/>
      <c r="U24" s="1353"/>
      <c r="V24" s="1352"/>
      <c r="W24" s="1353"/>
      <c r="X24" s="1340"/>
      <c r="Y24" s="355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51"/>
      <c r="Q25" s="1351">
        <f>B25</f>
        <v>111</v>
      </c>
      <c r="R25" s="1352" t="s">
        <v>65</v>
      </c>
      <c r="S25" s="1353">
        <f>F25</f>
        <v>100</v>
      </c>
      <c r="T25" s="1352" t="s">
        <v>65</v>
      </c>
      <c r="U25" s="1353">
        <f>H25</f>
        <v>100</v>
      </c>
      <c r="V25" s="1352" t="s">
        <v>65</v>
      </c>
      <c r="W25" s="1353">
        <f>J25</f>
        <v>100</v>
      </c>
      <c r="X25" s="1340"/>
      <c r="Y25" s="355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51"/>
      <c r="Q26" s="1351">
        <f t="shared" ref="Q26:Q40" si="11">B26</f>
        <v>111</v>
      </c>
      <c r="R26" s="1352" t="s">
        <v>65</v>
      </c>
      <c r="S26" s="1353">
        <f>F26</f>
        <v>100</v>
      </c>
      <c r="T26" s="1352" t="s">
        <v>65</v>
      </c>
      <c r="U26" s="1353">
        <f>H26</f>
        <v>100</v>
      </c>
      <c r="V26" s="1352" t="s">
        <v>65</v>
      </c>
      <c r="W26" s="1353">
        <f>J26</f>
        <v>100</v>
      </c>
      <c r="X26" s="1340"/>
      <c r="Y26" s="355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51"/>
      <c r="Q27" s="7">
        <f t="shared" si="11"/>
        <v>111</v>
      </c>
      <c r="R27" s="1342" t="s">
        <v>65</v>
      </c>
      <c r="S27" s="1343">
        <f>F27</f>
        <v>100</v>
      </c>
      <c r="T27" s="1342" t="s">
        <v>65</v>
      </c>
      <c r="U27" s="1343">
        <f>H27</f>
        <v>100</v>
      </c>
      <c r="V27" s="1342" t="s">
        <v>65</v>
      </c>
      <c r="W27" s="1343">
        <f>J27</f>
        <v>100</v>
      </c>
      <c r="X27" s="287"/>
      <c r="Y27" s="355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51"/>
      <c r="Q28" s="1351">
        <f t="shared" si="11"/>
        <v>111</v>
      </c>
      <c r="R28" s="1352" t="s">
        <v>65</v>
      </c>
      <c r="S28" s="1353">
        <f t="shared" ref="S28:S40" si="12">F28</f>
        <v>100</v>
      </c>
      <c r="T28" s="1352" t="s">
        <v>65</v>
      </c>
      <c r="U28" s="1353">
        <f t="shared" ref="U28:U40" si="13">H28</f>
        <v>100</v>
      </c>
      <c r="V28" s="1352" t="s">
        <v>65</v>
      </c>
      <c r="W28" s="1353">
        <f t="shared" ref="W28:W40" si="14">J28</f>
        <v>100</v>
      </c>
      <c r="X28" s="1340"/>
      <c r="Y28" s="355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06" t="s">
        <v>1131</v>
      </c>
      <c r="Q29" s="1351" t="str">
        <f t="shared" si="11"/>
        <v>建筑类型</v>
      </c>
      <c r="R29" s="1352" t="s">
        <v>65</v>
      </c>
      <c r="S29" s="1353">
        <f t="shared" si="12"/>
        <v>100</v>
      </c>
      <c r="T29" s="1352" t="s">
        <v>65</v>
      </c>
      <c r="U29" s="1353">
        <f t="shared" si="13"/>
        <v>100</v>
      </c>
      <c r="V29" s="1352" t="s">
        <v>65</v>
      </c>
      <c r="W29" s="1353">
        <f t="shared" si="14"/>
        <v>100</v>
      </c>
      <c r="X29" s="1340"/>
      <c r="Y29" s="3555"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55"/>
      <c r="Q30" s="1359" t="str">
        <f t="shared" si="11"/>
        <v>项目建筑规模</v>
      </c>
      <c r="R30" s="1360" t="s">
        <v>65</v>
      </c>
      <c r="S30" s="1361" t="e">
        <f t="shared" si="12"/>
        <v>#N/A</v>
      </c>
      <c r="T30" s="1360" t="s">
        <v>65</v>
      </c>
      <c r="U30" s="1361" t="e">
        <f t="shared" si="13"/>
        <v>#N/A</v>
      </c>
      <c r="V30" s="1360" t="s">
        <v>65</v>
      </c>
      <c r="W30" s="1361" t="e">
        <f t="shared" si="14"/>
        <v>#N/A</v>
      </c>
      <c r="X30" s="1362"/>
      <c r="Y30" s="355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55"/>
      <c r="Q31" s="1351" t="str">
        <f t="shared" si="11"/>
        <v>建筑结构</v>
      </c>
      <c r="R31" s="1352" t="s">
        <v>65</v>
      </c>
      <c r="S31" s="1353">
        <f t="shared" si="12"/>
        <v>100</v>
      </c>
      <c r="T31" s="1352" t="s">
        <v>65</v>
      </c>
      <c r="U31" s="1353">
        <f t="shared" si="13"/>
        <v>100</v>
      </c>
      <c r="V31" s="1352" t="s">
        <v>65</v>
      </c>
      <c r="W31" s="1353">
        <f t="shared" si="14"/>
        <v>100</v>
      </c>
      <c r="X31" s="1340"/>
      <c r="Y31" s="3555"/>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55"/>
      <c r="Q32" s="1351" t="str">
        <f t="shared" si="11"/>
        <v>公共部分装修</v>
      </c>
      <c r="R32" s="1352" t="s">
        <v>65</v>
      </c>
      <c r="S32" s="1353">
        <f t="shared" si="12"/>
        <v>100</v>
      </c>
      <c r="T32" s="1352" t="s">
        <v>65</v>
      </c>
      <c r="U32" s="1353">
        <f t="shared" si="13"/>
        <v>100</v>
      </c>
      <c r="V32" s="1352" t="s">
        <v>65</v>
      </c>
      <c r="W32" s="1353">
        <f t="shared" si="14"/>
        <v>100</v>
      </c>
      <c r="X32" s="1340"/>
      <c r="Y32" s="3555"/>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55"/>
      <c r="Q33" s="1351" t="str">
        <f t="shared" si="11"/>
        <v>成新度</v>
      </c>
      <c r="R33" s="1352" t="s">
        <v>65</v>
      </c>
      <c r="S33" s="1353" t="e">
        <f t="shared" si="12"/>
        <v>#N/A</v>
      </c>
      <c r="T33" s="1352" t="s">
        <v>65</v>
      </c>
      <c r="U33" s="1353" t="e">
        <f t="shared" si="13"/>
        <v>#N/A</v>
      </c>
      <c r="V33" s="1352" t="s">
        <v>65</v>
      </c>
      <c r="W33" s="1353" t="e">
        <f t="shared" si="14"/>
        <v>#N/A</v>
      </c>
      <c r="X33" s="1340"/>
      <c r="Y33" s="3555"/>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55"/>
      <c r="Q34" s="7" t="str">
        <f t="shared" si="11"/>
        <v>物业管理</v>
      </c>
      <c r="R34" s="1342" t="s">
        <v>65</v>
      </c>
      <c r="S34" s="1343">
        <f t="shared" si="12"/>
        <v>100</v>
      </c>
      <c r="T34" s="1342" t="s">
        <v>65</v>
      </c>
      <c r="U34" s="1343">
        <f t="shared" si="13"/>
        <v>100</v>
      </c>
      <c r="V34" s="1342" t="s">
        <v>65</v>
      </c>
      <c r="W34" s="1343">
        <f t="shared" si="14"/>
        <v>100</v>
      </c>
      <c r="X34" s="287"/>
      <c r="Y34" s="3555"/>
      <c r="Z34" s="288" t="str">
        <f t="shared" si="15"/>
        <v>物业管理</v>
      </c>
      <c r="AA34" s="1344">
        <f t="shared" si="3"/>
        <v>1</v>
      </c>
      <c r="AB34" s="1344">
        <f t="shared" si="4"/>
        <v>1</v>
      </c>
      <c r="AC34" s="1344">
        <f t="shared" si="5"/>
        <v>1</v>
      </c>
    </row>
    <row r="35" spans="1:29" ht="15">
      <c r="A35" s="161"/>
      <c r="B35" s="12" t="s">
        <v>2667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55" t="s">
        <v>70</v>
      </c>
      <c r="Q35" s="1351" t="str">
        <f t="shared" si="11"/>
        <v>市政基础设施</v>
      </c>
      <c r="R35" s="1352" t="s">
        <v>65</v>
      </c>
      <c r="S35" s="1353">
        <f t="shared" si="12"/>
        <v>100</v>
      </c>
      <c r="T35" s="1352" t="s">
        <v>65</v>
      </c>
      <c r="U35" s="1353">
        <f t="shared" si="13"/>
        <v>100</v>
      </c>
      <c r="V35" s="1352" t="s">
        <v>65</v>
      </c>
      <c r="W35" s="1353">
        <f t="shared" si="14"/>
        <v>100</v>
      </c>
      <c r="X35" s="1340"/>
      <c r="Y35" s="355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55"/>
      <c r="Q36" s="1351" t="str">
        <f t="shared" si="11"/>
        <v>内部装修</v>
      </c>
      <c r="R36" s="1352" t="s">
        <v>65</v>
      </c>
      <c r="S36" s="1353">
        <f t="shared" si="12"/>
        <v>100</v>
      </c>
      <c r="T36" s="1352" t="s">
        <v>65</v>
      </c>
      <c r="U36" s="1353">
        <f t="shared" si="13"/>
        <v>100</v>
      </c>
      <c r="V36" s="1352" t="s">
        <v>65</v>
      </c>
      <c r="W36" s="1353">
        <f t="shared" si="14"/>
        <v>100</v>
      </c>
      <c r="X36" s="1340"/>
      <c r="Y36" s="3555"/>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55"/>
      <c r="Q37" s="1351" t="str">
        <f t="shared" si="11"/>
        <v>内部装修状况</v>
      </c>
      <c r="R37" s="1352" t="s">
        <v>65</v>
      </c>
      <c r="S37" s="1353">
        <f t="shared" si="12"/>
        <v>100</v>
      </c>
      <c r="T37" s="1352" t="s">
        <v>65</v>
      </c>
      <c r="U37" s="1353">
        <f t="shared" si="13"/>
        <v>100</v>
      </c>
      <c r="V37" s="1352" t="s">
        <v>65</v>
      </c>
      <c r="W37" s="1353">
        <f t="shared" si="14"/>
        <v>100</v>
      </c>
      <c r="X37" s="1340"/>
      <c r="Y37" s="355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55"/>
      <c r="Q38" s="1359">
        <f t="shared" si="11"/>
        <v>111</v>
      </c>
      <c r="R38" s="1360" t="s">
        <v>65</v>
      </c>
      <c r="S38" s="1361">
        <f t="shared" si="12"/>
        <v>100</v>
      </c>
      <c r="T38" s="1360" t="s">
        <v>65</v>
      </c>
      <c r="U38" s="1361">
        <f t="shared" si="13"/>
        <v>100</v>
      </c>
      <c r="V38" s="1360" t="s">
        <v>65</v>
      </c>
      <c r="W38" s="1361">
        <f t="shared" si="14"/>
        <v>100</v>
      </c>
      <c r="X38" s="1362"/>
      <c r="Y38" s="355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55"/>
      <c r="Q39" s="1351">
        <f t="shared" si="11"/>
        <v>111</v>
      </c>
      <c r="R39" s="1352" t="s">
        <v>65</v>
      </c>
      <c r="S39" s="1353">
        <f t="shared" si="12"/>
        <v>100</v>
      </c>
      <c r="T39" s="1352" t="s">
        <v>65</v>
      </c>
      <c r="U39" s="1353">
        <f t="shared" si="13"/>
        <v>100</v>
      </c>
      <c r="V39" s="1352" t="s">
        <v>65</v>
      </c>
      <c r="W39" s="1353">
        <f t="shared" si="14"/>
        <v>100</v>
      </c>
      <c r="X39" s="1340"/>
      <c r="Y39" s="355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556"/>
      <c r="Q40" s="1351">
        <f t="shared" si="11"/>
        <v>111</v>
      </c>
      <c r="R40" s="1352" t="s">
        <v>65</v>
      </c>
      <c r="S40" s="1353">
        <f t="shared" si="12"/>
        <v>100</v>
      </c>
      <c r="T40" s="1352" t="s">
        <v>65</v>
      </c>
      <c r="U40" s="1353">
        <f t="shared" si="13"/>
        <v>100</v>
      </c>
      <c r="V40" s="1352" t="s">
        <v>65</v>
      </c>
      <c r="W40" s="1353">
        <f t="shared" si="14"/>
        <v>100</v>
      </c>
      <c r="X40" s="1340"/>
      <c r="Y40" s="3556"/>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548" t="str">
        <f>A41</f>
        <v>成交单价（元/平方米）</v>
      </c>
      <c r="Q41" s="3548"/>
      <c r="R41" s="3549">
        <f>E41</f>
        <v>0</v>
      </c>
      <c r="S41" s="3549"/>
      <c r="T41" s="3549">
        <f>G41</f>
        <v>0</v>
      </c>
      <c r="U41" s="3549"/>
      <c r="V41" s="3549">
        <f>I41</f>
        <v>0</v>
      </c>
      <c r="W41" s="3549"/>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48" t="str">
        <f>A42</f>
        <v>比较价值（元/平方米）</v>
      </c>
      <c r="Q42" s="3548"/>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1365"/>
      <c r="Y42" s="1365"/>
      <c r="Z42" s="1365"/>
      <c r="AA42" s="1365"/>
      <c r="AB42" s="1365"/>
      <c r="AC42" s="1365"/>
    </row>
    <row r="43" spans="1:29" ht="15.75" thickBot="1">
      <c r="A43" s="115" t="s">
        <v>3032</v>
      </c>
      <c r="B43" s="116"/>
      <c r="C43" s="2848" t="e">
        <f>R43</f>
        <v>#DIV/0!</v>
      </c>
      <c r="D43" s="2848"/>
      <c r="E43" s="2848"/>
      <c r="F43" s="2848"/>
      <c r="G43" s="2848"/>
      <c r="H43" s="2848"/>
      <c r="I43" s="2848"/>
      <c r="J43" s="2848"/>
      <c r="K43" s="1395"/>
      <c r="L43" s="2305"/>
      <c r="M43" s="2306"/>
      <c r="N43" s="2306"/>
      <c r="O43" s="2306"/>
      <c r="P43" s="3545" t="str">
        <f>A43</f>
        <v>估价对象XX用房的比较价值（楼面单价，元/平方米）</v>
      </c>
      <c r="Q43" s="3546"/>
      <c r="R43" s="3547" t="e">
        <f>IF(F1="售价",ROUND(AVERAGE(R42:V42),0),ROUND(AVERAGE(R42:V42),1))</f>
        <v>#DIV/0!</v>
      </c>
      <c r="S43" s="3547"/>
      <c r="T43" s="3547"/>
      <c r="U43" s="3547"/>
      <c r="V43" s="3547"/>
      <c r="W43" s="3547"/>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2807</v>
      </c>
      <c r="B52" s="849"/>
      <c r="C52" s="3047" t="str">
        <f>YEAR(C7)&amp;"-"&amp;MONTH(C7)</f>
        <v>1900-1</v>
      </c>
      <c r="D52" s="3048" t="e">
        <f>EDATE(C52,-1)</f>
        <v>#NUM!</v>
      </c>
      <c r="E52" s="3048" t="e">
        <f t="shared" ref="E52:O52" si="16">EDATE(D52,-1)</f>
        <v>#NUM!</v>
      </c>
      <c r="F52" s="3048" t="e">
        <f t="shared" si="16"/>
        <v>#NUM!</v>
      </c>
      <c r="G52" s="3048" t="e">
        <f t="shared" si="16"/>
        <v>#NUM!</v>
      </c>
      <c r="H52" s="3048" t="e">
        <f t="shared" si="16"/>
        <v>#NUM!</v>
      </c>
      <c r="I52" s="3048" t="e">
        <f t="shared" si="16"/>
        <v>#NUM!</v>
      </c>
      <c r="J52" s="3048" t="e">
        <f t="shared" si="16"/>
        <v>#NUM!</v>
      </c>
      <c r="K52" s="3048" t="e">
        <f t="shared" si="16"/>
        <v>#NUM!</v>
      </c>
      <c r="L52" s="3048" t="e">
        <f t="shared" si="16"/>
        <v>#NUM!</v>
      </c>
      <c r="M52" s="3048" t="e">
        <f t="shared" si="16"/>
        <v>#NUM!</v>
      </c>
      <c r="N52" s="3048" t="e">
        <f t="shared" si="16"/>
        <v>#NUM!</v>
      </c>
      <c r="O52" s="3048" t="e">
        <f t="shared" si="16"/>
        <v>#NUM!</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2649</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2677</v>
      </c>
      <c r="C76" s="213" t="s">
        <v>2669</v>
      </c>
      <c r="D76" s="213" t="s">
        <v>2670</v>
      </c>
      <c r="E76" s="213" t="s">
        <v>2671</v>
      </c>
      <c r="F76" s="213" t="s">
        <v>2672</v>
      </c>
      <c r="G76" s="213" t="s">
        <v>2673</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2018</v>
      </c>
    </row>
    <row r="6" spans="1:1" ht="18.75">
      <c r="A6" s="3058" t="s">
        <v>2884</v>
      </c>
    </row>
    <row r="7" spans="1:1" ht="18.75">
      <c r="A7" s="194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6.25">
      <c r="A8" s="1993" t="s">
        <v>2877</v>
      </c>
    </row>
    <row r="9" spans="1:1" ht="18.75">
      <c r="A9" s="3058" t="s">
        <v>2885</v>
      </c>
    </row>
    <row r="10" spans="1:1" ht="18.75">
      <c r="A10" s="194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5">
      <c r="A11" s="1993" t="s">
        <v>2919</v>
      </c>
    </row>
    <row r="12" spans="1:1" ht="18.75">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2020</v>
      </c>
    </row>
    <row r="15" spans="1:1" ht="18.75">
      <c r="A15" s="1953" t="str">
        <f>TEXT(项目基本情况!D3,"yyyy年m月d日;;")&amp;IF(项目基本情况!D3=项目基本情况!B3,"（评估专业人员实地查勘之日）","")</f>
        <v>（评估专业人员实地查勘之日）</v>
      </c>
    </row>
    <row r="16" spans="1:1" ht="18.75">
      <c r="A16" s="1952" t="s">
        <v>2022</v>
      </c>
    </row>
    <row r="17" spans="1:1" ht="75">
      <c r="A17" s="1949" t="s">
        <v>2878</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2879</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本次评估采用的主估价方法为基准地价系数修正法和基准地价系数修正法。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619" t="s">
        <v>451</v>
      </c>
      <c r="D4" s="3620"/>
      <c r="E4" s="3621" t="s">
        <v>452</v>
      </c>
      <c r="F4" s="3622"/>
      <c r="G4" s="3619" t="s">
        <v>453</v>
      </c>
      <c r="H4" s="3620"/>
      <c r="I4" s="3619" t="s">
        <v>454</v>
      </c>
      <c r="J4" s="3620"/>
      <c r="K4" s="953" t="s">
        <v>455</v>
      </c>
      <c r="L4" s="2350"/>
      <c r="M4" s="2351"/>
      <c r="N4" s="2351"/>
      <c r="O4" s="2351"/>
      <c r="P4" s="3623" t="s">
        <v>456</v>
      </c>
      <c r="Q4" s="3624"/>
      <c r="R4" s="3629" t="s">
        <v>452</v>
      </c>
      <c r="S4" s="3630"/>
      <c r="T4" s="3629" t="s">
        <v>453</v>
      </c>
      <c r="U4" s="3630"/>
      <c r="V4" s="3635" t="s">
        <v>454</v>
      </c>
      <c r="W4" s="3635"/>
      <c r="X4" s="2835"/>
      <c r="Y4" s="3629" t="s">
        <v>456</v>
      </c>
      <c r="Z4" s="3630"/>
      <c r="AA4" s="3616" t="s">
        <v>452</v>
      </c>
      <c r="AB4" s="3617" t="s">
        <v>453</v>
      </c>
      <c r="AC4" s="3616" t="s">
        <v>454</v>
      </c>
    </row>
    <row r="5" spans="1:29" ht="15">
      <c r="A5" s="747"/>
      <c r="B5" s="748"/>
      <c r="C5" s="3638" t="s">
        <v>3033</v>
      </c>
      <c r="D5" s="3639"/>
      <c r="E5" s="3645" t="s">
        <v>3034</v>
      </c>
      <c r="F5" s="3646"/>
      <c r="G5" s="3638" t="s">
        <v>3035</v>
      </c>
      <c r="H5" s="3639"/>
      <c r="I5" s="3638" t="s">
        <v>3036</v>
      </c>
      <c r="J5" s="3639"/>
      <c r="K5" s="953"/>
      <c r="L5" s="2350"/>
      <c r="M5" s="2351"/>
      <c r="N5" s="2351"/>
      <c r="O5" s="2351"/>
      <c r="P5" s="3625"/>
      <c r="Q5" s="3626"/>
      <c r="R5" s="3631"/>
      <c r="S5" s="3632"/>
      <c r="T5" s="3631"/>
      <c r="U5" s="3632"/>
      <c r="V5" s="3635"/>
      <c r="W5" s="3635"/>
      <c r="X5" s="2835"/>
      <c r="Y5" s="3631"/>
      <c r="Z5" s="3632"/>
      <c r="AA5" s="3617"/>
      <c r="AB5" s="3617"/>
      <c r="AC5" s="3617"/>
    </row>
    <row r="6" spans="1:29" ht="15.75" thickBot="1">
      <c r="A6" s="749"/>
      <c r="B6" s="750"/>
      <c r="C6" s="3636" t="s">
        <v>3037</v>
      </c>
      <c r="D6" s="3637"/>
      <c r="E6" s="3643" t="s">
        <v>3037</v>
      </c>
      <c r="F6" s="3644"/>
      <c r="G6" s="3636" t="s">
        <v>3037</v>
      </c>
      <c r="H6" s="3637"/>
      <c r="I6" s="3636" t="s">
        <v>3037</v>
      </c>
      <c r="J6" s="3637"/>
      <c r="K6" s="953" t="s">
        <v>398</v>
      </c>
      <c r="L6" s="2350"/>
      <c r="M6" s="2351"/>
      <c r="N6" s="2351"/>
      <c r="O6" s="2351"/>
      <c r="P6" s="3627"/>
      <c r="Q6" s="3628"/>
      <c r="R6" s="3631"/>
      <c r="S6" s="3632"/>
      <c r="T6" s="3633"/>
      <c r="U6" s="3634"/>
      <c r="V6" s="3635"/>
      <c r="W6" s="3635"/>
      <c r="X6" s="2835"/>
      <c r="Y6" s="3633"/>
      <c r="Z6" s="3634"/>
      <c r="AA6" s="3618"/>
      <c r="AB6" s="3618"/>
      <c r="AC6" s="3618"/>
    </row>
    <row r="7" spans="1:29" s="407" customFormat="1" ht="15.75" thickBot="1">
      <c r="A7" s="751" t="s">
        <v>399</v>
      </c>
      <c r="B7" s="752"/>
      <c r="C7" s="753">
        <f>'数据-取费表'!B2</f>
        <v>0</v>
      </c>
      <c r="D7" s="754">
        <v>100</v>
      </c>
      <c r="E7" s="755"/>
      <c r="F7" s="756">
        <f>SUMIF(48:48,YEAR(E7)&amp;"-"&amp;MONTH(E7),49:49)</f>
        <v>100</v>
      </c>
      <c r="G7" s="755"/>
      <c r="H7" s="754">
        <f>SUMIF(48:48,YEAR(G7)&amp;"-"&amp;MONTH(G7),49:49)</f>
        <v>100</v>
      </c>
      <c r="I7" s="755"/>
      <c r="J7" s="754">
        <f>SUMIF(48:48,YEAR(I7)&amp;"-"&amp;MONTH(I7),49:49)</f>
        <v>100</v>
      </c>
      <c r="K7" s="954"/>
      <c r="L7" s="2352"/>
      <c r="M7" s="2353"/>
      <c r="N7" s="2353"/>
      <c r="O7" s="2353"/>
      <c r="P7" s="3640" t="s">
        <v>400</v>
      </c>
      <c r="Q7" s="3642"/>
      <c r="R7" s="1319" t="s">
        <v>65</v>
      </c>
      <c r="S7" s="1320">
        <f t="shared" ref="S7:S14" si="0">F7</f>
        <v>100</v>
      </c>
      <c r="T7" s="1319" t="s">
        <v>65</v>
      </c>
      <c r="U7" s="1320">
        <f t="shared" ref="U7:U14" si="1">H7</f>
        <v>100</v>
      </c>
      <c r="V7" s="1319" t="s">
        <v>65</v>
      </c>
      <c r="W7" s="1320">
        <f t="shared" ref="W7:W14" si="2">J7</f>
        <v>100</v>
      </c>
      <c r="X7" s="1321"/>
      <c r="Y7" s="3640" t="s">
        <v>400</v>
      </c>
      <c r="Z7" s="3641"/>
      <c r="AA7" s="1322">
        <f>D7/F7</f>
        <v>1</v>
      </c>
      <c r="AB7" s="1322">
        <f>D7/H7</f>
        <v>1</v>
      </c>
      <c r="AC7" s="1322">
        <f>D7/J7</f>
        <v>1</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07" t="s">
        <v>403</v>
      </c>
      <c r="Q9" s="2834" t="str">
        <f t="shared" ref="Q9:Q14" si="6">B9</f>
        <v>用途</v>
      </c>
      <c r="R9" s="1319" t="s">
        <v>65</v>
      </c>
      <c r="S9" s="1320">
        <f t="shared" si="0"/>
        <v>100</v>
      </c>
      <c r="T9" s="1319" t="s">
        <v>65</v>
      </c>
      <c r="U9" s="1320">
        <f t="shared" si="1"/>
        <v>100</v>
      </c>
      <c r="V9" s="1319" t="s">
        <v>65</v>
      </c>
      <c r="W9" s="1320">
        <f t="shared" si="2"/>
        <v>100</v>
      </c>
      <c r="X9" s="1321"/>
      <c r="Y9" s="3416"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07"/>
      <c r="Q10" s="2834" t="str">
        <f t="shared" si="6"/>
        <v>土地使用年限（年）</v>
      </c>
      <c r="R10" s="1319" t="s">
        <v>65</v>
      </c>
      <c r="S10" s="1320">
        <f t="shared" si="0"/>
        <v>100</v>
      </c>
      <c r="T10" s="1319" t="s">
        <v>65</v>
      </c>
      <c r="U10" s="1320">
        <f t="shared" si="1"/>
        <v>100</v>
      </c>
      <c r="V10" s="1319" t="s">
        <v>65</v>
      </c>
      <c r="W10" s="1320">
        <f t="shared" si="2"/>
        <v>100</v>
      </c>
      <c r="X10" s="1321"/>
      <c r="Y10" s="341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07"/>
      <c r="Q11" s="2834">
        <f t="shared" si="6"/>
        <v>111</v>
      </c>
      <c r="R11" s="1319" t="s">
        <v>65</v>
      </c>
      <c r="S11" s="1320">
        <f t="shared" si="0"/>
        <v>100</v>
      </c>
      <c r="T11" s="1319" t="s">
        <v>65</v>
      </c>
      <c r="U11" s="1320">
        <f t="shared" si="1"/>
        <v>100</v>
      </c>
      <c r="V11" s="1319" t="s">
        <v>65</v>
      </c>
      <c r="W11" s="1320">
        <f t="shared" si="2"/>
        <v>100</v>
      </c>
      <c r="X11" s="1321"/>
      <c r="Y11" s="341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07"/>
      <c r="Q12" s="2834">
        <f t="shared" si="6"/>
        <v>111</v>
      </c>
      <c r="R12" s="1319" t="s">
        <v>65</v>
      </c>
      <c r="S12" s="1320">
        <f t="shared" si="0"/>
        <v>100</v>
      </c>
      <c r="T12" s="1319" t="s">
        <v>65</v>
      </c>
      <c r="U12" s="1320">
        <f t="shared" si="1"/>
        <v>100</v>
      </c>
      <c r="V12" s="1319" t="s">
        <v>65</v>
      </c>
      <c r="W12" s="1320">
        <f t="shared" si="2"/>
        <v>100</v>
      </c>
      <c r="X12" s="1321"/>
      <c r="Y12" s="341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07"/>
      <c r="Q13" s="2834">
        <f t="shared" si="6"/>
        <v>111</v>
      </c>
      <c r="R13" s="1319" t="s">
        <v>65</v>
      </c>
      <c r="S13" s="1320">
        <f t="shared" si="0"/>
        <v>100</v>
      </c>
      <c r="T13" s="1319" t="s">
        <v>65</v>
      </c>
      <c r="U13" s="1320">
        <f t="shared" si="1"/>
        <v>100</v>
      </c>
      <c r="V13" s="1319" t="s">
        <v>65</v>
      </c>
      <c r="W13" s="1320">
        <f t="shared" si="2"/>
        <v>100</v>
      </c>
      <c r="X13" s="1321"/>
      <c r="Y13" s="3416"/>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12" t="s">
        <v>408</v>
      </c>
      <c r="Q14" s="2836" t="str">
        <f t="shared" si="6"/>
        <v>交通便捷度</v>
      </c>
      <c r="R14" s="1324" t="s">
        <v>65</v>
      </c>
      <c r="S14" s="1325">
        <f t="shared" si="0"/>
        <v>100</v>
      </c>
      <c r="T14" s="1324" t="s">
        <v>65</v>
      </c>
      <c r="U14" s="1325">
        <f t="shared" si="1"/>
        <v>100</v>
      </c>
      <c r="V14" s="1324" t="s">
        <v>65</v>
      </c>
      <c r="W14" s="1325">
        <f t="shared" si="2"/>
        <v>100</v>
      </c>
      <c r="X14" s="2835"/>
      <c r="Y14" s="3612"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13"/>
      <c r="Q15" s="2836"/>
      <c r="R15" s="1324"/>
      <c r="S15" s="1325"/>
      <c r="T15" s="1324"/>
      <c r="U15" s="1325"/>
      <c r="V15" s="1324"/>
      <c r="W15" s="1325"/>
      <c r="X15" s="2835"/>
      <c r="Y15" s="3613"/>
      <c r="Z15" s="2837"/>
      <c r="AA15" s="1327">
        <v>1</v>
      </c>
      <c r="AB15" s="1327">
        <v>1</v>
      </c>
      <c r="AC15" s="1327">
        <v>1</v>
      </c>
    </row>
    <row r="16" spans="1:29" ht="40.5">
      <c r="A16" s="747"/>
      <c r="B16" s="1034" t="s">
        <v>2678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13"/>
      <c r="Q16" s="2836" t="str">
        <f>B16</f>
        <v>公共配套设施</v>
      </c>
      <c r="R16" s="1324" t="s">
        <v>65</v>
      </c>
      <c r="S16" s="1325">
        <f>F16</f>
        <v>100</v>
      </c>
      <c r="T16" s="1324" t="s">
        <v>65</v>
      </c>
      <c r="U16" s="1325">
        <f>H16</f>
        <v>100</v>
      </c>
      <c r="V16" s="1324" t="s">
        <v>65</v>
      </c>
      <c r="W16" s="1325">
        <f>J16</f>
        <v>100</v>
      </c>
      <c r="X16" s="2835"/>
      <c r="Y16" s="3613"/>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13"/>
      <c r="Q17" s="2836"/>
      <c r="R17" s="1324"/>
      <c r="S17" s="1325"/>
      <c r="T17" s="1324"/>
      <c r="U17" s="1325"/>
      <c r="V17" s="1324"/>
      <c r="W17" s="1325"/>
      <c r="X17" s="2835"/>
      <c r="Y17" s="3613"/>
      <c r="Z17" s="2837"/>
      <c r="AA17" s="1327">
        <v>1</v>
      </c>
      <c r="AB17" s="1327">
        <v>1</v>
      </c>
      <c r="AC17" s="1327">
        <v>1</v>
      </c>
    </row>
    <row r="18" spans="1:29" ht="40.5">
      <c r="A18" s="747"/>
      <c r="B18" s="1036" t="s">
        <v>2677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13"/>
      <c r="Q18" s="2836" t="str">
        <f>B18</f>
        <v>基础设施水平</v>
      </c>
      <c r="R18" s="1324" t="s">
        <v>65</v>
      </c>
      <c r="S18" s="1325">
        <f>F18</f>
        <v>100</v>
      </c>
      <c r="T18" s="1324" t="s">
        <v>65</v>
      </c>
      <c r="U18" s="1325">
        <f>H18</f>
        <v>100</v>
      </c>
      <c r="V18" s="1324" t="s">
        <v>65</v>
      </c>
      <c r="W18" s="1325">
        <f>J18</f>
        <v>100</v>
      </c>
      <c r="X18" s="2835"/>
      <c r="Y18" s="3613"/>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13"/>
      <c r="Q19" s="2836"/>
      <c r="R19" s="1324"/>
      <c r="S19" s="1325"/>
      <c r="T19" s="1324"/>
      <c r="U19" s="1325"/>
      <c r="V19" s="1324"/>
      <c r="W19" s="1325"/>
      <c r="X19" s="2835"/>
      <c r="Y19" s="3613"/>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13"/>
      <c r="Q20" s="2836" t="str">
        <f>B20</f>
        <v>自然及人文环境</v>
      </c>
      <c r="R20" s="1324" t="s">
        <v>65</v>
      </c>
      <c r="S20" s="1325">
        <f>F20</f>
        <v>100</v>
      </c>
      <c r="T20" s="1324" t="s">
        <v>65</v>
      </c>
      <c r="U20" s="1325">
        <f>H20</f>
        <v>100</v>
      </c>
      <c r="V20" s="1324" t="s">
        <v>65</v>
      </c>
      <c r="W20" s="1325">
        <f>J20</f>
        <v>100</v>
      </c>
      <c r="X20" s="2835"/>
      <c r="Y20" s="3613"/>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13"/>
      <c r="Q21" s="2836"/>
      <c r="R21" s="1324"/>
      <c r="S21" s="1325"/>
      <c r="T21" s="1324"/>
      <c r="U21" s="1325"/>
      <c r="V21" s="1324"/>
      <c r="W21" s="1325"/>
      <c r="X21" s="2835"/>
      <c r="Y21" s="3613"/>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13"/>
      <c r="Q22" s="2836" t="str">
        <f>B22</f>
        <v>楼层</v>
      </c>
      <c r="R22" s="1324" t="s">
        <v>65</v>
      </c>
      <c r="S22" s="1325">
        <f>F22</f>
        <v>100</v>
      </c>
      <c r="T22" s="1324" t="s">
        <v>65</v>
      </c>
      <c r="U22" s="1325">
        <f>H22</f>
        <v>100</v>
      </c>
      <c r="V22" s="1324" t="s">
        <v>65</v>
      </c>
      <c r="W22" s="1325">
        <f>J22</f>
        <v>100</v>
      </c>
      <c r="X22" s="2835"/>
      <c r="Y22" s="3613"/>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13"/>
      <c r="Q23" s="2836">
        <f>B23</f>
        <v>111</v>
      </c>
      <c r="R23" s="1324" t="s">
        <v>65</v>
      </c>
      <c r="S23" s="1325">
        <f>F23</f>
        <v>100</v>
      </c>
      <c r="T23" s="1324" t="s">
        <v>65</v>
      </c>
      <c r="U23" s="1325">
        <f>H23</f>
        <v>100</v>
      </c>
      <c r="V23" s="1324" t="s">
        <v>65</v>
      </c>
      <c r="W23" s="1325">
        <f>J23</f>
        <v>100</v>
      </c>
      <c r="X23" s="2835"/>
      <c r="Y23" s="3613"/>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13"/>
      <c r="Q24" s="2836">
        <f t="shared" ref="Q24:Q36" si="11">B24</f>
        <v>111</v>
      </c>
      <c r="R24" s="1324" t="s">
        <v>65</v>
      </c>
      <c r="S24" s="1325">
        <f>F24</f>
        <v>100</v>
      </c>
      <c r="T24" s="1324" t="s">
        <v>65</v>
      </c>
      <c r="U24" s="1325">
        <f>H24</f>
        <v>100</v>
      </c>
      <c r="V24" s="1324" t="s">
        <v>65</v>
      </c>
      <c r="W24" s="1325">
        <f>J24</f>
        <v>100</v>
      </c>
      <c r="X24" s="2835"/>
      <c r="Y24" s="3613"/>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13"/>
      <c r="Q25" s="2834">
        <f t="shared" si="11"/>
        <v>111</v>
      </c>
      <c r="R25" s="1319" t="s">
        <v>65</v>
      </c>
      <c r="S25" s="1320">
        <f>F25</f>
        <v>100</v>
      </c>
      <c r="T25" s="1319" t="s">
        <v>65</v>
      </c>
      <c r="U25" s="1320">
        <f>H25</f>
        <v>100</v>
      </c>
      <c r="V25" s="1319" t="s">
        <v>65</v>
      </c>
      <c r="W25" s="1320">
        <f>J25</f>
        <v>100</v>
      </c>
      <c r="X25" s="1321"/>
      <c r="Y25" s="3613"/>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14"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15"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15"/>
      <c r="Q27" s="1328" t="str">
        <f t="shared" si="11"/>
        <v>项目停车位配比</v>
      </c>
      <c r="R27" s="1329" t="s">
        <v>65</v>
      </c>
      <c r="S27" s="1330">
        <f t="shared" si="12"/>
        <v>100</v>
      </c>
      <c r="T27" s="1329" t="s">
        <v>65</v>
      </c>
      <c r="U27" s="1330">
        <f t="shared" si="13"/>
        <v>100</v>
      </c>
      <c r="V27" s="1329" t="s">
        <v>65</v>
      </c>
      <c r="W27" s="1330">
        <f t="shared" si="14"/>
        <v>100</v>
      </c>
      <c r="X27" s="1331"/>
      <c r="Y27" s="3615"/>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15"/>
      <c r="Q28" s="2836" t="str">
        <f t="shared" si="11"/>
        <v>公共部分装修</v>
      </c>
      <c r="R28" s="1324" t="s">
        <v>65</v>
      </c>
      <c r="S28" s="1325">
        <f t="shared" si="12"/>
        <v>100</v>
      </c>
      <c r="T28" s="1324" t="s">
        <v>65</v>
      </c>
      <c r="U28" s="1325">
        <f t="shared" si="13"/>
        <v>100</v>
      </c>
      <c r="V28" s="1324" t="s">
        <v>65</v>
      </c>
      <c r="W28" s="1325">
        <f t="shared" si="14"/>
        <v>100</v>
      </c>
      <c r="X28" s="2835"/>
      <c r="Y28" s="3615"/>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15"/>
      <c r="Q29" s="2836" t="str">
        <f t="shared" si="11"/>
        <v>成新率</v>
      </c>
      <c r="R29" s="1324" t="s">
        <v>65</v>
      </c>
      <c r="S29" s="1325" t="e">
        <f t="shared" si="12"/>
        <v>#N/A</v>
      </c>
      <c r="T29" s="1324" t="s">
        <v>65</v>
      </c>
      <c r="U29" s="1325" t="e">
        <f t="shared" si="13"/>
        <v>#N/A</v>
      </c>
      <c r="V29" s="1324" t="s">
        <v>65</v>
      </c>
      <c r="W29" s="1325" t="e">
        <f t="shared" si="14"/>
        <v>#N/A</v>
      </c>
      <c r="X29" s="2835"/>
      <c r="Y29" s="3615"/>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15"/>
      <c r="Q30" s="2836" t="str">
        <f t="shared" si="11"/>
        <v>物业等级</v>
      </c>
      <c r="R30" s="1324" t="s">
        <v>65</v>
      </c>
      <c r="S30" s="1325">
        <f t="shared" si="12"/>
        <v>100</v>
      </c>
      <c r="T30" s="1324" t="s">
        <v>65</v>
      </c>
      <c r="U30" s="1325">
        <f t="shared" si="13"/>
        <v>100</v>
      </c>
      <c r="V30" s="1324" t="s">
        <v>65</v>
      </c>
      <c r="W30" s="1325">
        <f t="shared" si="14"/>
        <v>100</v>
      </c>
      <c r="X30" s="2835"/>
      <c r="Y30" s="3615"/>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15"/>
      <c r="Q31" s="2834" t="str">
        <f t="shared" si="11"/>
        <v>停车位面积</v>
      </c>
      <c r="R31" s="1319" t="s">
        <v>65</v>
      </c>
      <c r="S31" s="1320" t="e">
        <f t="shared" si="12"/>
        <v>#N/A</v>
      </c>
      <c r="T31" s="1319" t="s">
        <v>65</v>
      </c>
      <c r="U31" s="1320" t="e">
        <f t="shared" si="13"/>
        <v>#N/A</v>
      </c>
      <c r="V31" s="1319" t="s">
        <v>65</v>
      </c>
      <c r="W31" s="1320" t="e">
        <f t="shared" si="14"/>
        <v>#N/A</v>
      </c>
      <c r="X31" s="1321"/>
      <c r="Y31" s="3615"/>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15" t="s">
        <v>410</v>
      </c>
      <c r="Q32" s="2836" t="str">
        <f t="shared" si="11"/>
        <v>车位类型</v>
      </c>
      <c r="R32" s="1324" t="s">
        <v>65</v>
      </c>
      <c r="S32" s="1325">
        <f t="shared" si="12"/>
        <v>100</v>
      </c>
      <c r="T32" s="1324" t="s">
        <v>65</v>
      </c>
      <c r="U32" s="1325">
        <f t="shared" si="13"/>
        <v>100</v>
      </c>
      <c r="V32" s="1324" t="s">
        <v>65</v>
      </c>
      <c r="W32" s="1325">
        <f t="shared" si="14"/>
        <v>100</v>
      </c>
      <c r="X32" s="2835"/>
      <c r="Y32" s="3615"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15"/>
      <c r="Q33" s="2836" t="str">
        <f t="shared" si="11"/>
        <v>是否直接入户</v>
      </c>
      <c r="R33" s="1324" t="s">
        <v>65</v>
      </c>
      <c r="S33" s="1325">
        <f t="shared" si="12"/>
        <v>100</v>
      </c>
      <c r="T33" s="1324" t="s">
        <v>65</v>
      </c>
      <c r="U33" s="1325">
        <f t="shared" si="13"/>
        <v>100</v>
      </c>
      <c r="V33" s="1324" t="s">
        <v>65</v>
      </c>
      <c r="W33" s="1325">
        <f t="shared" si="14"/>
        <v>100</v>
      </c>
      <c r="X33" s="2835"/>
      <c r="Y33" s="3615"/>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15"/>
      <c r="Q34" s="2836">
        <f t="shared" si="11"/>
        <v>111</v>
      </c>
      <c r="R34" s="1324" t="s">
        <v>65</v>
      </c>
      <c r="S34" s="1325">
        <f t="shared" si="12"/>
        <v>100</v>
      </c>
      <c r="T34" s="1324" t="s">
        <v>65</v>
      </c>
      <c r="U34" s="1325">
        <f t="shared" si="13"/>
        <v>100</v>
      </c>
      <c r="V34" s="1324" t="s">
        <v>65</v>
      </c>
      <c r="W34" s="1325">
        <f t="shared" si="14"/>
        <v>100</v>
      </c>
      <c r="X34" s="2835"/>
      <c r="Y34" s="3615"/>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15"/>
      <c r="Q35" s="1328">
        <f t="shared" si="11"/>
        <v>111</v>
      </c>
      <c r="R35" s="1329" t="s">
        <v>65</v>
      </c>
      <c r="S35" s="1330">
        <f t="shared" si="12"/>
        <v>100</v>
      </c>
      <c r="T35" s="1329" t="s">
        <v>65</v>
      </c>
      <c r="U35" s="1330">
        <f t="shared" si="13"/>
        <v>100</v>
      </c>
      <c r="V35" s="1329" t="s">
        <v>65</v>
      </c>
      <c r="W35" s="1330">
        <f t="shared" si="14"/>
        <v>100</v>
      </c>
      <c r="X35" s="1331"/>
      <c r="Y35" s="361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15"/>
      <c r="Q36" s="2836">
        <f t="shared" si="11"/>
        <v>111</v>
      </c>
      <c r="R36" s="1324" t="s">
        <v>65</v>
      </c>
      <c r="S36" s="1325">
        <f t="shared" si="12"/>
        <v>100</v>
      </c>
      <c r="T36" s="1324" t="s">
        <v>65</v>
      </c>
      <c r="U36" s="1325">
        <f t="shared" si="13"/>
        <v>100</v>
      </c>
      <c r="V36" s="1324" t="s">
        <v>65</v>
      </c>
      <c r="W36" s="1325">
        <f t="shared" si="14"/>
        <v>100</v>
      </c>
      <c r="X36" s="2835"/>
      <c r="Y36" s="3615"/>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607" t="str">
        <f>A37</f>
        <v>成交单价</v>
      </c>
      <c r="Q37" s="3607"/>
      <c r="R37" s="3608">
        <f>E37</f>
        <v>0</v>
      </c>
      <c r="S37" s="3608"/>
      <c r="T37" s="3608">
        <f>G37</f>
        <v>0</v>
      </c>
      <c r="U37" s="3608"/>
      <c r="V37" s="3608">
        <f>I37</f>
        <v>0</v>
      </c>
      <c r="W37" s="3608"/>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07" t="str">
        <f>A38</f>
        <v>比较价值（元/平方米）</v>
      </c>
      <c r="Q38" s="3607"/>
      <c r="R38" s="3608" t="e">
        <f>IF(F1="售价",ROUND(PRODUCT(R37,AA7:AA36),0),ROUND(PRODUCT(R37,AA7:AA36),1))</f>
        <v>#DIV/0!</v>
      </c>
      <c r="S38" s="3608"/>
      <c r="T38" s="3608" t="e">
        <f>IF(F1="售价",ROUND(PRODUCT(T37,AB7:AB36),0),ROUND(PRODUCT(T37,AB7:AB36),1))</f>
        <v>#DIV/0!</v>
      </c>
      <c r="U38" s="3608"/>
      <c r="V38" s="3608" t="e">
        <f>IF(F1="售价",ROUND(PRODUCT(V37,AC7:AC36),0),ROUND(PRODUCT(V37,AC7:AC36),1))</f>
        <v>#DIV/0!</v>
      </c>
      <c r="W38" s="3608"/>
      <c r="X38" s="1307"/>
      <c r="Y38" s="1307"/>
      <c r="Z38" s="1307"/>
      <c r="AA38" s="1307"/>
      <c r="AB38" s="1307"/>
      <c r="AC38" s="1307"/>
    </row>
    <row r="39" spans="1:29" ht="15.75" thickBot="1">
      <c r="A39" s="835" t="s">
        <v>3038</v>
      </c>
      <c r="B39" s="836"/>
      <c r="C39" s="2848" t="e">
        <f>R39</f>
        <v>#DIV/0!</v>
      </c>
      <c r="D39" s="2848"/>
      <c r="E39" s="2848"/>
      <c r="F39" s="2848"/>
      <c r="G39" s="2848"/>
      <c r="H39" s="2848"/>
      <c r="I39" s="2848"/>
      <c r="J39" s="2848"/>
      <c r="K39" s="964"/>
      <c r="L39" s="2363"/>
      <c r="M39" s="2364"/>
      <c r="N39" s="2364"/>
      <c r="O39" s="2364"/>
      <c r="P39" s="3609" t="str">
        <f>A39</f>
        <v>估价对象XX用房的比较价值（楼面单价，元/平方米）</v>
      </c>
      <c r="Q39" s="3610"/>
      <c r="R39" s="3611" t="e">
        <f>IF(F1="售价",ROUND(AVERAGE(R38:V38),0),ROUND(AVERAGE(R38:V38),1))</f>
        <v>#DIV/0!</v>
      </c>
      <c r="S39" s="3611"/>
      <c r="T39" s="3611"/>
      <c r="U39" s="3611"/>
      <c r="V39" s="3611"/>
      <c r="W39" s="3611"/>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2807</v>
      </c>
      <c r="B48" s="849"/>
      <c r="C48" s="3047" t="str">
        <f>YEAR(C7)&amp;"-"&amp;MONTH(C7)</f>
        <v>1900-1</v>
      </c>
      <c r="D48" s="3048" t="e">
        <f>EDATE(C48,-1)</f>
        <v>#NUM!</v>
      </c>
      <c r="E48" s="3048" t="e">
        <f t="shared" ref="E48:O48" si="16">EDATE(D48,-1)</f>
        <v>#NUM!</v>
      </c>
      <c r="F48" s="3048" t="e">
        <f t="shared" si="16"/>
        <v>#NUM!</v>
      </c>
      <c r="G48" s="3048" t="e">
        <f t="shared" si="16"/>
        <v>#NUM!</v>
      </c>
      <c r="H48" s="3048" t="e">
        <f t="shared" si="16"/>
        <v>#NUM!</v>
      </c>
      <c r="I48" s="3048" t="e">
        <f t="shared" si="16"/>
        <v>#NUM!</v>
      </c>
      <c r="J48" s="3048" t="e">
        <f t="shared" si="16"/>
        <v>#NUM!</v>
      </c>
      <c r="K48" s="3048" t="e">
        <f t="shared" si="16"/>
        <v>#NUM!</v>
      </c>
      <c r="L48" s="3048" t="e">
        <f t="shared" si="16"/>
        <v>#NUM!</v>
      </c>
      <c r="M48" s="3048" t="e">
        <f t="shared" si="16"/>
        <v>#NUM!</v>
      </c>
      <c r="N48" s="3048" t="e">
        <f t="shared" si="16"/>
        <v>#NUM!</v>
      </c>
      <c r="O48" s="3048" t="e">
        <f t="shared" si="16"/>
        <v>#NUM!</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2649</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2679</v>
      </c>
      <c r="C67" s="213" t="s">
        <v>2669</v>
      </c>
      <c r="D67" s="213" t="s">
        <v>2670</v>
      </c>
      <c r="E67" s="213" t="s">
        <v>2671</v>
      </c>
      <c r="F67" s="213" t="s">
        <v>2672</v>
      </c>
      <c r="G67" s="213" t="s">
        <v>2673</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19" t="s">
        <v>451</v>
      </c>
      <c r="D4" s="3620"/>
      <c r="E4" s="3621" t="s">
        <v>452</v>
      </c>
      <c r="F4" s="3622"/>
      <c r="G4" s="3619" t="s">
        <v>453</v>
      </c>
      <c r="H4" s="3620"/>
      <c r="I4" s="3619" t="s">
        <v>454</v>
      </c>
      <c r="J4" s="3620"/>
      <c r="K4" s="953" t="s">
        <v>455</v>
      </c>
      <c r="L4" s="2350"/>
      <c r="M4" s="2351"/>
      <c r="N4" s="2351"/>
      <c r="O4" s="2351"/>
      <c r="P4" s="3623" t="s">
        <v>456</v>
      </c>
      <c r="Q4" s="3624"/>
      <c r="R4" s="3629" t="s">
        <v>452</v>
      </c>
      <c r="S4" s="3630"/>
      <c r="T4" s="3629" t="s">
        <v>453</v>
      </c>
      <c r="U4" s="3630"/>
      <c r="V4" s="3635" t="s">
        <v>454</v>
      </c>
      <c r="W4" s="3635"/>
      <c r="X4" s="1318"/>
      <c r="Y4" s="3629" t="s">
        <v>456</v>
      </c>
      <c r="Z4" s="3630"/>
      <c r="AA4" s="3616" t="s">
        <v>452</v>
      </c>
      <c r="AB4" s="3617" t="s">
        <v>453</v>
      </c>
      <c r="AC4" s="3616" t="s">
        <v>454</v>
      </c>
    </row>
    <row r="5" spans="1:29" ht="15">
      <c r="A5" s="747"/>
      <c r="B5" s="748"/>
      <c r="C5" s="3582" t="s">
        <v>1134</v>
      </c>
      <c r="D5" s="3583"/>
      <c r="E5" s="3589" t="s">
        <v>1135</v>
      </c>
      <c r="F5" s="3590"/>
      <c r="G5" s="3582" t="s">
        <v>61</v>
      </c>
      <c r="H5" s="3583"/>
      <c r="I5" s="3582" t="s">
        <v>1136</v>
      </c>
      <c r="J5" s="3583"/>
      <c r="K5" s="953"/>
      <c r="L5" s="2350"/>
      <c r="M5" s="2351"/>
      <c r="N5" s="2351"/>
      <c r="O5" s="2351"/>
      <c r="P5" s="3625"/>
      <c r="Q5" s="3626"/>
      <c r="R5" s="3631"/>
      <c r="S5" s="3632"/>
      <c r="T5" s="3631"/>
      <c r="U5" s="3632"/>
      <c r="V5" s="3635"/>
      <c r="W5" s="3635"/>
      <c r="X5" s="1318"/>
      <c r="Y5" s="3631"/>
      <c r="Z5" s="3632"/>
      <c r="AA5" s="3617"/>
      <c r="AB5" s="3617"/>
      <c r="AC5" s="3617"/>
    </row>
    <row r="6" spans="1:29" ht="15.75" thickBot="1">
      <c r="A6" s="749"/>
      <c r="B6" s="750"/>
      <c r="C6" s="3580" t="s">
        <v>1137</v>
      </c>
      <c r="D6" s="3581"/>
      <c r="E6" s="3587" t="s">
        <v>1137</v>
      </c>
      <c r="F6" s="3588"/>
      <c r="G6" s="3580" t="s">
        <v>1137</v>
      </c>
      <c r="H6" s="3581"/>
      <c r="I6" s="3580" t="s">
        <v>1137</v>
      </c>
      <c r="J6" s="3581"/>
      <c r="K6" s="953" t="s">
        <v>398</v>
      </c>
      <c r="L6" s="2350"/>
      <c r="M6" s="2351"/>
      <c r="N6" s="2351"/>
      <c r="O6" s="2351"/>
      <c r="P6" s="3627"/>
      <c r="Q6" s="3628"/>
      <c r="R6" s="3631"/>
      <c r="S6" s="3632"/>
      <c r="T6" s="3633"/>
      <c r="U6" s="3634"/>
      <c r="V6" s="3635"/>
      <c r="W6" s="3635"/>
      <c r="X6" s="1318"/>
      <c r="Y6" s="3633"/>
      <c r="Z6" s="3634"/>
      <c r="AA6" s="3618"/>
      <c r="AB6" s="3618"/>
      <c r="AC6" s="3618"/>
    </row>
    <row r="7" spans="1:29" s="407" customFormat="1" ht="15.75" thickBot="1">
      <c r="A7" s="751" t="s">
        <v>399</v>
      </c>
      <c r="B7" s="752"/>
      <c r="C7" s="753">
        <f>'数据-取费表'!B2</f>
        <v>0</v>
      </c>
      <c r="D7" s="754">
        <v>100</v>
      </c>
      <c r="E7" s="1017"/>
      <c r="F7" s="756">
        <f>SUMIF(46:46,YEAR(E7)&amp;"-"&amp;MONTH(E7),47:47)</f>
        <v>100</v>
      </c>
      <c r="G7" s="1018"/>
      <c r="H7" s="754">
        <f>SUMIF(46:46,YEAR(G7)&amp;"-"&amp;MONTH(G7),47:47)</f>
        <v>100</v>
      </c>
      <c r="I7" s="1017"/>
      <c r="J7" s="754">
        <f>SUMIF(46:46,YEAR(I7)&amp;"-"&amp;MONTH(I7),47:47)</f>
        <v>100</v>
      </c>
      <c r="K7" s="954"/>
      <c r="L7" s="2352"/>
      <c r="M7" s="2353"/>
      <c r="N7" s="2353"/>
      <c r="O7" s="2353"/>
      <c r="P7" s="3640" t="s">
        <v>400</v>
      </c>
      <c r="Q7" s="3642"/>
      <c r="R7" s="1319" t="s">
        <v>65</v>
      </c>
      <c r="S7" s="1320">
        <f t="shared" ref="S7:S14" si="0">F7</f>
        <v>100</v>
      </c>
      <c r="T7" s="1319" t="s">
        <v>65</v>
      </c>
      <c r="U7" s="1320">
        <f t="shared" ref="U7:U14" si="1">H7</f>
        <v>100</v>
      </c>
      <c r="V7" s="1319" t="s">
        <v>65</v>
      </c>
      <c r="W7" s="1320">
        <f t="shared" ref="W7:W14" si="2">J7</f>
        <v>100</v>
      </c>
      <c r="X7" s="1321"/>
      <c r="Y7" s="3640" t="s">
        <v>400</v>
      </c>
      <c r="Z7" s="3641"/>
      <c r="AA7" s="1322">
        <f>D7/F7</f>
        <v>1</v>
      </c>
      <c r="AB7" s="1322">
        <f>D7/H7</f>
        <v>1</v>
      </c>
      <c r="AC7" s="1322">
        <f>D7/J7</f>
        <v>1</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07" t="s">
        <v>403</v>
      </c>
      <c r="Q9" s="296" t="str">
        <f t="shared" ref="Q9:Q14" si="6">B9</f>
        <v>用途</v>
      </c>
      <c r="R9" s="1319" t="s">
        <v>65</v>
      </c>
      <c r="S9" s="1320">
        <f t="shared" si="0"/>
        <v>100</v>
      </c>
      <c r="T9" s="1319" t="s">
        <v>65</v>
      </c>
      <c r="U9" s="1320">
        <f t="shared" si="1"/>
        <v>100</v>
      </c>
      <c r="V9" s="1319" t="s">
        <v>65</v>
      </c>
      <c r="W9" s="1320">
        <f t="shared" si="2"/>
        <v>100</v>
      </c>
      <c r="X9" s="1321"/>
      <c r="Y9" s="3416"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07"/>
      <c r="Q10" s="296" t="str">
        <f t="shared" si="6"/>
        <v>土地使用年限（年）</v>
      </c>
      <c r="R10" s="1319" t="s">
        <v>65</v>
      </c>
      <c r="S10" s="1320">
        <f t="shared" si="0"/>
        <v>100</v>
      </c>
      <c r="T10" s="1319" t="s">
        <v>65</v>
      </c>
      <c r="U10" s="1320">
        <f t="shared" si="1"/>
        <v>100</v>
      </c>
      <c r="V10" s="1319" t="s">
        <v>65</v>
      </c>
      <c r="W10" s="1320">
        <f t="shared" si="2"/>
        <v>100</v>
      </c>
      <c r="X10" s="1321"/>
      <c r="Y10" s="341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07"/>
      <c r="Q11" s="296">
        <f t="shared" si="6"/>
        <v>111</v>
      </c>
      <c r="R11" s="1319" t="s">
        <v>65</v>
      </c>
      <c r="S11" s="1320">
        <f t="shared" si="0"/>
        <v>100</v>
      </c>
      <c r="T11" s="1319" t="s">
        <v>65</v>
      </c>
      <c r="U11" s="1320">
        <f t="shared" si="1"/>
        <v>100</v>
      </c>
      <c r="V11" s="1319" t="s">
        <v>65</v>
      </c>
      <c r="W11" s="1320">
        <f t="shared" si="2"/>
        <v>100</v>
      </c>
      <c r="X11" s="1321"/>
      <c r="Y11" s="341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07"/>
      <c r="Q12" s="296">
        <f t="shared" si="6"/>
        <v>111</v>
      </c>
      <c r="R12" s="1319" t="s">
        <v>65</v>
      </c>
      <c r="S12" s="1320">
        <f t="shared" si="0"/>
        <v>100</v>
      </c>
      <c r="T12" s="1319" t="s">
        <v>65</v>
      </c>
      <c r="U12" s="1320">
        <f t="shared" si="1"/>
        <v>100</v>
      </c>
      <c r="V12" s="1319" t="s">
        <v>65</v>
      </c>
      <c r="W12" s="1320">
        <f t="shared" si="2"/>
        <v>100</v>
      </c>
      <c r="X12" s="1321"/>
      <c r="Y12" s="341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07"/>
      <c r="Q13" s="296">
        <f t="shared" si="6"/>
        <v>111</v>
      </c>
      <c r="R13" s="1319" t="s">
        <v>65</v>
      </c>
      <c r="S13" s="1320">
        <f t="shared" si="0"/>
        <v>100</v>
      </c>
      <c r="T13" s="1319" t="s">
        <v>65</v>
      </c>
      <c r="U13" s="1320">
        <f t="shared" si="1"/>
        <v>100</v>
      </c>
      <c r="V13" s="1319" t="s">
        <v>65</v>
      </c>
      <c r="W13" s="1320">
        <f t="shared" si="2"/>
        <v>100</v>
      </c>
      <c r="X13" s="1321"/>
      <c r="Y13" s="3416"/>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12" t="s">
        <v>408</v>
      </c>
      <c r="Q14" s="1323" t="str">
        <f t="shared" si="6"/>
        <v>交通便捷度</v>
      </c>
      <c r="R14" s="1324" t="s">
        <v>65</v>
      </c>
      <c r="S14" s="1325">
        <f t="shared" si="0"/>
        <v>100</v>
      </c>
      <c r="T14" s="1324" t="s">
        <v>65</v>
      </c>
      <c r="U14" s="1325">
        <f t="shared" si="1"/>
        <v>100</v>
      </c>
      <c r="V14" s="1324" t="s">
        <v>65</v>
      </c>
      <c r="W14" s="1325">
        <f t="shared" si="2"/>
        <v>100</v>
      </c>
      <c r="X14" s="1318"/>
      <c r="Y14" s="3612"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13"/>
      <c r="Q15" s="1323"/>
      <c r="R15" s="1324"/>
      <c r="S15" s="1325"/>
      <c r="T15" s="1324"/>
      <c r="U15" s="1325"/>
      <c r="V15" s="1324"/>
      <c r="W15" s="1325"/>
      <c r="X15" s="1318"/>
      <c r="Y15" s="3613"/>
      <c r="Z15" s="1326"/>
      <c r="AA15" s="1327">
        <v>1</v>
      </c>
      <c r="AB15" s="1327">
        <v>1</v>
      </c>
      <c r="AC15" s="1327">
        <v>1</v>
      </c>
    </row>
    <row r="16" spans="1:29" ht="40.5">
      <c r="A16" s="771"/>
      <c r="B16" s="1356" t="s">
        <v>2678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13"/>
      <c r="Q16" s="1323" t="str">
        <f>B16</f>
        <v>公共配套设施</v>
      </c>
      <c r="R16" s="1324" t="s">
        <v>65</v>
      </c>
      <c r="S16" s="1325">
        <f>F16</f>
        <v>100</v>
      </c>
      <c r="T16" s="1324" t="s">
        <v>65</v>
      </c>
      <c r="U16" s="1325">
        <f>H16</f>
        <v>100</v>
      </c>
      <c r="V16" s="1324" t="s">
        <v>65</v>
      </c>
      <c r="W16" s="1325">
        <f>J16</f>
        <v>100</v>
      </c>
      <c r="X16" s="1318"/>
      <c r="Y16" s="361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13"/>
      <c r="Q17" s="1323"/>
      <c r="R17" s="1324"/>
      <c r="S17" s="1325"/>
      <c r="T17" s="1324"/>
      <c r="U17" s="1325"/>
      <c r="V17" s="1324"/>
      <c r="W17" s="1325"/>
      <c r="X17" s="1318"/>
      <c r="Y17" s="3613"/>
      <c r="Z17" s="1326"/>
      <c r="AA17" s="1327">
        <v>1</v>
      </c>
      <c r="AB17" s="1327">
        <v>1</v>
      </c>
      <c r="AC17" s="1327">
        <v>1</v>
      </c>
    </row>
    <row r="18" spans="1:29" ht="40.5">
      <c r="A18" s="771"/>
      <c r="B18" s="1412" t="s">
        <v>2680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13"/>
      <c r="Q18" s="2751" t="str">
        <f>B18</f>
        <v>基础设施水平</v>
      </c>
      <c r="R18" s="1324" t="s">
        <v>65</v>
      </c>
      <c r="S18" s="1325">
        <f>F18</f>
        <v>100</v>
      </c>
      <c r="T18" s="1324" t="s">
        <v>65</v>
      </c>
      <c r="U18" s="1325">
        <f>H18</f>
        <v>100</v>
      </c>
      <c r="V18" s="1324" t="s">
        <v>65</v>
      </c>
      <c r="W18" s="1325">
        <f>J18</f>
        <v>100</v>
      </c>
      <c r="X18" s="2753"/>
      <c r="Y18" s="3613"/>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13"/>
      <c r="Q19" s="2751"/>
      <c r="R19" s="1324"/>
      <c r="S19" s="1325"/>
      <c r="T19" s="1324"/>
      <c r="U19" s="1325"/>
      <c r="V19" s="1324"/>
      <c r="W19" s="1325"/>
      <c r="X19" s="2753"/>
      <c r="Y19" s="3613"/>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13"/>
      <c r="Q20" s="1323" t="str">
        <f>B20</f>
        <v>自然及人文环境</v>
      </c>
      <c r="R20" s="1324" t="s">
        <v>65</v>
      </c>
      <c r="S20" s="1325">
        <f>F20</f>
        <v>100</v>
      </c>
      <c r="T20" s="1324" t="s">
        <v>65</v>
      </c>
      <c r="U20" s="1325">
        <f>H20</f>
        <v>100</v>
      </c>
      <c r="V20" s="1324" t="s">
        <v>65</v>
      </c>
      <c r="W20" s="1325">
        <f>J20</f>
        <v>100</v>
      </c>
      <c r="X20" s="1318"/>
      <c r="Y20" s="361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13"/>
      <c r="Q21" s="1323"/>
      <c r="R21" s="1324"/>
      <c r="S21" s="1325"/>
      <c r="T21" s="1324"/>
      <c r="U21" s="1325"/>
      <c r="V21" s="1324"/>
      <c r="W21" s="1325"/>
      <c r="X21" s="1318"/>
      <c r="Y21" s="3613"/>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13"/>
      <c r="Q22" s="1323" t="str">
        <f>B22</f>
        <v>楼层</v>
      </c>
      <c r="R22" s="1324" t="s">
        <v>65</v>
      </c>
      <c r="S22" s="1325">
        <f>F22</f>
        <v>100</v>
      </c>
      <c r="T22" s="1324" t="s">
        <v>65</v>
      </c>
      <c r="U22" s="1325">
        <f>H22</f>
        <v>100</v>
      </c>
      <c r="V22" s="1324" t="s">
        <v>65</v>
      </c>
      <c r="W22" s="1325">
        <f>J22</f>
        <v>100</v>
      </c>
      <c r="X22" s="1318"/>
      <c r="Y22" s="361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13"/>
      <c r="Q23" s="1323">
        <f>B23</f>
        <v>111</v>
      </c>
      <c r="R23" s="1324" t="s">
        <v>65</v>
      </c>
      <c r="S23" s="1325">
        <f>F23</f>
        <v>100</v>
      </c>
      <c r="T23" s="1324" t="s">
        <v>65</v>
      </c>
      <c r="U23" s="1325">
        <f>H23</f>
        <v>100</v>
      </c>
      <c r="V23" s="1324" t="s">
        <v>65</v>
      </c>
      <c r="W23" s="1325">
        <f>J23</f>
        <v>100</v>
      </c>
      <c r="X23" s="1318"/>
      <c r="Y23" s="361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13"/>
      <c r="Q24" s="1323">
        <f t="shared" ref="Q24:Q34" si="11">B24</f>
        <v>111</v>
      </c>
      <c r="R24" s="1324" t="s">
        <v>65</v>
      </c>
      <c r="S24" s="1325">
        <f>F24</f>
        <v>100</v>
      </c>
      <c r="T24" s="1324" t="s">
        <v>65</v>
      </c>
      <c r="U24" s="1325">
        <f>H24</f>
        <v>100</v>
      </c>
      <c r="V24" s="1324" t="s">
        <v>65</v>
      </c>
      <c r="W24" s="1325">
        <f>J24</f>
        <v>100</v>
      </c>
      <c r="X24" s="1318"/>
      <c r="Y24" s="361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13"/>
      <c r="Q25" s="296">
        <f t="shared" si="11"/>
        <v>111</v>
      </c>
      <c r="R25" s="1319" t="s">
        <v>65</v>
      </c>
      <c r="S25" s="1320">
        <f>F25</f>
        <v>100</v>
      </c>
      <c r="T25" s="1319" t="s">
        <v>65</v>
      </c>
      <c r="U25" s="1320">
        <f>H25</f>
        <v>100</v>
      </c>
      <c r="V25" s="1319" t="s">
        <v>65</v>
      </c>
      <c r="W25" s="1320">
        <f>J25</f>
        <v>100</v>
      </c>
      <c r="X25" s="1321"/>
      <c r="Y25" s="3613"/>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14"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15"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15"/>
      <c r="Q27" s="1328" t="str">
        <f t="shared" si="11"/>
        <v>成新率</v>
      </c>
      <c r="R27" s="1329" t="s">
        <v>65</v>
      </c>
      <c r="S27" s="1330" t="e">
        <f t="shared" si="12"/>
        <v>#N/A</v>
      </c>
      <c r="T27" s="1329" t="s">
        <v>65</v>
      </c>
      <c r="U27" s="1330" t="e">
        <f t="shared" si="13"/>
        <v>#N/A</v>
      </c>
      <c r="V27" s="1329" t="s">
        <v>65</v>
      </c>
      <c r="W27" s="1330" t="e">
        <f t="shared" si="14"/>
        <v>#N/A</v>
      </c>
      <c r="X27" s="1331"/>
      <c r="Y27" s="3615"/>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15"/>
      <c r="Q28" s="1323" t="str">
        <f t="shared" si="11"/>
        <v>物业等级</v>
      </c>
      <c r="R28" s="1324" t="s">
        <v>65</v>
      </c>
      <c r="S28" s="1325">
        <f t="shared" si="12"/>
        <v>100</v>
      </c>
      <c r="T28" s="1324" t="s">
        <v>65</v>
      </c>
      <c r="U28" s="1325">
        <f t="shared" si="13"/>
        <v>100</v>
      </c>
      <c r="V28" s="1324" t="s">
        <v>65</v>
      </c>
      <c r="W28" s="1325">
        <f t="shared" si="14"/>
        <v>100</v>
      </c>
      <c r="X28" s="1318"/>
      <c r="Y28" s="3615"/>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15"/>
      <c r="Q29" s="1323" t="str">
        <f t="shared" si="11"/>
        <v>有无电梯</v>
      </c>
      <c r="R29" s="1324" t="s">
        <v>65</v>
      </c>
      <c r="S29" s="1325">
        <f t="shared" si="12"/>
        <v>100</v>
      </c>
      <c r="T29" s="1324" t="s">
        <v>65</v>
      </c>
      <c r="U29" s="1325">
        <f t="shared" si="13"/>
        <v>100</v>
      </c>
      <c r="V29" s="1324" t="s">
        <v>65</v>
      </c>
      <c r="W29" s="1325">
        <f t="shared" si="14"/>
        <v>100</v>
      </c>
      <c r="X29" s="1318"/>
      <c r="Y29" s="3615"/>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15"/>
      <c r="Q30" s="1323" t="str">
        <f t="shared" si="11"/>
        <v>建筑面积</v>
      </c>
      <c r="R30" s="1324" t="s">
        <v>65</v>
      </c>
      <c r="S30" s="1325" t="e">
        <f t="shared" si="12"/>
        <v>#N/A</v>
      </c>
      <c r="T30" s="1324" t="s">
        <v>65</v>
      </c>
      <c r="U30" s="1325" t="e">
        <f t="shared" si="13"/>
        <v>#N/A</v>
      </c>
      <c r="V30" s="1324" t="s">
        <v>65</v>
      </c>
      <c r="W30" s="1325" t="e">
        <f t="shared" si="14"/>
        <v>#N/A</v>
      </c>
      <c r="X30" s="1318"/>
      <c r="Y30" s="3615"/>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15"/>
      <c r="Q31" s="296" t="str">
        <f t="shared" si="11"/>
        <v>是否封闭</v>
      </c>
      <c r="R31" s="1319" t="s">
        <v>65</v>
      </c>
      <c r="S31" s="1320">
        <f t="shared" si="12"/>
        <v>100</v>
      </c>
      <c r="T31" s="1319" t="s">
        <v>65</v>
      </c>
      <c r="U31" s="1320">
        <f t="shared" si="13"/>
        <v>100</v>
      </c>
      <c r="V31" s="1319" t="s">
        <v>65</v>
      </c>
      <c r="W31" s="1320">
        <f t="shared" si="14"/>
        <v>100</v>
      </c>
      <c r="X31" s="1321"/>
      <c r="Y31" s="361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15" t="s">
        <v>410</v>
      </c>
      <c r="Q32" s="1323">
        <f t="shared" si="11"/>
        <v>111</v>
      </c>
      <c r="R32" s="1324" t="s">
        <v>65</v>
      </c>
      <c r="S32" s="1325">
        <f t="shared" si="12"/>
        <v>100</v>
      </c>
      <c r="T32" s="1324" t="s">
        <v>65</v>
      </c>
      <c r="U32" s="1325">
        <f t="shared" si="13"/>
        <v>100</v>
      </c>
      <c r="V32" s="1324" t="s">
        <v>65</v>
      </c>
      <c r="W32" s="1325">
        <f t="shared" si="14"/>
        <v>100</v>
      </c>
      <c r="X32" s="1318"/>
      <c r="Y32" s="3615"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15"/>
      <c r="Q33" s="1323">
        <f t="shared" si="11"/>
        <v>111</v>
      </c>
      <c r="R33" s="1324" t="s">
        <v>65</v>
      </c>
      <c r="S33" s="1325">
        <f t="shared" si="12"/>
        <v>100</v>
      </c>
      <c r="T33" s="1324" t="s">
        <v>65</v>
      </c>
      <c r="U33" s="1325">
        <f t="shared" si="13"/>
        <v>100</v>
      </c>
      <c r="V33" s="1324" t="s">
        <v>65</v>
      </c>
      <c r="W33" s="1325">
        <f t="shared" si="14"/>
        <v>100</v>
      </c>
      <c r="X33" s="1318"/>
      <c r="Y33" s="361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15"/>
      <c r="Q34" s="1323">
        <f t="shared" si="11"/>
        <v>111</v>
      </c>
      <c r="R34" s="1324" t="s">
        <v>65</v>
      </c>
      <c r="S34" s="1325">
        <f t="shared" si="12"/>
        <v>100</v>
      </c>
      <c r="T34" s="1324" t="s">
        <v>65</v>
      </c>
      <c r="U34" s="1325">
        <f t="shared" si="13"/>
        <v>100</v>
      </c>
      <c r="V34" s="1324" t="s">
        <v>65</v>
      </c>
      <c r="W34" s="1325">
        <f t="shared" si="14"/>
        <v>100</v>
      </c>
      <c r="X34" s="1318"/>
      <c r="Y34" s="3615"/>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607" t="str">
        <f>A35</f>
        <v>成交单价（元/平方米）</v>
      </c>
      <c r="Q35" s="3607"/>
      <c r="R35" s="3608">
        <f>E35</f>
        <v>0</v>
      </c>
      <c r="S35" s="3608"/>
      <c r="T35" s="3608">
        <f>G35</f>
        <v>0</v>
      </c>
      <c r="U35" s="3608"/>
      <c r="V35" s="3608">
        <f>I35</f>
        <v>0</v>
      </c>
      <c r="W35" s="3608"/>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07" t="str">
        <f>A36</f>
        <v>比较价值（元/平方米）</v>
      </c>
      <c r="Q36" s="3607"/>
      <c r="R36" s="3608" t="e">
        <f>IF(F1="售价",ROUND(PRODUCT(R35,AA7:AA34),0),ROUND(PRODUCT(R35,AA7:AA34),1))</f>
        <v>#DIV/0!</v>
      </c>
      <c r="S36" s="3608"/>
      <c r="T36" s="3608" t="e">
        <f>IF(F1="售价",ROUND(PRODUCT(T35,AB7:AB34),0),ROUND(PRODUCT(T35,AB7:AB34),1))</f>
        <v>#DIV/0!</v>
      </c>
      <c r="U36" s="3608"/>
      <c r="V36" s="3608" t="e">
        <f>IF(F1="售价",ROUND(PRODUCT(V35,AC7:AC34),0),ROUND(PRODUCT(V35,AC7:AC34),1))</f>
        <v>#DIV/0!</v>
      </c>
      <c r="W36" s="3608"/>
      <c r="X36" s="1307"/>
      <c r="Y36" s="1307"/>
      <c r="Z36" s="1307"/>
      <c r="AA36" s="1307"/>
      <c r="AB36" s="1307"/>
      <c r="AC36" s="1307"/>
    </row>
    <row r="37" spans="1:29" ht="15.75" thickBot="1">
      <c r="A37" s="115" t="s">
        <v>3032</v>
      </c>
      <c r="B37" s="836"/>
      <c r="C37" s="2848" t="e">
        <f>R37</f>
        <v>#DIV/0!</v>
      </c>
      <c r="D37" s="2848"/>
      <c r="E37" s="2848"/>
      <c r="F37" s="2848"/>
      <c r="G37" s="2848"/>
      <c r="H37" s="2848"/>
      <c r="I37" s="2848"/>
      <c r="J37" s="2848"/>
      <c r="K37" s="1402"/>
      <c r="L37" s="2363"/>
      <c r="M37" s="2364"/>
      <c r="N37" s="2364"/>
      <c r="O37" s="2364"/>
      <c r="P37" s="3609" t="str">
        <f>A37</f>
        <v>估价对象XX用房的比较价值（楼面单价，元/平方米）</v>
      </c>
      <c r="Q37" s="3610"/>
      <c r="R37" s="3611" t="e">
        <f>IF(F1="售价",ROUND(AVERAGE(R36:V36),0),ROUND(AVERAGE(R36:V36),1))</f>
        <v>#DIV/0!</v>
      </c>
      <c r="S37" s="3611"/>
      <c r="T37" s="3611"/>
      <c r="U37" s="3611"/>
      <c r="V37" s="3611"/>
      <c r="W37" s="3611"/>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7" t="str">
        <f>YEAR(C7)&amp;"-"&amp;MONTH(C7)</f>
        <v>1900-1</v>
      </c>
      <c r="D46" s="3048" t="e">
        <f>EDATE(C46,-1)</f>
        <v>#NUM!</v>
      </c>
      <c r="E46" s="3048" t="e">
        <f t="shared" ref="E46:O46" si="16">EDATE(D46,-1)</f>
        <v>#NUM!</v>
      </c>
      <c r="F46" s="3048" t="e">
        <f t="shared" si="16"/>
        <v>#NUM!</v>
      </c>
      <c r="G46" s="3048" t="e">
        <f t="shared" si="16"/>
        <v>#NUM!</v>
      </c>
      <c r="H46" s="3048" t="e">
        <f t="shared" si="16"/>
        <v>#NUM!</v>
      </c>
      <c r="I46" s="3048" t="e">
        <f t="shared" si="16"/>
        <v>#NUM!</v>
      </c>
      <c r="J46" s="3048" t="e">
        <f t="shared" si="16"/>
        <v>#NUM!</v>
      </c>
      <c r="K46" s="3048" t="e">
        <f t="shared" si="16"/>
        <v>#NUM!</v>
      </c>
      <c r="L46" s="3048" t="e">
        <f t="shared" si="16"/>
        <v>#NUM!</v>
      </c>
      <c r="M46" s="3048" t="e">
        <f t="shared" si="16"/>
        <v>#NUM!</v>
      </c>
      <c r="N46" s="3048" t="e">
        <f t="shared" si="16"/>
        <v>#NUM!</v>
      </c>
      <c r="O46" s="3048" t="e">
        <f t="shared" si="16"/>
        <v>#NUM!</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2679</v>
      </c>
      <c r="C65" s="213" t="s">
        <v>2669</v>
      </c>
      <c r="D65" s="213" t="s">
        <v>2670</v>
      </c>
      <c r="E65" s="213" t="s">
        <v>2671</v>
      </c>
      <c r="F65" s="213" t="s">
        <v>2672</v>
      </c>
      <c r="G65" s="213" t="s">
        <v>2673</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2901</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19" t="s">
        <v>392</v>
      </c>
      <c r="D4" s="3620"/>
      <c r="E4" s="3621" t="s">
        <v>393</v>
      </c>
      <c r="F4" s="3622"/>
      <c r="G4" s="3619" t="s">
        <v>394</v>
      </c>
      <c r="H4" s="3620"/>
      <c r="I4" s="3619" t="s">
        <v>395</v>
      </c>
      <c r="J4" s="3620"/>
      <c r="K4" s="953" t="s">
        <v>396</v>
      </c>
      <c r="L4" s="2350"/>
      <c r="M4" s="2351"/>
      <c r="N4" s="2351"/>
      <c r="O4" s="2351"/>
      <c r="P4" s="3623" t="s">
        <v>397</v>
      </c>
      <c r="Q4" s="3624"/>
      <c r="R4" s="3629" t="s">
        <v>393</v>
      </c>
      <c r="S4" s="3630"/>
      <c r="T4" s="3629" t="s">
        <v>394</v>
      </c>
      <c r="U4" s="3630"/>
      <c r="V4" s="3635" t="s">
        <v>395</v>
      </c>
      <c r="W4" s="3635"/>
      <c r="X4" s="1318"/>
      <c r="Y4" s="3629" t="s">
        <v>397</v>
      </c>
      <c r="Z4" s="3630"/>
      <c r="AA4" s="3616" t="s">
        <v>393</v>
      </c>
      <c r="AB4" s="3617" t="s">
        <v>394</v>
      </c>
      <c r="AC4" s="3616" t="s">
        <v>395</v>
      </c>
    </row>
    <row r="5" spans="1:30" ht="15">
      <c r="A5" s="747"/>
      <c r="B5" s="748"/>
      <c r="C5" s="3582" t="s">
        <v>1134</v>
      </c>
      <c r="D5" s="3583"/>
      <c r="E5" s="3589" t="s">
        <v>1135</v>
      </c>
      <c r="F5" s="3590"/>
      <c r="G5" s="3582" t="s">
        <v>1138</v>
      </c>
      <c r="H5" s="3583"/>
      <c r="I5" s="3582" t="s">
        <v>1136</v>
      </c>
      <c r="J5" s="3583"/>
      <c r="K5" s="953"/>
      <c r="L5" s="2350"/>
      <c r="M5" s="2351"/>
      <c r="N5" s="2351"/>
      <c r="O5" s="2351"/>
      <c r="P5" s="3625"/>
      <c r="Q5" s="3626"/>
      <c r="R5" s="3631"/>
      <c r="S5" s="3632"/>
      <c r="T5" s="3631"/>
      <c r="U5" s="3632"/>
      <c r="V5" s="3635"/>
      <c r="W5" s="3635"/>
      <c r="X5" s="1318"/>
      <c r="Y5" s="3631"/>
      <c r="Z5" s="3632"/>
      <c r="AA5" s="3617"/>
      <c r="AB5" s="3617"/>
      <c r="AC5" s="3617"/>
    </row>
    <row r="6" spans="1:30" ht="15.75" thickBot="1">
      <c r="A6" s="749"/>
      <c r="B6" s="750"/>
      <c r="C6" s="3580" t="s">
        <v>1137</v>
      </c>
      <c r="D6" s="3581"/>
      <c r="E6" s="3587" t="s">
        <v>1137</v>
      </c>
      <c r="F6" s="3588"/>
      <c r="G6" s="3580" t="s">
        <v>1137</v>
      </c>
      <c r="H6" s="3581"/>
      <c r="I6" s="3580" t="s">
        <v>1137</v>
      </c>
      <c r="J6" s="3581"/>
      <c r="K6" s="953" t="s">
        <v>398</v>
      </c>
      <c r="L6" s="2350"/>
      <c r="M6" s="2351"/>
      <c r="N6" s="2351"/>
      <c r="O6" s="2351"/>
      <c r="P6" s="3627"/>
      <c r="Q6" s="3628"/>
      <c r="R6" s="3631"/>
      <c r="S6" s="3632"/>
      <c r="T6" s="3633"/>
      <c r="U6" s="3634"/>
      <c r="V6" s="3635"/>
      <c r="W6" s="3635"/>
      <c r="X6" s="1318"/>
      <c r="Y6" s="3633"/>
      <c r="Z6" s="3634"/>
      <c r="AA6" s="3618"/>
      <c r="AB6" s="3618"/>
      <c r="AC6" s="3618"/>
    </row>
    <row r="7" spans="1:30" s="407" customFormat="1" ht="15.75" thickBot="1">
      <c r="A7" s="751" t="s">
        <v>399</v>
      </c>
      <c r="B7" s="752"/>
      <c r="C7" s="753">
        <f>'数据-取费表'!B2</f>
        <v>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40" t="s">
        <v>400</v>
      </c>
      <c r="Q7" s="3642"/>
      <c r="R7" s="1319" t="s">
        <v>65</v>
      </c>
      <c r="S7" s="1320">
        <f t="shared" ref="S7:S15" si="0">F7</f>
        <v>0</v>
      </c>
      <c r="T7" s="1319" t="s">
        <v>65</v>
      </c>
      <c r="U7" s="1320">
        <f t="shared" ref="U7:U15" si="1">H7</f>
        <v>0</v>
      </c>
      <c r="V7" s="1319" t="s">
        <v>65</v>
      </c>
      <c r="W7" s="1320">
        <f t="shared" ref="W7:W15" si="2">J7</f>
        <v>0</v>
      </c>
      <c r="X7" s="1321"/>
      <c r="Y7" s="3640" t="s">
        <v>400</v>
      </c>
      <c r="Z7" s="3641"/>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07" t="s">
        <v>403</v>
      </c>
      <c r="Q9" s="296" t="str">
        <f t="shared" ref="Q9:Q15" si="6">B9</f>
        <v>用途</v>
      </c>
      <c r="R9" s="1319" t="s">
        <v>65</v>
      </c>
      <c r="S9" s="1320">
        <f t="shared" si="0"/>
        <v>100</v>
      </c>
      <c r="T9" s="1319" t="s">
        <v>65</v>
      </c>
      <c r="U9" s="1320">
        <f t="shared" si="1"/>
        <v>100</v>
      </c>
      <c r="V9" s="1319" t="s">
        <v>65</v>
      </c>
      <c r="W9" s="1320">
        <f t="shared" si="2"/>
        <v>100</v>
      </c>
      <c r="X9" s="1321"/>
      <c r="Y9" s="3416"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t="e">
        <f>ROUND(100/'数据-取费表'!G16,0)</f>
        <v>#DIV/0!</v>
      </c>
      <c r="G10" s="806"/>
      <c r="H10" s="426" t="e">
        <f>ROUND(100/'数据-取费表'!G16,0)</f>
        <v>#DIV/0!</v>
      </c>
      <c r="I10" s="806"/>
      <c r="J10" s="426" t="e">
        <f>ROUND(100/'数据-取费表'!G16,0)</f>
        <v>#DIV/0!</v>
      </c>
      <c r="K10" s="1081"/>
      <c r="L10" s="2355"/>
      <c r="M10" s="2356"/>
      <c r="N10" s="2356"/>
      <c r="O10" s="2357"/>
      <c r="P10" s="3607"/>
      <c r="Q10" s="296" t="str">
        <f t="shared" si="6"/>
        <v>土地使用年限（年）</v>
      </c>
      <c r="R10" s="1319" t="s">
        <v>65</v>
      </c>
      <c r="S10" s="1320" t="e">
        <f t="shared" si="0"/>
        <v>#DIV/0!</v>
      </c>
      <c r="T10" s="1319" t="s">
        <v>65</v>
      </c>
      <c r="U10" s="1320" t="e">
        <f t="shared" si="1"/>
        <v>#DIV/0!</v>
      </c>
      <c r="V10" s="1319" t="s">
        <v>65</v>
      </c>
      <c r="W10" s="1320" t="e">
        <f t="shared" si="2"/>
        <v>#DIV/0!</v>
      </c>
      <c r="X10" s="1321"/>
      <c r="Y10" s="3416"/>
      <c r="Z10" s="344" t="str">
        <f t="shared" si="7"/>
        <v>土地使用年限（年）</v>
      </c>
      <c r="AA10" s="1322" t="e">
        <f t="shared" si="3"/>
        <v>#DIV/0!</v>
      </c>
      <c r="AB10" s="1322" t="e">
        <f t="shared" si="4"/>
        <v>#DIV/0!</v>
      </c>
      <c r="AC10" s="1322" t="e">
        <f t="shared" si="5"/>
        <v>#DIV/0!</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07"/>
      <c r="Q11" s="296" t="str">
        <f t="shared" si="6"/>
        <v>容积率</v>
      </c>
      <c r="R11" s="1319" t="s">
        <v>65</v>
      </c>
      <c r="S11" s="1320" t="e">
        <f t="shared" si="0"/>
        <v>#N/A</v>
      </c>
      <c r="T11" s="1319" t="s">
        <v>65</v>
      </c>
      <c r="U11" s="1320" t="e">
        <f t="shared" si="1"/>
        <v>#N/A</v>
      </c>
      <c r="V11" s="1319" t="s">
        <v>65</v>
      </c>
      <c r="W11" s="1320" t="e">
        <f t="shared" si="2"/>
        <v>#N/A</v>
      </c>
      <c r="X11" s="1321"/>
      <c r="Y11" s="341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07"/>
      <c r="Q12" s="296" t="str">
        <f t="shared" si="6"/>
        <v>配建</v>
      </c>
      <c r="R12" s="1319" t="s">
        <v>65</v>
      </c>
      <c r="S12" s="1320">
        <f t="shared" si="0"/>
        <v>100</v>
      </c>
      <c r="T12" s="1319" t="s">
        <v>65</v>
      </c>
      <c r="U12" s="1320">
        <f t="shared" si="1"/>
        <v>100</v>
      </c>
      <c r="V12" s="1319" t="s">
        <v>65</v>
      </c>
      <c r="W12" s="1320">
        <f t="shared" si="2"/>
        <v>100</v>
      </c>
      <c r="X12" s="1321"/>
      <c r="Y12" s="341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07"/>
      <c r="Q13" s="296">
        <f t="shared" si="6"/>
        <v>111</v>
      </c>
      <c r="R13" s="1319" t="s">
        <v>65</v>
      </c>
      <c r="S13" s="1320">
        <f t="shared" si="0"/>
        <v>100</v>
      </c>
      <c r="T13" s="1319" t="s">
        <v>65</v>
      </c>
      <c r="U13" s="1320">
        <f t="shared" si="1"/>
        <v>100</v>
      </c>
      <c r="V13" s="1319" t="s">
        <v>65</v>
      </c>
      <c r="W13" s="1320">
        <f t="shared" si="2"/>
        <v>100</v>
      </c>
      <c r="X13" s="1321"/>
      <c r="Y13" s="341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07"/>
      <c r="Q14" s="296">
        <f t="shared" si="6"/>
        <v>111</v>
      </c>
      <c r="R14" s="1319" t="s">
        <v>65</v>
      </c>
      <c r="S14" s="1320">
        <f t="shared" si="0"/>
        <v>100</v>
      </c>
      <c r="T14" s="1319" t="s">
        <v>65</v>
      </c>
      <c r="U14" s="1320">
        <f t="shared" si="1"/>
        <v>100</v>
      </c>
      <c r="V14" s="1319" t="s">
        <v>65</v>
      </c>
      <c r="W14" s="1320">
        <f t="shared" si="2"/>
        <v>100</v>
      </c>
      <c r="X14" s="1321"/>
      <c r="Y14" s="3416"/>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12" t="s">
        <v>408</v>
      </c>
      <c r="Q15" s="1323" t="str">
        <f t="shared" si="6"/>
        <v>居住社区成熟度</v>
      </c>
      <c r="R15" s="1324" t="s">
        <v>65</v>
      </c>
      <c r="S15" s="1325">
        <f t="shared" si="0"/>
        <v>100</v>
      </c>
      <c r="T15" s="1324" t="s">
        <v>65</v>
      </c>
      <c r="U15" s="1325">
        <f t="shared" si="1"/>
        <v>100</v>
      </c>
      <c r="V15" s="1324" t="s">
        <v>65</v>
      </c>
      <c r="W15" s="1325">
        <f t="shared" si="2"/>
        <v>100</v>
      </c>
      <c r="X15" s="1318"/>
      <c r="Y15" s="3612"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13"/>
      <c r="Q16" s="1323"/>
      <c r="R16" s="1324"/>
      <c r="S16" s="1325"/>
      <c r="T16" s="1324"/>
      <c r="U16" s="1325"/>
      <c r="V16" s="1324"/>
      <c r="W16" s="1325"/>
      <c r="X16" s="1318"/>
      <c r="Y16" s="3613"/>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13"/>
      <c r="Q17" s="1323" t="str">
        <f>B17</f>
        <v>商业繁华度</v>
      </c>
      <c r="R17" s="1324" t="s">
        <v>65</v>
      </c>
      <c r="S17" s="1325">
        <f>F17</f>
        <v>100</v>
      </c>
      <c r="T17" s="1324" t="s">
        <v>65</v>
      </c>
      <c r="U17" s="1325">
        <f>H17</f>
        <v>100</v>
      </c>
      <c r="V17" s="1324" t="s">
        <v>65</v>
      </c>
      <c r="W17" s="1325">
        <f>J17</f>
        <v>100</v>
      </c>
      <c r="X17" s="1318"/>
      <c r="Y17" s="361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13"/>
      <c r="Q18" s="1323"/>
      <c r="R18" s="1324"/>
      <c r="S18" s="1325"/>
      <c r="T18" s="1324"/>
      <c r="U18" s="1325"/>
      <c r="V18" s="1324"/>
      <c r="W18" s="1325"/>
      <c r="X18" s="1318"/>
      <c r="Y18" s="3613"/>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13"/>
      <c r="Q19" s="1323" t="str">
        <f>B19</f>
        <v>办公集聚程度</v>
      </c>
      <c r="R19" s="1324" t="s">
        <v>65</v>
      </c>
      <c r="S19" s="1325">
        <f>F19</f>
        <v>100</v>
      </c>
      <c r="T19" s="1324" t="s">
        <v>65</v>
      </c>
      <c r="U19" s="1325">
        <f>H19</f>
        <v>100</v>
      </c>
      <c r="V19" s="1324" t="s">
        <v>65</v>
      </c>
      <c r="W19" s="1325">
        <f>J19</f>
        <v>100</v>
      </c>
      <c r="X19" s="1318"/>
      <c r="Y19" s="361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13"/>
      <c r="Q20" s="1323"/>
      <c r="R20" s="1324"/>
      <c r="S20" s="1325"/>
      <c r="T20" s="1324"/>
      <c r="U20" s="1325"/>
      <c r="V20" s="1324"/>
      <c r="W20" s="1325"/>
      <c r="X20" s="1318"/>
      <c r="Y20" s="3613"/>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13"/>
      <c r="Q21" s="1323" t="str">
        <f>B21</f>
        <v>交通便捷度</v>
      </c>
      <c r="R21" s="1324" t="s">
        <v>65</v>
      </c>
      <c r="S21" s="1325">
        <f>F21</f>
        <v>100</v>
      </c>
      <c r="T21" s="1324" t="s">
        <v>65</v>
      </c>
      <c r="U21" s="1325">
        <f>H21</f>
        <v>100</v>
      </c>
      <c r="V21" s="1324" t="s">
        <v>65</v>
      </c>
      <c r="W21" s="1325">
        <f>J21</f>
        <v>100</v>
      </c>
      <c r="X21" s="1318"/>
      <c r="Y21" s="3613"/>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13"/>
      <c r="Q22" s="1323"/>
      <c r="R22" s="1324"/>
      <c r="S22" s="1325"/>
      <c r="T22" s="1324"/>
      <c r="U22" s="1325"/>
      <c r="V22" s="1324"/>
      <c r="W22" s="1325"/>
      <c r="X22" s="1318"/>
      <c r="Y22" s="3613"/>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13"/>
      <c r="Q23" s="1323" t="str">
        <f t="shared" ref="Q23:Q37" si="8">B23</f>
        <v>区域土地利用方向</v>
      </c>
      <c r="R23" s="1324" t="s">
        <v>65</v>
      </c>
      <c r="S23" s="1325">
        <f>F23</f>
        <v>100</v>
      </c>
      <c r="T23" s="1324" t="s">
        <v>65</v>
      </c>
      <c r="U23" s="1325">
        <f>H23</f>
        <v>100</v>
      </c>
      <c r="V23" s="1324" t="s">
        <v>65</v>
      </c>
      <c r="W23" s="1325">
        <f>J23</f>
        <v>100</v>
      </c>
      <c r="X23" s="1318"/>
      <c r="Y23" s="361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13"/>
      <c r="Q24" s="1470"/>
      <c r="R24" s="1324"/>
      <c r="S24" s="1325"/>
      <c r="T24" s="1324"/>
      <c r="U24" s="1325"/>
      <c r="V24" s="1324"/>
      <c r="W24" s="1325"/>
      <c r="X24" s="1469"/>
      <c r="Y24" s="3613"/>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13"/>
      <c r="Q25" s="1323" t="str">
        <f t="shared" si="8"/>
        <v>自然及人文环境状况</v>
      </c>
      <c r="R25" s="1324" t="s">
        <v>65</v>
      </c>
      <c r="S25" s="1325">
        <f>F25</f>
        <v>100</v>
      </c>
      <c r="T25" s="1324" t="s">
        <v>65</v>
      </c>
      <c r="U25" s="1325">
        <f>H25</f>
        <v>100</v>
      </c>
      <c r="V25" s="1324" t="s">
        <v>65</v>
      </c>
      <c r="W25" s="1325">
        <f>J25</f>
        <v>100</v>
      </c>
      <c r="X25" s="1318"/>
      <c r="Y25" s="361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13"/>
      <c r="Q26" s="1323"/>
      <c r="R26" s="1324"/>
      <c r="S26" s="1325"/>
      <c r="T26" s="1324"/>
      <c r="U26" s="1325"/>
      <c r="V26" s="1324"/>
      <c r="W26" s="1325"/>
      <c r="X26" s="1318"/>
      <c r="Y26" s="3613"/>
      <c r="Z26" s="1326"/>
      <c r="AA26" s="1327">
        <v>1</v>
      </c>
      <c r="AB26" s="1327">
        <v>1</v>
      </c>
      <c r="AC26" s="1327">
        <v>1</v>
      </c>
    </row>
    <row r="27" spans="1:29" s="407" customFormat="1" ht="40.5">
      <c r="A27" s="992"/>
      <c r="B27" s="1412" t="s">
        <v>2681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13"/>
      <c r="Q27" s="296" t="str">
        <f t="shared" si="8"/>
        <v>公共配套设施</v>
      </c>
      <c r="R27" s="1319" t="s">
        <v>65</v>
      </c>
      <c r="S27" s="1320">
        <f>F27</f>
        <v>100</v>
      </c>
      <c r="T27" s="1319" t="s">
        <v>65</v>
      </c>
      <c r="U27" s="1320">
        <f>H27</f>
        <v>100</v>
      </c>
      <c r="V27" s="1319" t="s">
        <v>65</v>
      </c>
      <c r="W27" s="1320">
        <f>J27</f>
        <v>100</v>
      </c>
      <c r="X27" s="1321"/>
      <c r="Y27" s="3613"/>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13"/>
      <c r="Q28" s="296"/>
      <c r="R28" s="1319"/>
      <c r="S28" s="1320"/>
      <c r="T28" s="1319"/>
      <c r="U28" s="1320"/>
      <c r="V28" s="1319"/>
      <c r="W28" s="1320"/>
      <c r="X28" s="1321"/>
      <c r="Y28" s="3613"/>
      <c r="Z28" s="344"/>
      <c r="AA28" s="1327">
        <v>1</v>
      </c>
      <c r="AB28" s="1327">
        <v>1</v>
      </c>
      <c r="AC28" s="1327">
        <v>1</v>
      </c>
    </row>
    <row r="29" spans="1:29" s="407" customFormat="1" ht="40.5">
      <c r="A29" s="992"/>
      <c r="B29" s="1412" t="s">
        <v>2682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13"/>
      <c r="Q29" s="2746" t="str">
        <f t="shared" ref="Q29" si="9">B29</f>
        <v>基础设施水平</v>
      </c>
      <c r="R29" s="1319" t="s">
        <v>65</v>
      </c>
      <c r="S29" s="1320">
        <f>F29</f>
        <v>100</v>
      </c>
      <c r="T29" s="1319" t="s">
        <v>65</v>
      </c>
      <c r="U29" s="1320">
        <f>H29</f>
        <v>100</v>
      </c>
      <c r="V29" s="1319" t="s">
        <v>65</v>
      </c>
      <c r="W29" s="1320">
        <f>J29</f>
        <v>100</v>
      </c>
      <c r="X29" s="1321"/>
      <c r="Y29" s="3613"/>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13"/>
      <c r="Q30" s="2746"/>
      <c r="R30" s="1319"/>
      <c r="S30" s="1320"/>
      <c r="T30" s="1319"/>
      <c r="U30" s="1320"/>
      <c r="V30" s="1319"/>
      <c r="W30" s="1320"/>
      <c r="X30" s="1321"/>
      <c r="Y30" s="3613"/>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1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13"/>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13"/>
      <c r="Q32" s="1323" t="str">
        <f t="shared" si="8"/>
        <v>毗邻道路的类型与等级</v>
      </c>
      <c r="R32" s="1324" t="s">
        <v>65</v>
      </c>
      <c r="S32" s="1325">
        <f t="shared" si="10"/>
        <v>100</v>
      </c>
      <c r="T32" s="1324" t="s">
        <v>65</v>
      </c>
      <c r="U32" s="1325">
        <f t="shared" si="11"/>
        <v>100</v>
      </c>
      <c r="V32" s="1324" t="s">
        <v>65</v>
      </c>
      <c r="W32" s="1325">
        <f t="shared" si="12"/>
        <v>100</v>
      </c>
      <c r="X32" s="1318"/>
      <c r="Y32" s="361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13"/>
      <c r="Q33" s="1323"/>
      <c r="R33" s="1324"/>
      <c r="S33" s="1325"/>
      <c r="T33" s="1324"/>
      <c r="U33" s="1325"/>
      <c r="V33" s="1324"/>
      <c r="W33" s="1325"/>
      <c r="X33" s="1318"/>
      <c r="Y33" s="3613"/>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13"/>
      <c r="Q34" s="1323" t="str">
        <f t="shared" si="8"/>
        <v>土地级别</v>
      </c>
      <c r="R34" s="1324" t="s">
        <v>65</v>
      </c>
      <c r="S34" s="1325">
        <f t="shared" si="10"/>
        <v>100</v>
      </c>
      <c r="T34" s="1324" t="s">
        <v>65</v>
      </c>
      <c r="U34" s="1325">
        <f t="shared" si="11"/>
        <v>100</v>
      </c>
      <c r="V34" s="1324" t="s">
        <v>65</v>
      </c>
      <c r="W34" s="1325">
        <f t="shared" si="12"/>
        <v>100</v>
      </c>
      <c r="X34" s="1318"/>
      <c r="Y34" s="3613"/>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13"/>
      <c r="Q35" s="1323">
        <f t="shared" si="8"/>
        <v>111</v>
      </c>
      <c r="R35" s="1324" t="s">
        <v>65</v>
      </c>
      <c r="S35" s="1325">
        <f t="shared" si="10"/>
        <v>100</v>
      </c>
      <c r="T35" s="1324" t="s">
        <v>65</v>
      </c>
      <c r="U35" s="1325">
        <f t="shared" si="11"/>
        <v>100</v>
      </c>
      <c r="V35" s="1324" t="s">
        <v>65</v>
      </c>
      <c r="W35" s="1325">
        <f t="shared" si="12"/>
        <v>100</v>
      </c>
      <c r="X35" s="1318"/>
      <c r="Y35" s="3613"/>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14" t="s">
        <v>410</v>
      </c>
      <c r="Q36" s="1323">
        <f t="shared" si="8"/>
        <v>111</v>
      </c>
      <c r="R36" s="1324" t="s">
        <v>65</v>
      </c>
      <c r="S36" s="1325">
        <f t="shared" si="10"/>
        <v>100</v>
      </c>
      <c r="T36" s="1324" t="s">
        <v>65</v>
      </c>
      <c r="U36" s="1325">
        <f t="shared" si="11"/>
        <v>100</v>
      </c>
      <c r="V36" s="1324" t="s">
        <v>65</v>
      </c>
      <c r="W36" s="1325">
        <f t="shared" si="12"/>
        <v>100</v>
      </c>
      <c r="X36" s="1318"/>
      <c r="Y36" s="3615"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15"/>
      <c r="Q37" s="1323">
        <f t="shared" si="8"/>
        <v>111</v>
      </c>
      <c r="R37" s="1329" t="s">
        <v>65</v>
      </c>
      <c r="S37" s="1330">
        <f t="shared" si="10"/>
        <v>100</v>
      </c>
      <c r="T37" s="1329" t="s">
        <v>65</v>
      </c>
      <c r="U37" s="1330">
        <f t="shared" si="11"/>
        <v>100</v>
      </c>
      <c r="V37" s="1329" t="s">
        <v>65</v>
      </c>
      <c r="W37" s="1330">
        <f t="shared" si="12"/>
        <v>100</v>
      </c>
      <c r="X37" s="1331"/>
      <c r="Y37" s="3615"/>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15"/>
      <c r="Q38" s="1323" t="str">
        <f>B38</f>
        <v>宗地面积</v>
      </c>
      <c r="R38" s="1324" t="s">
        <v>65</v>
      </c>
      <c r="S38" s="1325" t="e">
        <f t="shared" si="10"/>
        <v>#N/A</v>
      </c>
      <c r="T38" s="1324" t="s">
        <v>65</v>
      </c>
      <c r="U38" s="1325" t="e">
        <f t="shared" si="11"/>
        <v>#N/A</v>
      </c>
      <c r="V38" s="1324" t="s">
        <v>65</v>
      </c>
      <c r="W38" s="1325" t="e">
        <f t="shared" si="12"/>
        <v>#N/A</v>
      </c>
      <c r="X38" s="1318"/>
      <c r="Y38" s="3615"/>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15"/>
      <c r="Q39" s="1323" t="str">
        <f t="shared" ref="Q39:Q45" si="14">B39</f>
        <v>宗地形状</v>
      </c>
      <c r="R39" s="1324" t="s">
        <v>65</v>
      </c>
      <c r="S39" s="1325">
        <f t="shared" si="10"/>
        <v>100</v>
      </c>
      <c r="T39" s="1324" t="s">
        <v>65</v>
      </c>
      <c r="U39" s="1325">
        <f t="shared" si="11"/>
        <v>100</v>
      </c>
      <c r="V39" s="1324" t="s">
        <v>65</v>
      </c>
      <c r="W39" s="1325">
        <f t="shared" si="12"/>
        <v>100</v>
      </c>
      <c r="X39" s="1318"/>
      <c r="Y39" s="3615"/>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15"/>
      <c r="Q40" s="1323" t="str">
        <f t="shared" si="14"/>
        <v>临街宽度及深度</v>
      </c>
      <c r="R40" s="1324" t="s">
        <v>65</v>
      </c>
      <c r="S40" s="1325">
        <f t="shared" si="10"/>
        <v>100</v>
      </c>
      <c r="T40" s="1324" t="s">
        <v>65</v>
      </c>
      <c r="U40" s="1325">
        <f t="shared" si="11"/>
        <v>100</v>
      </c>
      <c r="V40" s="1324" t="s">
        <v>65</v>
      </c>
      <c r="W40" s="1325">
        <f t="shared" si="12"/>
        <v>100</v>
      </c>
      <c r="X40" s="1318"/>
      <c r="Y40" s="3615"/>
      <c r="Z40" s="1326" t="str">
        <f t="shared" si="13"/>
        <v>临街宽度及深度</v>
      </c>
      <c r="AA40" s="1327">
        <f t="shared" si="3"/>
        <v>1</v>
      </c>
      <c r="AB40" s="1327">
        <f t="shared" si="4"/>
        <v>1</v>
      </c>
      <c r="AC40" s="1327">
        <f t="shared" si="5"/>
        <v>1</v>
      </c>
    </row>
    <row r="41" spans="1:29" s="407" customFormat="1" ht="15">
      <c r="A41" s="816"/>
      <c r="B41" s="2612" t="s">
        <v>2513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15"/>
      <c r="Q41" s="1323" t="str">
        <f t="shared" si="14"/>
        <v>宗地开发程度</v>
      </c>
      <c r="R41" s="1319" t="s">
        <v>65</v>
      </c>
      <c r="S41" s="1320">
        <f t="shared" si="10"/>
        <v>100</v>
      </c>
      <c r="T41" s="1319" t="s">
        <v>65</v>
      </c>
      <c r="U41" s="1320">
        <f t="shared" si="11"/>
        <v>100</v>
      </c>
      <c r="V41" s="1319" t="s">
        <v>65</v>
      </c>
      <c r="W41" s="1320">
        <f t="shared" si="12"/>
        <v>100</v>
      </c>
      <c r="X41" s="1321"/>
      <c r="Y41" s="3615"/>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15" t="s">
        <v>410</v>
      </c>
      <c r="Q42" s="1323" t="str">
        <f t="shared" si="14"/>
        <v>工程地质条件</v>
      </c>
      <c r="R42" s="1324" t="s">
        <v>65</v>
      </c>
      <c r="S42" s="1325">
        <f t="shared" si="10"/>
        <v>100</v>
      </c>
      <c r="T42" s="1324" t="s">
        <v>65</v>
      </c>
      <c r="U42" s="1325">
        <f t="shared" si="11"/>
        <v>100</v>
      </c>
      <c r="V42" s="1324" t="s">
        <v>65</v>
      </c>
      <c r="W42" s="1325">
        <f t="shared" si="12"/>
        <v>100</v>
      </c>
      <c r="X42" s="1318"/>
      <c r="Y42" s="3615"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15"/>
      <c r="Q43" s="1323">
        <f t="shared" si="14"/>
        <v>111</v>
      </c>
      <c r="R43" s="1324" t="s">
        <v>65</v>
      </c>
      <c r="S43" s="1325">
        <f t="shared" si="10"/>
        <v>100</v>
      </c>
      <c r="T43" s="1324" t="s">
        <v>65</v>
      </c>
      <c r="U43" s="1325">
        <f t="shared" si="11"/>
        <v>100</v>
      </c>
      <c r="V43" s="1324" t="s">
        <v>65</v>
      </c>
      <c r="W43" s="1325">
        <f t="shared" si="12"/>
        <v>100</v>
      </c>
      <c r="X43" s="1318"/>
      <c r="Y43" s="361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15"/>
      <c r="Q44" s="1323">
        <f t="shared" si="14"/>
        <v>111</v>
      </c>
      <c r="R44" s="1324" t="s">
        <v>65</v>
      </c>
      <c r="S44" s="1325">
        <f t="shared" si="10"/>
        <v>100</v>
      </c>
      <c r="T44" s="1324" t="s">
        <v>65</v>
      </c>
      <c r="U44" s="1325">
        <f t="shared" si="11"/>
        <v>100</v>
      </c>
      <c r="V44" s="1324" t="s">
        <v>65</v>
      </c>
      <c r="W44" s="1325">
        <f t="shared" si="12"/>
        <v>100</v>
      </c>
      <c r="X44" s="1318"/>
      <c r="Y44" s="361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15"/>
      <c r="Q45" s="1323">
        <f t="shared" si="14"/>
        <v>111</v>
      </c>
      <c r="R45" s="1329" t="s">
        <v>65</v>
      </c>
      <c r="S45" s="1330">
        <f t="shared" si="10"/>
        <v>100</v>
      </c>
      <c r="T45" s="1329" t="s">
        <v>65</v>
      </c>
      <c r="U45" s="1330">
        <f t="shared" si="11"/>
        <v>100</v>
      </c>
      <c r="V45" s="1329" t="s">
        <v>65</v>
      </c>
      <c r="W45" s="1330">
        <f t="shared" si="12"/>
        <v>100</v>
      </c>
      <c r="X45" s="1331"/>
      <c r="Y45" s="3615"/>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07" t="str">
        <f>A46</f>
        <v>成交单价</v>
      </c>
      <c r="Q46" s="3607"/>
      <c r="R46" s="3635">
        <f>E46</f>
        <v>0</v>
      </c>
      <c r="S46" s="3635"/>
      <c r="T46" s="3635">
        <f>G46</f>
        <v>0</v>
      </c>
      <c r="U46" s="3635"/>
      <c r="V46" s="3635">
        <f>I46</f>
        <v>0</v>
      </c>
      <c r="W46" s="3635"/>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07" t="str">
        <f>A47</f>
        <v>比较价值（元/平方米）</v>
      </c>
      <c r="Q47" s="3607"/>
      <c r="R47" s="3647" t="e">
        <f>ROUND(PRODUCT(R46,AA7:AA45),0)</f>
        <v>#DIV/0!</v>
      </c>
      <c r="S47" s="3647"/>
      <c r="T47" s="3647" t="e">
        <f>ROUND(PRODUCT(T46,AB7:AB45),0)</f>
        <v>#DIV/0!</v>
      </c>
      <c r="U47" s="3647"/>
      <c r="V47" s="3647" t="e">
        <f>ROUND(PRODUCT(V46,AC7:AC45),0)</f>
        <v>#DIV/0!</v>
      </c>
      <c r="W47" s="3647"/>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09" t="str">
        <f>A48</f>
        <v>估价对象XX用房的比较价值（楼面单价，元/平方米）</v>
      </c>
      <c r="Q48" s="3610"/>
      <c r="R48" s="3648" t="e">
        <f>ROUND(AVERAGE(R47:V47),0)</f>
        <v>#DIV/0!</v>
      </c>
      <c r="S48" s="3648"/>
      <c r="T48" s="3648"/>
      <c r="U48" s="3648"/>
      <c r="V48" s="3648"/>
      <c r="W48" s="3648"/>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49" t="s">
        <v>2329</v>
      </c>
      <c r="H55" s="3650"/>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0</v>
      </c>
      <c r="F56" s="2188" t="e">
        <f t="shared" ref="F56:F65" si="15">ROUND(B56*E56/10000,0)</f>
        <v>#DIV/0!</v>
      </c>
      <c r="G56" s="3651"/>
      <c r="H56" s="3652"/>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53"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53"/>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53"/>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53"/>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0</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1900-1-1</v>
      </c>
      <c r="D68" s="1309" t="e">
        <f>EDATE(C68,-3)</f>
        <v>#NUM!</v>
      </c>
      <c r="E68" s="1309" t="e">
        <f>EDATE(D68,-3)</f>
        <v>#NUM!</v>
      </c>
      <c r="F68" s="1309" t="e">
        <f t="shared" ref="F68:O68" si="18">EDATE(E68,-3)</f>
        <v>#NUM!</v>
      </c>
      <c r="G68" s="1309" t="e">
        <f t="shared" si="18"/>
        <v>#NUM!</v>
      </c>
      <c r="H68" s="1309" t="e">
        <f t="shared" si="18"/>
        <v>#NUM!</v>
      </c>
      <c r="I68" s="1309" t="e">
        <f t="shared" si="18"/>
        <v>#NUM!</v>
      </c>
      <c r="J68" s="1309" t="e">
        <f t="shared" si="18"/>
        <v>#NUM!</v>
      </c>
      <c r="K68" s="1309" t="e">
        <f t="shared" si="18"/>
        <v>#NUM!</v>
      </c>
      <c r="L68" s="1309" t="e">
        <f t="shared" si="18"/>
        <v>#NUM!</v>
      </c>
      <c r="M68" s="1309" t="e">
        <f t="shared" si="18"/>
        <v>#NUM!</v>
      </c>
      <c r="N68" s="1309" t="e">
        <f t="shared" si="18"/>
        <v>#NUM!</v>
      </c>
      <c r="O68" s="1309" t="e">
        <f t="shared" si="18"/>
        <v>#NUM!</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2805</v>
      </c>
      <c r="B70" s="2709"/>
      <c r="C70" s="3043" t="str">
        <f>YEAR(C68)&amp;"-"&amp;ROUNDUP(MONTH(C68)/3,0)</f>
        <v>1900-1</v>
      </c>
      <c r="D70" s="3043" t="e">
        <f>YEAR(D68)&amp;"-"&amp;ROUNDUP(MONTH(D68)/3,0)</f>
        <v>#NUM!</v>
      </c>
      <c r="E70" s="3043" t="e">
        <f t="shared" ref="E70:O70" si="19">YEAR(E68)&amp;"-"&amp;ROUNDUP(MONTH(E68)/3,0)</f>
        <v>#NUM!</v>
      </c>
      <c r="F70" s="3043" t="e">
        <f t="shared" si="19"/>
        <v>#NUM!</v>
      </c>
      <c r="G70" s="3043" t="e">
        <f t="shared" si="19"/>
        <v>#NUM!</v>
      </c>
      <c r="H70" s="3043" t="e">
        <f t="shared" si="19"/>
        <v>#NUM!</v>
      </c>
      <c r="I70" s="3043" t="e">
        <f t="shared" si="19"/>
        <v>#NUM!</v>
      </c>
      <c r="J70" s="3043" t="e">
        <f t="shared" si="19"/>
        <v>#NUM!</v>
      </c>
      <c r="K70" s="3043" t="e">
        <f t="shared" si="19"/>
        <v>#NUM!</v>
      </c>
      <c r="L70" s="3043" t="e">
        <f t="shared" si="19"/>
        <v>#NUM!</v>
      </c>
      <c r="M70" s="3043" t="e">
        <f t="shared" si="19"/>
        <v>#NUM!</v>
      </c>
      <c r="N70" s="3043" t="e">
        <f t="shared" si="19"/>
        <v>#NUM!</v>
      </c>
      <c r="O70" s="3043" t="e">
        <f t="shared" si="19"/>
        <v>#NUM!</v>
      </c>
      <c r="P70" s="850"/>
    </row>
    <row r="71" spans="1:17" s="407" customFormat="1" ht="30" customHeight="1">
      <c r="A71" s="3046" t="s">
        <v>40</v>
      </c>
      <c r="B71" s="664" t="str">
        <f>"北京市平均增长率"&amp;TEXT(SUMIF(基准地价修正!N21:N25,A71,基准地价修正!P21:P25),"0.00%")</f>
        <v>北京市平均增长率0.00%</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2681</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2668</v>
      </c>
      <c r="C102" s="213" t="s">
        <v>2669</v>
      </c>
      <c r="D102" s="213" t="s">
        <v>2670</v>
      </c>
      <c r="E102" s="213" t="s">
        <v>2671</v>
      </c>
      <c r="F102" s="213" t="s">
        <v>2672</v>
      </c>
      <c r="G102" s="213" t="s">
        <v>2673</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2512</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2901</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19" t="s">
        <v>392</v>
      </c>
      <c r="D4" s="3620"/>
      <c r="E4" s="3621" t="s">
        <v>393</v>
      </c>
      <c r="F4" s="3622"/>
      <c r="G4" s="3619" t="s">
        <v>394</v>
      </c>
      <c r="H4" s="3620"/>
      <c r="I4" s="3619" t="s">
        <v>395</v>
      </c>
      <c r="J4" s="3620"/>
      <c r="K4" s="953" t="s">
        <v>396</v>
      </c>
      <c r="L4" s="2350"/>
      <c r="M4" s="2351"/>
      <c r="N4" s="2351"/>
      <c r="O4" s="2351"/>
      <c r="P4" s="3623" t="s">
        <v>397</v>
      </c>
      <c r="Q4" s="3624"/>
      <c r="R4" s="3629" t="s">
        <v>393</v>
      </c>
      <c r="S4" s="3630"/>
      <c r="T4" s="3629" t="s">
        <v>394</v>
      </c>
      <c r="U4" s="3630"/>
      <c r="V4" s="3635" t="s">
        <v>395</v>
      </c>
      <c r="W4" s="3635"/>
      <c r="X4" s="1318"/>
      <c r="Y4" s="3629" t="s">
        <v>397</v>
      </c>
      <c r="Z4" s="3630"/>
      <c r="AA4" s="3616" t="s">
        <v>393</v>
      </c>
      <c r="AB4" s="3617" t="s">
        <v>394</v>
      </c>
      <c r="AC4" s="3616" t="s">
        <v>395</v>
      </c>
    </row>
    <row r="5" spans="1:29" ht="15">
      <c r="A5" s="747"/>
      <c r="B5" s="748"/>
      <c r="C5" s="3582" t="s">
        <v>1134</v>
      </c>
      <c r="D5" s="3583"/>
      <c r="E5" s="3589" t="s">
        <v>1135</v>
      </c>
      <c r="F5" s="3590"/>
      <c r="G5" s="3582" t="s">
        <v>1138</v>
      </c>
      <c r="H5" s="3583"/>
      <c r="I5" s="3582" t="s">
        <v>1136</v>
      </c>
      <c r="J5" s="3583"/>
      <c r="K5" s="953"/>
      <c r="L5" s="2350"/>
      <c r="M5" s="2351"/>
      <c r="N5" s="2351"/>
      <c r="O5" s="2351"/>
      <c r="P5" s="3625"/>
      <c r="Q5" s="3626"/>
      <c r="R5" s="3631"/>
      <c r="S5" s="3632"/>
      <c r="T5" s="3631"/>
      <c r="U5" s="3632"/>
      <c r="V5" s="3635"/>
      <c r="W5" s="3635"/>
      <c r="X5" s="1318"/>
      <c r="Y5" s="3631"/>
      <c r="Z5" s="3632"/>
      <c r="AA5" s="3617"/>
      <c r="AB5" s="3617"/>
      <c r="AC5" s="3617"/>
    </row>
    <row r="6" spans="1:29" ht="15.75" thickBot="1">
      <c r="A6" s="749"/>
      <c r="B6" s="750"/>
      <c r="C6" s="3654" t="s">
        <v>1137</v>
      </c>
      <c r="D6" s="3655"/>
      <c r="E6" s="3656" t="s">
        <v>1137</v>
      </c>
      <c r="F6" s="3657"/>
      <c r="G6" s="3654" t="s">
        <v>1137</v>
      </c>
      <c r="H6" s="3655"/>
      <c r="I6" s="3654" t="s">
        <v>1137</v>
      </c>
      <c r="J6" s="3655"/>
      <c r="K6" s="953" t="s">
        <v>398</v>
      </c>
      <c r="L6" s="2350"/>
      <c r="M6" s="2351"/>
      <c r="N6" s="2351"/>
      <c r="O6" s="2351"/>
      <c r="P6" s="3627"/>
      <c r="Q6" s="3628"/>
      <c r="R6" s="3631"/>
      <c r="S6" s="3632"/>
      <c r="T6" s="3633"/>
      <c r="U6" s="3634"/>
      <c r="V6" s="3635"/>
      <c r="W6" s="3635"/>
      <c r="X6" s="1318"/>
      <c r="Y6" s="3633"/>
      <c r="Z6" s="3634"/>
      <c r="AA6" s="3618"/>
      <c r="AB6" s="3618"/>
      <c r="AC6" s="3618"/>
    </row>
    <row r="7" spans="1:29" s="407" customFormat="1" ht="15.75" thickBot="1">
      <c r="A7" s="751" t="s">
        <v>399</v>
      </c>
      <c r="B7" s="752"/>
      <c r="C7" s="753">
        <f>'数据-取费表'!B2</f>
        <v>0</v>
      </c>
      <c r="D7" s="754">
        <v>100</v>
      </c>
      <c r="E7" s="1017"/>
      <c r="F7" s="756">
        <f>SUMIF(65:65,YEAR(E7)&amp;"-"&amp;INT((MONTH(E7)+2)/3),66:66)</f>
        <v>100</v>
      </c>
      <c r="G7" s="1018"/>
      <c r="H7" s="754">
        <f>SUMIF(65:65,YEAR(G7)&amp;"-"&amp;INT((MONTH(G7)+2)/3),66:66)</f>
        <v>100</v>
      </c>
      <c r="I7" s="1018"/>
      <c r="J7" s="754">
        <f>SUMIF(65:65,YEAR(I7)&amp;"-"&amp;INT((MONTH(I7)+2)/3),66:66)</f>
        <v>100</v>
      </c>
      <c r="K7" s="954"/>
      <c r="L7" s="2352"/>
      <c r="M7" s="2353"/>
      <c r="N7" s="2353"/>
      <c r="O7" s="2353"/>
      <c r="P7" s="3640" t="s">
        <v>400</v>
      </c>
      <c r="Q7" s="3642"/>
      <c r="R7" s="1319" t="s">
        <v>65</v>
      </c>
      <c r="S7" s="1320">
        <f t="shared" ref="S7:S15" si="0">F7</f>
        <v>100</v>
      </c>
      <c r="T7" s="1319" t="s">
        <v>65</v>
      </c>
      <c r="U7" s="1320">
        <f t="shared" ref="U7:U15" si="1">H7</f>
        <v>100</v>
      </c>
      <c r="V7" s="1319" t="s">
        <v>65</v>
      </c>
      <c r="W7" s="1320">
        <f t="shared" ref="W7:W15" si="2">J7</f>
        <v>100</v>
      </c>
      <c r="X7" s="1321"/>
      <c r="Y7" s="3640" t="s">
        <v>400</v>
      </c>
      <c r="Z7" s="3641"/>
      <c r="AA7" s="1322">
        <f>D7/F7</f>
        <v>1</v>
      </c>
      <c r="AB7" s="1322">
        <f>D7/H7</f>
        <v>1</v>
      </c>
      <c r="AC7" s="1322">
        <f>D7/J7</f>
        <v>1</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40" t="s">
        <v>436</v>
      </c>
      <c r="Q8" s="3641"/>
      <c r="R8" s="1319" t="s">
        <v>65</v>
      </c>
      <c r="S8" s="1320">
        <f t="shared" si="0"/>
        <v>0</v>
      </c>
      <c r="T8" s="1319" t="s">
        <v>65</v>
      </c>
      <c r="U8" s="1320">
        <f t="shared" si="1"/>
        <v>0</v>
      </c>
      <c r="V8" s="1319" t="s">
        <v>65</v>
      </c>
      <c r="W8" s="1320">
        <f t="shared" si="2"/>
        <v>0</v>
      </c>
      <c r="X8" s="1321"/>
      <c r="Y8" s="3640" t="s">
        <v>436</v>
      </c>
      <c r="Z8" s="3641"/>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07" t="s">
        <v>403</v>
      </c>
      <c r="Q9" s="296" t="str">
        <f t="shared" ref="Q9:Q15" si="6">B9</f>
        <v>用途</v>
      </c>
      <c r="R9" s="1319" t="s">
        <v>65</v>
      </c>
      <c r="S9" s="1320">
        <f t="shared" si="0"/>
        <v>100</v>
      </c>
      <c r="T9" s="1319" t="s">
        <v>65</v>
      </c>
      <c r="U9" s="1320">
        <f t="shared" si="1"/>
        <v>100</v>
      </c>
      <c r="V9" s="1319" t="s">
        <v>65</v>
      </c>
      <c r="W9" s="1320">
        <f t="shared" si="2"/>
        <v>100</v>
      </c>
      <c r="X9" s="1321"/>
      <c r="Y9" s="3416"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t="e">
        <f>ROUND(100/'数据-取费表'!G16,0)</f>
        <v>#DIV/0!</v>
      </c>
      <c r="G10" s="1024"/>
      <c r="H10" s="426" t="e">
        <f>ROUND(100/'数据-取费表'!G16,0)</f>
        <v>#DIV/0!</v>
      </c>
      <c r="I10" s="1024"/>
      <c r="J10" s="426" t="e">
        <f>ROUND(100/'数据-取费表'!G16,0)</f>
        <v>#DIV/0!</v>
      </c>
      <c r="K10" s="1081"/>
      <c r="L10" s="2355"/>
      <c r="M10" s="2356"/>
      <c r="N10" s="2356"/>
      <c r="O10" s="2357"/>
      <c r="P10" s="3607"/>
      <c r="Q10" s="296" t="str">
        <f t="shared" si="6"/>
        <v>土地使用年限（年）</v>
      </c>
      <c r="R10" s="1319" t="s">
        <v>65</v>
      </c>
      <c r="S10" s="1320" t="e">
        <f t="shared" si="0"/>
        <v>#DIV/0!</v>
      </c>
      <c r="T10" s="1319" t="s">
        <v>65</v>
      </c>
      <c r="U10" s="1320" t="e">
        <f t="shared" si="1"/>
        <v>#DIV/0!</v>
      </c>
      <c r="V10" s="1319" t="s">
        <v>65</v>
      </c>
      <c r="W10" s="1320" t="e">
        <f t="shared" si="2"/>
        <v>#DIV/0!</v>
      </c>
      <c r="X10" s="1321"/>
      <c r="Y10" s="3416"/>
      <c r="Z10" s="344" t="str">
        <f t="shared" si="7"/>
        <v>土地使用年限（年）</v>
      </c>
      <c r="AA10" s="1322" t="e">
        <f t="shared" si="3"/>
        <v>#DIV/0!</v>
      </c>
      <c r="AB10" s="1322" t="e">
        <f t="shared" si="4"/>
        <v>#DIV/0!</v>
      </c>
      <c r="AC10" s="1322" t="e">
        <f t="shared" si="5"/>
        <v>#DIV/0!</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07"/>
      <c r="Q11" s="296" t="str">
        <f t="shared" si="6"/>
        <v>容积率</v>
      </c>
      <c r="R11" s="1319" t="s">
        <v>65</v>
      </c>
      <c r="S11" s="1320" t="e">
        <f t="shared" si="0"/>
        <v>#N/A</v>
      </c>
      <c r="T11" s="1319" t="s">
        <v>65</v>
      </c>
      <c r="U11" s="1320" t="e">
        <f t="shared" si="1"/>
        <v>#N/A</v>
      </c>
      <c r="V11" s="1319" t="s">
        <v>65</v>
      </c>
      <c r="W11" s="1320" t="e">
        <f t="shared" si="2"/>
        <v>#N/A</v>
      </c>
      <c r="X11" s="1321"/>
      <c r="Y11" s="341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07"/>
      <c r="Q12" s="296">
        <f t="shared" si="6"/>
        <v>111</v>
      </c>
      <c r="R12" s="1319" t="s">
        <v>65</v>
      </c>
      <c r="S12" s="1320">
        <f t="shared" si="0"/>
        <v>100</v>
      </c>
      <c r="T12" s="1319" t="s">
        <v>65</v>
      </c>
      <c r="U12" s="1320">
        <f t="shared" si="1"/>
        <v>100</v>
      </c>
      <c r="V12" s="1319" t="s">
        <v>65</v>
      </c>
      <c r="W12" s="1320">
        <f t="shared" si="2"/>
        <v>100</v>
      </c>
      <c r="X12" s="1321"/>
      <c r="Y12" s="341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07"/>
      <c r="Q13" s="296">
        <f t="shared" si="6"/>
        <v>111</v>
      </c>
      <c r="R13" s="1319" t="s">
        <v>65</v>
      </c>
      <c r="S13" s="1320">
        <f t="shared" si="0"/>
        <v>100</v>
      </c>
      <c r="T13" s="1319" t="s">
        <v>65</v>
      </c>
      <c r="U13" s="1320">
        <f t="shared" si="1"/>
        <v>100</v>
      </c>
      <c r="V13" s="1319" t="s">
        <v>65</v>
      </c>
      <c r="W13" s="1320">
        <f t="shared" si="2"/>
        <v>100</v>
      </c>
      <c r="X13" s="1321"/>
      <c r="Y13" s="341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07"/>
      <c r="Q14" s="296">
        <f t="shared" si="6"/>
        <v>111</v>
      </c>
      <c r="R14" s="1319" t="s">
        <v>65</v>
      </c>
      <c r="S14" s="1320">
        <f t="shared" si="0"/>
        <v>100</v>
      </c>
      <c r="T14" s="1319" t="s">
        <v>65</v>
      </c>
      <c r="U14" s="1320">
        <f t="shared" si="1"/>
        <v>100</v>
      </c>
      <c r="V14" s="1319" t="s">
        <v>65</v>
      </c>
      <c r="W14" s="1320">
        <f t="shared" si="2"/>
        <v>100</v>
      </c>
      <c r="X14" s="1321"/>
      <c r="Y14" s="3416"/>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12" t="s">
        <v>408</v>
      </c>
      <c r="Q15" s="1323" t="str">
        <f t="shared" si="6"/>
        <v>产业集聚程度</v>
      </c>
      <c r="R15" s="1324" t="s">
        <v>65</v>
      </c>
      <c r="S15" s="1325">
        <f t="shared" si="0"/>
        <v>100</v>
      </c>
      <c r="T15" s="1324" t="s">
        <v>65</v>
      </c>
      <c r="U15" s="1325">
        <f t="shared" si="1"/>
        <v>100</v>
      </c>
      <c r="V15" s="1324" t="s">
        <v>65</v>
      </c>
      <c r="W15" s="1325">
        <f t="shared" si="2"/>
        <v>100</v>
      </c>
      <c r="X15" s="1318"/>
      <c r="Y15" s="3612"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13"/>
      <c r="Q16" s="1323"/>
      <c r="R16" s="1324"/>
      <c r="S16" s="1325"/>
      <c r="T16" s="1324"/>
      <c r="U16" s="1325"/>
      <c r="V16" s="1324"/>
      <c r="W16" s="1325"/>
      <c r="X16" s="1318"/>
      <c r="Y16" s="3613"/>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13"/>
      <c r="Q17" s="1323" t="str">
        <f>B17</f>
        <v>交通便捷度</v>
      </c>
      <c r="R17" s="1324" t="s">
        <v>65</v>
      </c>
      <c r="S17" s="1325">
        <f>F17</f>
        <v>100</v>
      </c>
      <c r="T17" s="1324" t="s">
        <v>65</v>
      </c>
      <c r="U17" s="1325">
        <f>H17</f>
        <v>100</v>
      </c>
      <c r="V17" s="1324" t="s">
        <v>65</v>
      </c>
      <c r="W17" s="1325">
        <f>J17</f>
        <v>100</v>
      </c>
      <c r="X17" s="1318"/>
      <c r="Y17" s="361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13"/>
      <c r="Q18" s="1323"/>
      <c r="R18" s="1324"/>
      <c r="S18" s="1325"/>
      <c r="T18" s="1324"/>
      <c r="U18" s="1325"/>
      <c r="V18" s="1324"/>
      <c r="W18" s="1325"/>
      <c r="X18" s="1318"/>
      <c r="Y18" s="3613"/>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13"/>
      <c r="Q19" s="1323" t="str">
        <f t="shared" ref="Q19:Q33" si="8">B19</f>
        <v>区域土地利用方向</v>
      </c>
      <c r="R19" s="1324" t="s">
        <v>65</v>
      </c>
      <c r="S19" s="1325">
        <f>F19</f>
        <v>100</v>
      </c>
      <c r="T19" s="1324" t="s">
        <v>65</v>
      </c>
      <c r="U19" s="1325">
        <f>H19</f>
        <v>100</v>
      </c>
      <c r="V19" s="1324" t="s">
        <v>65</v>
      </c>
      <c r="W19" s="1325">
        <f>J19</f>
        <v>100</v>
      </c>
      <c r="X19" s="1318"/>
      <c r="Y19" s="361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13"/>
      <c r="Q20" s="1470"/>
      <c r="R20" s="1324"/>
      <c r="S20" s="1325"/>
      <c r="T20" s="1324"/>
      <c r="U20" s="1325"/>
      <c r="V20" s="1324"/>
      <c r="W20" s="1325"/>
      <c r="X20" s="1469"/>
      <c r="Y20" s="3613"/>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13"/>
      <c r="Q21" s="1323" t="str">
        <f t="shared" si="8"/>
        <v>环境状况</v>
      </c>
      <c r="R21" s="1324" t="s">
        <v>65</v>
      </c>
      <c r="S21" s="1325">
        <f>F21</f>
        <v>100</v>
      </c>
      <c r="T21" s="1324" t="s">
        <v>65</v>
      </c>
      <c r="U21" s="1325">
        <f>H21</f>
        <v>100</v>
      </c>
      <c r="V21" s="1324" t="s">
        <v>65</v>
      </c>
      <c r="W21" s="1325">
        <f>J21</f>
        <v>100</v>
      </c>
      <c r="X21" s="1318"/>
      <c r="Y21" s="361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13"/>
      <c r="Q22" s="1323"/>
      <c r="R22" s="1324"/>
      <c r="S22" s="1325"/>
      <c r="T22" s="1324"/>
      <c r="U22" s="1325"/>
      <c r="V22" s="1324"/>
      <c r="W22" s="1325"/>
      <c r="X22" s="1318"/>
      <c r="Y22" s="3613"/>
      <c r="Z22" s="1326"/>
      <c r="AA22" s="1327">
        <v>1</v>
      </c>
      <c r="AB22" s="1327">
        <v>1</v>
      </c>
      <c r="AC22" s="1327">
        <v>1</v>
      </c>
    </row>
    <row r="23" spans="1:29" s="407" customFormat="1" ht="40.5">
      <c r="A23" s="992"/>
      <c r="B23" s="1036" t="s">
        <v>2681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13"/>
      <c r="Q23" s="296" t="str">
        <f t="shared" si="8"/>
        <v>公共配套设施</v>
      </c>
      <c r="R23" s="1319" t="s">
        <v>65</v>
      </c>
      <c r="S23" s="1320">
        <f>F23</f>
        <v>100</v>
      </c>
      <c r="T23" s="1319" t="s">
        <v>65</v>
      </c>
      <c r="U23" s="1320">
        <f>H23</f>
        <v>100</v>
      </c>
      <c r="V23" s="1319" t="s">
        <v>65</v>
      </c>
      <c r="W23" s="1320">
        <f>J23</f>
        <v>100</v>
      </c>
      <c r="X23" s="1321"/>
      <c r="Y23" s="3613"/>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13"/>
      <c r="Q24" s="296"/>
      <c r="R24" s="1319"/>
      <c r="S24" s="1320"/>
      <c r="T24" s="1319"/>
      <c r="U24" s="1320"/>
      <c r="V24" s="1319"/>
      <c r="W24" s="1320"/>
      <c r="X24" s="1321"/>
      <c r="Y24" s="3613"/>
      <c r="Z24" s="344"/>
      <c r="AA24" s="1322">
        <v>1</v>
      </c>
      <c r="AB24" s="1322">
        <v>1</v>
      </c>
      <c r="AC24" s="1322">
        <v>1</v>
      </c>
    </row>
    <row r="25" spans="1:29" s="407" customFormat="1" ht="40.5">
      <c r="A25" s="992"/>
      <c r="B25" s="1036" t="s">
        <v>2682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13"/>
      <c r="Q25" s="2746" t="str">
        <f t="shared" ref="Q25" si="9">B25</f>
        <v>基础设施水平</v>
      </c>
      <c r="R25" s="1319" t="s">
        <v>65</v>
      </c>
      <c r="S25" s="1320">
        <f>F25</f>
        <v>100</v>
      </c>
      <c r="T25" s="1319" t="s">
        <v>65</v>
      </c>
      <c r="U25" s="1320">
        <f>H25</f>
        <v>100</v>
      </c>
      <c r="V25" s="1319" t="s">
        <v>65</v>
      </c>
      <c r="W25" s="1320">
        <f>J25</f>
        <v>100</v>
      </c>
      <c r="X25" s="1321"/>
      <c r="Y25" s="3613"/>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13"/>
      <c r="Q26" s="2746"/>
      <c r="R26" s="1319"/>
      <c r="S26" s="1320"/>
      <c r="T26" s="1319"/>
      <c r="U26" s="1320"/>
      <c r="V26" s="1319"/>
      <c r="W26" s="1320"/>
      <c r="X26" s="1321"/>
      <c r="Y26" s="3613"/>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1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13"/>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13"/>
      <c r="Q28" s="1323" t="str">
        <f t="shared" si="8"/>
        <v>毗邻道路的类型与等级</v>
      </c>
      <c r="R28" s="1324" t="s">
        <v>65</v>
      </c>
      <c r="S28" s="1325">
        <f t="shared" si="10"/>
        <v>100</v>
      </c>
      <c r="T28" s="1324" t="s">
        <v>65</v>
      </c>
      <c r="U28" s="1325">
        <f t="shared" si="11"/>
        <v>100</v>
      </c>
      <c r="V28" s="1324" t="s">
        <v>65</v>
      </c>
      <c r="W28" s="1325">
        <f t="shared" si="12"/>
        <v>100</v>
      </c>
      <c r="X28" s="1318"/>
      <c r="Y28" s="361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13"/>
      <c r="Q29" s="1323"/>
      <c r="R29" s="1324"/>
      <c r="S29" s="1325"/>
      <c r="T29" s="1324"/>
      <c r="U29" s="1325"/>
      <c r="V29" s="1324"/>
      <c r="W29" s="1325"/>
      <c r="X29" s="1318"/>
      <c r="Y29" s="3613"/>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13"/>
      <c r="Q30" s="1323" t="str">
        <f t="shared" si="8"/>
        <v>土地级别</v>
      </c>
      <c r="R30" s="1324" t="s">
        <v>65</v>
      </c>
      <c r="S30" s="1325">
        <f t="shared" si="10"/>
        <v>100</v>
      </c>
      <c r="T30" s="1324" t="s">
        <v>65</v>
      </c>
      <c r="U30" s="1325">
        <f t="shared" si="11"/>
        <v>100</v>
      </c>
      <c r="V30" s="1324" t="s">
        <v>65</v>
      </c>
      <c r="W30" s="1325">
        <f t="shared" si="12"/>
        <v>100</v>
      </c>
      <c r="X30" s="1318"/>
      <c r="Y30" s="361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13"/>
      <c r="Q31" s="1323">
        <f t="shared" si="8"/>
        <v>111</v>
      </c>
      <c r="R31" s="1324" t="s">
        <v>65</v>
      </c>
      <c r="S31" s="1325">
        <f t="shared" si="10"/>
        <v>100</v>
      </c>
      <c r="T31" s="1324" t="s">
        <v>65</v>
      </c>
      <c r="U31" s="1325">
        <f t="shared" si="11"/>
        <v>100</v>
      </c>
      <c r="V31" s="1324" t="s">
        <v>65</v>
      </c>
      <c r="W31" s="1325">
        <f t="shared" si="12"/>
        <v>100</v>
      </c>
      <c r="X31" s="1318"/>
      <c r="Y31" s="361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14" t="s">
        <v>410</v>
      </c>
      <c r="Q32" s="1323">
        <f t="shared" si="8"/>
        <v>111</v>
      </c>
      <c r="R32" s="1324" t="s">
        <v>65</v>
      </c>
      <c r="S32" s="1325">
        <f t="shared" si="10"/>
        <v>100</v>
      </c>
      <c r="T32" s="1324" t="s">
        <v>65</v>
      </c>
      <c r="U32" s="1325">
        <f t="shared" si="11"/>
        <v>100</v>
      </c>
      <c r="V32" s="1324" t="s">
        <v>65</v>
      </c>
      <c r="W32" s="1325">
        <f t="shared" si="12"/>
        <v>100</v>
      </c>
      <c r="X32" s="1318"/>
      <c r="Y32" s="3615" t="s">
        <v>410</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15"/>
      <c r="Q33" s="1323">
        <f t="shared" si="8"/>
        <v>111</v>
      </c>
      <c r="R33" s="1329" t="s">
        <v>65</v>
      </c>
      <c r="S33" s="1330">
        <f t="shared" si="10"/>
        <v>100</v>
      </c>
      <c r="T33" s="1329" t="s">
        <v>65</v>
      </c>
      <c r="U33" s="1330">
        <f t="shared" si="11"/>
        <v>100</v>
      </c>
      <c r="V33" s="1329" t="s">
        <v>65</v>
      </c>
      <c r="W33" s="1330">
        <f t="shared" si="12"/>
        <v>100</v>
      </c>
      <c r="X33" s="1331"/>
      <c r="Y33" s="3615"/>
      <c r="Z33" s="1332">
        <f t="shared" si="13"/>
        <v>111</v>
      </c>
      <c r="AA33" s="1327">
        <f t="shared" si="3"/>
        <v>1</v>
      </c>
      <c r="AB33" s="1327">
        <f t="shared" si="4"/>
        <v>1</v>
      </c>
      <c r="AC33" s="1327">
        <f t="shared" si="5"/>
        <v>1</v>
      </c>
    </row>
    <row r="34" spans="1:29" ht="15">
      <c r="A34" s="783" t="s">
        <v>2808</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15"/>
      <c r="Q34" s="1323" t="str">
        <f>B34</f>
        <v>宗地面积</v>
      </c>
      <c r="R34" s="1324" t="s">
        <v>65</v>
      </c>
      <c r="S34" s="1325" t="e">
        <f t="shared" si="10"/>
        <v>#N/A</v>
      </c>
      <c r="T34" s="1324" t="s">
        <v>65</v>
      </c>
      <c r="U34" s="1325" t="e">
        <f t="shared" si="11"/>
        <v>#N/A</v>
      </c>
      <c r="V34" s="1324" t="s">
        <v>65</v>
      </c>
      <c r="W34" s="1325" t="e">
        <f t="shared" si="12"/>
        <v>#N/A</v>
      </c>
      <c r="X34" s="1318"/>
      <c r="Y34" s="3615"/>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15"/>
      <c r="Q35" s="1323" t="str">
        <f t="shared" ref="Q35:Q40" si="14">B35</f>
        <v>宗地形状</v>
      </c>
      <c r="R35" s="1324" t="s">
        <v>65</v>
      </c>
      <c r="S35" s="1325">
        <f t="shared" si="10"/>
        <v>100</v>
      </c>
      <c r="T35" s="1324" t="s">
        <v>65</v>
      </c>
      <c r="U35" s="1325">
        <f t="shared" si="11"/>
        <v>100</v>
      </c>
      <c r="V35" s="1324" t="s">
        <v>65</v>
      </c>
      <c r="W35" s="1325">
        <f t="shared" si="12"/>
        <v>100</v>
      </c>
      <c r="X35" s="1318"/>
      <c r="Y35" s="3615"/>
      <c r="Z35" s="1326" t="str">
        <f t="shared" si="13"/>
        <v>宗地形状</v>
      </c>
      <c r="AA35" s="1327">
        <f t="shared" si="3"/>
        <v>1</v>
      </c>
      <c r="AB35" s="1327">
        <f t="shared" si="4"/>
        <v>1</v>
      </c>
      <c r="AC35" s="1327">
        <f t="shared" si="5"/>
        <v>1</v>
      </c>
    </row>
    <row r="36" spans="1:29" s="407" customFormat="1" ht="15">
      <c r="A36" s="816"/>
      <c r="B36" s="2612" t="s">
        <v>2514</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15"/>
      <c r="Q36" s="1323" t="str">
        <f t="shared" si="14"/>
        <v>宗地开发程度</v>
      </c>
      <c r="R36" s="1319" t="s">
        <v>65</v>
      </c>
      <c r="S36" s="1320">
        <f t="shared" si="10"/>
        <v>100</v>
      </c>
      <c r="T36" s="1319" t="s">
        <v>65</v>
      </c>
      <c r="U36" s="1320">
        <f t="shared" si="11"/>
        <v>100</v>
      </c>
      <c r="V36" s="1319" t="s">
        <v>65</v>
      </c>
      <c r="W36" s="1320">
        <f t="shared" si="12"/>
        <v>100</v>
      </c>
      <c r="X36" s="1321"/>
      <c r="Y36" s="3615"/>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15" t="s">
        <v>521</v>
      </c>
      <c r="Q37" s="1323" t="str">
        <f t="shared" si="14"/>
        <v>工程地质条件</v>
      </c>
      <c r="R37" s="1324" t="s">
        <v>65</v>
      </c>
      <c r="S37" s="1325">
        <f t="shared" si="10"/>
        <v>100</v>
      </c>
      <c r="T37" s="1324" t="s">
        <v>65</v>
      </c>
      <c r="U37" s="1325">
        <f t="shared" si="11"/>
        <v>100</v>
      </c>
      <c r="V37" s="1324" t="s">
        <v>65</v>
      </c>
      <c r="W37" s="1325">
        <f t="shared" si="12"/>
        <v>100</v>
      </c>
      <c r="X37" s="1318"/>
      <c r="Y37" s="3615"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15"/>
      <c r="Q38" s="1323">
        <f t="shared" si="14"/>
        <v>111</v>
      </c>
      <c r="R38" s="1324" t="s">
        <v>65</v>
      </c>
      <c r="S38" s="1325">
        <f t="shared" si="10"/>
        <v>100</v>
      </c>
      <c r="T38" s="1324" t="s">
        <v>65</v>
      </c>
      <c r="U38" s="1325">
        <f t="shared" si="11"/>
        <v>100</v>
      </c>
      <c r="V38" s="1324" t="s">
        <v>65</v>
      </c>
      <c r="W38" s="1325">
        <f t="shared" si="12"/>
        <v>100</v>
      </c>
      <c r="X38" s="1318"/>
      <c r="Y38" s="361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15"/>
      <c r="Q39" s="1323">
        <f t="shared" si="14"/>
        <v>111</v>
      </c>
      <c r="R39" s="1324" t="s">
        <v>65</v>
      </c>
      <c r="S39" s="1325">
        <f t="shared" si="10"/>
        <v>100</v>
      </c>
      <c r="T39" s="1324" t="s">
        <v>65</v>
      </c>
      <c r="U39" s="1325">
        <f t="shared" si="11"/>
        <v>100</v>
      </c>
      <c r="V39" s="1324" t="s">
        <v>65</v>
      </c>
      <c r="W39" s="1325">
        <f t="shared" si="12"/>
        <v>100</v>
      </c>
      <c r="X39" s="1318"/>
      <c r="Y39" s="361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15"/>
      <c r="Q40" s="1323">
        <f t="shared" si="14"/>
        <v>111</v>
      </c>
      <c r="R40" s="1329" t="s">
        <v>65</v>
      </c>
      <c r="S40" s="1330">
        <f t="shared" si="10"/>
        <v>100</v>
      </c>
      <c r="T40" s="1329" t="s">
        <v>65</v>
      </c>
      <c r="U40" s="1330">
        <f t="shared" si="11"/>
        <v>100</v>
      </c>
      <c r="V40" s="1329" t="s">
        <v>65</v>
      </c>
      <c r="W40" s="1330">
        <f t="shared" si="12"/>
        <v>100</v>
      </c>
      <c r="X40" s="1331"/>
      <c r="Y40" s="3615"/>
      <c r="Z40" s="1332">
        <f t="shared" si="13"/>
        <v>111</v>
      </c>
      <c r="AA40" s="1327">
        <f t="shared" si="3"/>
        <v>1</v>
      </c>
      <c r="AB40" s="1327">
        <f t="shared" si="4"/>
        <v>1</v>
      </c>
      <c r="AC40" s="1327">
        <f t="shared" si="5"/>
        <v>1</v>
      </c>
    </row>
    <row r="41" spans="1:29" ht="15">
      <c r="A41" s="822" t="s">
        <v>491</v>
      </c>
      <c r="B41" s="207" t="s">
        <v>3039</v>
      </c>
      <c r="C41" s="1091" t="s">
        <v>23</v>
      </c>
      <c r="D41" s="824"/>
      <c r="E41" s="825"/>
      <c r="F41" s="826"/>
      <c r="G41" s="827"/>
      <c r="H41" s="828"/>
      <c r="I41" s="825"/>
      <c r="J41" s="828"/>
      <c r="K41" s="1400"/>
      <c r="L41" s="2363"/>
      <c r="M41" s="2351"/>
      <c r="N41" s="2351"/>
      <c r="O41" s="2364"/>
      <c r="P41" s="3607" t="str">
        <f>A41</f>
        <v>成交单价</v>
      </c>
      <c r="Q41" s="3607"/>
      <c r="R41" s="3635">
        <f>E41</f>
        <v>0</v>
      </c>
      <c r="S41" s="3635"/>
      <c r="T41" s="3635">
        <f>G41</f>
        <v>0</v>
      </c>
      <c r="U41" s="3635"/>
      <c r="V41" s="3635">
        <f>I41</f>
        <v>0</v>
      </c>
      <c r="W41" s="3635"/>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07" t="str">
        <f>A42</f>
        <v>比较价值（元/平方米）</v>
      </c>
      <c r="Q42" s="3607"/>
      <c r="R42" s="3647" t="e">
        <f>ROUND(PRODUCT(R41,AA7:AA40),0)</f>
        <v>#DIV/0!</v>
      </c>
      <c r="S42" s="3647"/>
      <c r="T42" s="3647" t="e">
        <f>ROUND(PRODUCT(T41,AB7:AB40),0)</f>
        <v>#DIV/0!</v>
      </c>
      <c r="U42" s="3647"/>
      <c r="V42" s="3647" t="e">
        <f>ROUND(PRODUCT(V41,AC7:AC40),0)</f>
        <v>#DIV/0!</v>
      </c>
      <c r="W42" s="3647"/>
      <c r="X42" s="1307"/>
      <c r="Y42" s="1307"/>
      <c r="Z42" s="1307"/>
      <c r="AA42" s="1307"/>
      <c r="AB42" s="1307"/>
      <c r="AC42" s="1307"/>
    </row>
    <row r="43" spans="1:29" ht="15.75" thickBot="1">
      <c r="A43" s="115" t="s">
        <v>3032</v>
      </c>
      <c r="B43" s="836"/>
      <c r="C43" s="837" t="e">
        <f>R43</f>
        <v>#DIV/0!</v>
      </c>
      <c r="D43" s="837"/>
      <c r="E43" s="837"/>
      <c r="F43" s="837"/>
      <c r="G43" s="837"/>
      <c r="H43" s="837"/>
      <c r="I43" s="837"/>
      <c r="J43" s="837"/>
      <c r="K43" s="1402"/>
      <c r="L43" s="2363"/>
      <c r="M43" s="2351"/>
      <c r="N43" s="2351"/>
      <c r="O43" s="2364"/>
      <c r="P43" s="3609" t="str">
        <f>A43</f>
        <v>估价对象XX用房的比较价值（楼面单价，元/平方米）</v>
      </c>
      <c r="Q43" s="3610"/>
      <c r="R43" s="3648" t="e">
        <f>ROUND(AVERAGE(R42:V42),0)</f>
        <v>#DIV/0!</v>
      </c>
      <c r="S43" s="3648"/>
      <c r="T43" s="3648"/>
      <c r="U43" s="3648"/>
      <c r="V43" s="3648"/>
      <c r="W43" s="3648"/>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2336</v>
      </c>
      <c r="E50" s="1095" t="s">
        <v>494</v>
      </c>
      <c r="F50" s="1096" t="s">
        <v>495</v>
      </c>
      <c r="G50" s="3649" t="s">
        <v>2329</v>
      </c>
      <c r="H50" s="3650"/>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0</v>
      </c>
      <c r="F51" s="1100" t="e">
        <f t="shared" ref="F51:F60" si="15">ROUND(B51*E51/10000,0)</f>
        <v>#DIV/0!</v>
      </c>
      <c r="G51" s="3651"/>
      <c r="H51" s="3652"/>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53" t="s">
        <v>2330</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53"/>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53"/>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53"/>
      <c r="H55" s="2189">
        <f>项目基本情况!B37</f>
        <v>0</v>
      </c>
      <c r="I55" s="1776">
        <f>SUMIF(修正!A45:A56,H55,修正!E45:E56)</f>
        <v>0</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t="e">
        <f>IF(B41="楼面地价",SUM(E51:E60),'数据-汇总表'!D3)</f>
        <v>#DIV/0!</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1900-1-1</v>
      </c>
      <c r="D63" s="1309" t="e">
        <f>EDATE(C63,-3)</f>
        <v>#NUM!</v>
      </c>
      <c r="E63" s="1309" t="e">
        <f>EDATE(D63,-3)</f>
        <v>#NUM!</v>
      </c>
      <c r="F63" s="1309" t="e">
        <f t="shared" ref="F63:O63" si="18">EDATE(E63,-3)</f>
        <v>#NUM!</v>
      </c>
      <c r="G63" s="1309" t="e">
        <f t="shared" si="18"/>
        <v>#NUM!</v>
      </c>
      <c r="H63" s="1309" t="e">
        <f t="shared" si="18"/>
        <v>#NUM!</v>
      </c>
      <c r="I63" s="1309" t="e">
        <f t="shared" si="18"/>
        <v>#NUM!</v>
      </c>
      <c r="J63" s="1309" t="e">
        <f t="shared" si="18"/>
        <v>#NUM!</v>
      </c>
      <c r="K63" s="1309" t="e">
        <f t="shared" si="18"/>
        <v>#NUM!</v>
      </c>
      <c r="L63" s="1309" t="e">
        <f t="shared" si="18"/>
        <v>#NUM!</v>
      </c>
      <c r="M63" s="1309" t="e">
        <f t="shared" si="18"/>
        <v>#NUM!</v>
      </c>
      <c r="N63" s="1309" t="e">
        <f t="shared" si="18"/>
        <v>#NUM!</v>
      </c>
      <c r="O63" s="1309" t="e">
        <f t="shared" si="18"/>
        <v>#NUM!</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2805</v>
      </c>
      <c r="B65" s="2709"/>
      <c r="C65" s="3043" t="str">
        <f>YEAR(C63)&amp;"-"&amp;ROUNDUP(MONTH(C63)/3,0)</f>
        <v>1900-1</v>
      </c>
      <c r="D65" s="3043" t="e">
        <f t="shared" ref="D65:O65" si="19">YEAR(D63)&amp;"-"&amp;ROUNDUP(MONTH(D63)/3,0)</f>
        <v>#NUM!</v>
      </c>
      <c r="E65" s="3043" t="e">
        <f t="shared" si="19"/>
        <v>#NUM!</v>
      </c>
      <c r="F65" s="3043" t="e">
        <f t="shared" si="19"/>
        <v>#NUM!</v>
      </c>
      <c r="G65" s="3043" t="e">
        <f t="shared" si="19"/>
        <v>#NUM!</v>
      </c>
      <c r="H65" s="3043" t="e">
        <f t="shared" si="19"/>
        <v>#NUM!</v>
      </c>
      <c r="I65" s="3043" t="e">
        <f t="shared" si="19"/>
        <v>#NUM!</v>
      </c>
      <c r="J65" s="3043" t="e">
        <f t="shared" si="19"/>
        <v>#NUM!</v>
      </c>
      <c r="K65" s="3043" t="e">
        <f t="shared" si="19"/>
        <v>#NUM!</v>
      </c>
      <c r="L65" s="3043" t="e">
        <f t="shared" si="19"/>
        <v>#NUM!</v>
      </c>
      <c r="M65" s="3043" t="e">
        <f t="shared" si="19"/>
        <v>#NUM!</v>
      </c>
      <c r="N65" s="3043" t="e">
        <f t="shared" si="19"/>
        <v>#NUM!</v>
      </c>
      <c r="O65" s="3043" t="e">
        <f t="shared" si="19"/>
        <v>#NUM!</v>
      </c>
      <c r="P65" s="850"/>
    </row>
    <row r="66" spans="1:17" s="407" customFormat="1" ht="30.75" customHeight="1">
      <c r="A66" s="3039" t="s">
        <v>2804</v>
      </c>
      <c r="B66" s="664" t="str">
        <f>"北京市平均增长率"&amp;TEXT(基准地价修正!P24,"0.00%")</f>
        <v>北京市平均增长率0.00%</v>
      </c>
      <c r="C66" s="946">
        <v>100</v>
      </c>
      <c r="D66" s="938"/>
      <c r="E66" s="938"/>
      <c r="F66" s="938"/>
      <c r="G66" s="938"/>
      <c r="H66" s="938"/>
      <c r="I66" s="938"/>
      <c r="J66" s="938"/>
      <c r="K66" s="938"/>
      <c r="L66" s="938"/>
      <c r="M66" s="3037"/>
      <c r="N66" s="3037"/>
      <c r="O66" s="3040"/>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2681</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2683</v>
      </c>
      <c r="C93" s="213" t="s">
        <v>2669</v>
      </c>
      <c r="D93" s="213" t="s">
        <v>2670</v>
      </c>
      <c r="E93" s="213" t="s">
        <v>2671</v>
      </c>
      <c r="F93" s="213" t="s">
        <v>2672</v>
      </c>
      <c r="G93" s="213" t="s">
        <v>2673</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2515</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2516</v>
      </c>
      <c r="D1" s="1740">
        <f>SUM(D29:D30,D33:D39)</f>
        <v>0</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2905</v>
      </c>
      <c r="S1" s="3078" t="s">
        <v>2906</v>
      </c>
      <c r="T1" s="3078" t="s">
        <v>2907</v>
      </c>
      <c r="U1" s="3078" t="s">
        <v>2908</v>
      </c>
      <c r="V1" s="3078" t="s">
        <v>2909</v>
      </c>
      <c r="W1" s="3079"/>
      <c r="X1" s="3079"/>
      <c r="Y1" s="3079"/>
      <c r="Z1" s="3079"/>
      <c r="AA1" s="3079"/>
      <c r="AB1" s="3079"/>
      <c r="AC1" s="3080"/>
      <c r="AD1" s="3081"/>
      <c r="AE1" s="3081"/>
      <c r="AF1" s="3081"/>
      <c r="AG1" s="3081"/>
      <c r="AH1" s="3081"/>
      <c r="AI1" s="3081"/>
      <c r="AJ1" s="3082"/>
    </row>
    <row r="2" spans="1:36" ht="15.75">
      <c r="A2" s="86" t="s">
        <v>1802</v>
      </c>
      <c r="B2" s="580" t="e">
        <f>C26</f>
        <v>#DIV/0!</v>
      </c>
      <c r="C2" s="1472" t="s">
        <v>1143</v>
      </c>
      <c r="D2" s="1629" t="s">
        <v>1803</v>
      </c>
      <c r="E2" s="1784"/>
      <c r="F2" s="1629" t="s">
        <v>1804</v>
      </c>
      <c r="G2" s="1606">
        <f>IF(E2="商业",项目基本情况!B37,IF(E2="办公",项目基本情况!C37,IF(E2="住宅",项目基本情况!D37,项目基本情况!E37)))</f>
        <v>0</v>
      </c>
      <c r="H2" s="1629" t="s">
        <v>1805</v>
      </c>
      <c r="I2" s="1606">
        <f>IF(E2="商业",项目基本情况!B38,IF(E2="办公",项目基本情况!C38,IF(E2="住宅",项目基本情况!D38,项目基本情况!E38)))</f>
        <v>0</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3">
        <v>1</v>
      </c>
      <c r="S2" s="3083" t="e">
        <f>ROUND(IF(G3&gt;1,IF(R2&lt;7,SUMPRODUCT((B93:B98=R2)*(C92:N92=G2)*(C93:N98)),SUMIF(C92:N92,G2,C100:N100)),IF(R2&lt;7,SUMPRODUCT((B102:B107=R2)*(C92:N92=G2)*(C102:N107)),SUMIF(C92:N92,G2,C109:N109))),4)</f>
        <v>#DIV/0!</v>
      </c>
      <c r="T2" s="3083" t="e">
        <f>ROUND($C$5*$C$18*$C$19*$C$20*S2*$C$24,0)</f>
        <v>#DIV/0!</v>
      </c>
      <c r="U2" s="3084"/>
      <c r="V2" s="3083" t="e">
        <f>ROUND(T2*U2/10000,0)</f>
        <v>#DIV/0!</v>
      </c>
      <c r="W2" s="3079"/>
      <c r="X2" s="3079"/>
      <c r="Y2" s="3079"/>
      <c r="Z2" s="3079"/>
      <c r="AA2" s="3079"/>
      <c r="AB2" s="3079"/>
      <c r="AC2" s="3080"/>
      <c r="AD2" s="3081"/>
      <c r="AE2" s="3081"/>
      <c r="AF2" s="3081"/>
      <c r="AG2" s="3081"/>
      <c r="AH2" s="3081"/>
      <c r="AI2" s="3081"/>
      <c r="AJ2" s="3082"/>
    </row>
    <row r="3" spans="1:36" ht="15.75">
      <c r="A3" s="87" t="s">
        <v>1806</v>
      </c>
      <c r="B3" s="580" t="e">
        <f>ROUND(B2*10000/D1,0)</f>
        <v>#DIV/0!</v>
      </c>
      <c r="C3" s="1472" t="s">
        <v>1807</v>
      </c>
      <c r="D3" s="1629" t="s">
        <v>1146</v>
      </c>
      <c r="E3" s="1785"/>
      <c r="F3" s="1786" t="s">
        <v>3040</v>
      </c>
      <c r="G3" s="1631" t="e">
        <f>IF(F3="宗地容积率",'数据-汇总表'!I4,IF(F3="估价对象容积率",'数据-汇总表'!I6,'数据-汇总表'!I7))</f>
        <v>#DIV/0!</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t="e">
        <f>ROUND(IF(G3&gt;1,IF(R3&lt;7,SUMPRODUCT((B93:B98=R3)*(C92:N92=G2)*(C93:N98)),SUMIF(C92:N92,G2,C100:N100)),IF(R3&lt;7,SUMPRODUCT((B102:B107=R3)*(C92:N92=G2)*(C102:N107)),SUMIF(C92:N92,G2,C109:N109))),4)</f>
        <v>#DIV/0!</v>
      </c>
      <c r="T3" s="3083" t="e">
        <f t="shared" ref="T3:T16" si="0">ROUND($C$5*$C$18*$C$19*$C$20*S3*$C$24,0)</f>
        <v>#DIV/0!</v>
      </c>
      <c r="U3" s="3084"/>
      <c r="V3" s="3083" t="e">
        <f t="shared" ref="V3:V16" si="1">ROUND(T3*U3/10000,0)</f>
        <v>#DIV/0!</v>
      </c>
      <c r="W3" s="3079"/>
      <c r="X3" s="3079"/>
      <c r="Y3" s="3079"/>
      <c r="Z3" s="3079"/>
      <c r="AA3" s="3079"/>
      <c r="AB3" s="3079"/>
      <c r="AC3" s="3080"/>
      <c r="AD3" s="3081"/>
      <c r="AE3" s="3081"/>
      <c r="AF3" s="3081"/>
      <c r="AG3" s="3081"/>
      <c r="AH3" s="3081"/>
      <c r="AI3" s="3081"/>
      <c r="AJ3" s="3082"/>
    </row>
    <row r="4" spans="1:36" ht="15">
      <c r="A4" s="3661"/>
      <c r="B4" s="3662"/>
      <c r="C4" s="3662"/>
      <c r="D4" s="3663"/>
      <c r="E4" s="3663"/>
      <c r="F4" s="3663"/>
      <c r="G4" s="3663"/>
      <c r="H4" s="3663"/>
      <c r="I4" s="3663"/>
      <c r="J4" s="3664"/>
      <c r="K4" s="2384"/>
      <c r="L4" s="1887" t="s">
        <v>1144</v>
      </c>
      <c r="M4" s="2140">
        <f>SUMPRODUCT((区片价!B49:B75=I2)*(区片价!C3:F3=E2)*(区片价!C49:F75))</f>
        <v>0</v>
      </c>
      <c r="N4" s="2142">
        <f>SUMPRODUCT((因素修正幅度!B49:B75=I2)*(因素修正幅度!C3:F3=E2)*(因素修正幅度!C49:F75))</f>
        <v>0</v>
      </c>
      <c r="O4" s="2384"/>
      <c r="P4" s="2384"/>
      <c r="Q4" s="2384"/>
      <c r="R4" s="3083">
        <v>3</v>
      </c>
      <c r="S4" s="3083" t="e">
        <f>ROUND(IF(G3&gt;1,IF(R4&lt;7,SUMPRODUCT((B93:B98=R4)*(C92:N92=G2)*(C93:N98)),SUMIF(C92:N92,G2,C100:N100)),IF(R4&lt;7,SUMPRODUCT((B102:B107=R4)*(C92:N92=G2)*(C102:N107)),SUMIF(C92:N92,G2,C109:N109))),4)</f>
        <v>#DIV/0!</v>
      </c>
      <c r="T4" s="3083" t="e">
        <f t="shared" si="0"/>
        <v>#DIV/0!</v>
      </c>
      <c r="U4" s="3084"/>
      <c r="V4" s="3083" t="e">
        <f t="shared" si="1"/>
        <v>#DIV/0!</v>
      </c>
      <c r="W4" s="3079"/>
      <c r="X4" s="3079"/>
      <c r="Y4" s="3079"/>
      <c r="Z4" s="3079"/>
      <c r="AA4" s="3079"/>
      <c r="AB4" s="3079"/>
      <c r="AC4" s="3080"/>
      <c r="AD4" s="3081"/>
      <c r="AE4" s="3081"/>
      <c r="AF4" s="3081"/>
      <c r="AG4" s="3081"/>
      <c r="AH4" s="3081"/>
      <c r="AI4" s="3081"/>
      <c r="AJ4" s="3082"/>
    </row>
    <row r="5" spans="1:36" s="1640" customFormat="1" ht="15.75" thickBot="1">
      <c r="A5" s="1880" t="s">
        <v>1944</v>
      </c>
      <c r="B5" s="1633" t="s">
        <v>1808</v>
      </c>
      <c r="C5" s="1634" t="e">
        <f>ROUND(IF(E2="商业",IF(F16="增加",C6*C7+C16,C6*C7-C16),IF(E2="住宅",IF(F16="增加",C6*C12+C16,C6*C12-C16),IF(F16="增加",C6+C16,C6-C16))),0)</f>
        <v>#DIV/0!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t="e">
        <f>ROUND(IF(G3&gt;1,IF(R5&lt;7,SUMPRODUCT((B93:B98=R5)*(C92:N92=G2)*(C93:N98)),SUMIF(C92:N92,G2,C100:N100)),IF(R5&lt;7,SUMPRODUCT((B102:B107=R5)*(C92:N92=G2)*(C102:N107)),SUMIF(C92:N92,G2,C109:N109))),4)</f>
        <v>#DIV/0!</v>
      </c>
      <c r="T5" s="3083" t="e">
        <f t="shared" si="0"/>
        <v>#DIV/0!</v>
      </c>
      <c r="U5" s="3084"/>
      <c r="V5" s="3083" t="e">
        <f t="shared" si="1"/>
        <v>#DIV/0!</v>
      </c>
      <c r="W5" s="3079"/>
      <c r="X5" s="3079"/>
      <c r="Y5" s="3079"/>
      <c r="Z5" s="3079"/>
      <c r="AA5" s="3079"/>
      <c r="AB5" s="3079"/>
      <c r="AC5" s="3085"/>
      <c r="AD5" s="3086"/>
      <c r="AE5" s="3086"/>
      <c r="AF5" s="3086"/>
      <c r="AG5" s="3086"/>
      <c r="AH5" s="3086"/>
      <c r="AI5" s="3086"/>
      <c r="AJ5" s="3087"/>
    </row>
    <row r="6" spans="1:36" ht="15.75" thickBot="1">
      <c r="A6" s="1884" t="s">
        <v>1951</v>
      </c>
      <c r="B6" s="1641" t="s">
        <v>1808</v>
      </c>
      <c r="C6" s="1642">
        <f>SUMIF(L1:L12,G2,M1:M12)</f>
        <v>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t="e">
        <f>ROUND(IF(G3&gt;1,IF(R6&lt;7,SUMPRODUCT((B93:B98=R6)*(C92:N92=G2)*(C93:N98)),SUMIF(C92:N92,G2,C100:N100)),IF(R6&lt;7,SUMPRODUCT((B102:B107=R6)*(C92:N92=G2)*(C102:N107)),SUMIF(C92:N92,G2,C109:N109))),4)</f>
        <v>#DIV/0!</v>
      </c>
      <c r="T6" s="3083" t="e">
        <f t="shared" si="0"/>
        <v>#DIV/0!</v>
      </c>
      <c r="U6" s="3084"/>
      <c r="V6" s="3083" t="e">
        <f t="shared" si="1"/>
        <v>#DIV/0!</v>
      </c>
      <c r="W6" s="3079"/>
      <c r="X6" s="3079"/>
      <c r="Y6" s="3079"/>
      <c r="Z6" s="3079"/>
      <c r="AA6" s="3079"/>
      <c r="AB6" s="3079"/>
      <c r="AC6" s="3085"/>
      <c r="AD6" s="3086"/>
      <c r="AE6" s="3086"/>
      <c r="AF6" s="3086"/>
      <c r="AG6" s="3086"/>
      <c r="AH6" s="3086"/>
      <c r="AI6" s="3086"/>
      <c r="AJ6" s="3087"/>
    </row>
    <row r="7" spans="1:36" ht="24">
      <c r="A7" s="3665" t="str">
        <f>IF(E2="商业",IF(C8="不临58条商业街","",2),"")</f>
        <v/>
      </c>
      <c r="B7" s="1647" t="s">
        <v>1810</v>
      </c>
      <c r="C7" s="1648" t="e">
        <f>IF(C8="不临58条商业街",1,ROUND(1+(1.6*E8+1.2*E9+0.8*E10+0.4*E11)*C9,4))</f>
        <v>#DIV/0!</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t="e">
        <f>ROUND(IF(G3&gt;1,IF(R7&lt;7,SUMPRODUCT((B93:B98=R7)*(C92:N92=G2)*(C93:N98)),SUMIF(C92:N92,G2,C100:N100)),IF(R7&lt;7,SUMPRODUCT((B102:B107=R7)*(C92:N92=G2)*(C102:N107)),SUMIF(C92:N92,G2,C109:N109))),4)</f>
        <v>#DIV/0!</v>
      </c>
      <c r="T7" s="3083" t="e">
        <f t="shared" si="0"/>
        <v>#DIV/0!</v>
      </c>
      <c r="U7" s="3084"/>
      <c r="V7" s="3083" t="e">
        <f t="shared" si="1"/>
        <v>#DIV/0!</v>
      </c>
      <c r="W7" s="3088" t="s">
        <v>2910</v>
      </c>
      <c r="X7" s="3089">
        <f>G2</f>
        <v>0</v>
      </c>
      <c r="Y7" s="3089" t="s">
        <v>2911</v>
      </c>
      <c r="Z7" s="3090" t="e">
        <f>G3</f>
        <v>#DIV/0!</v>
      </c>
      <c r="AA7" s="3091"/>
      <c r="AB7" s="3091"/>
      <c r="AC7" s="3092"/>
      <c r="AD7" s="3093"/>
      <c r="AE7" s="3093"/>
      <c r="AF7" s="3093"/>
      <c r="AG7" s="3093"/>
      <c r="AH7" s="3093"/>
      <c r="AI7" s="3093"/>
      <c r="AJ7" s="3094"/>
    </row>
    <row r="8" spans="1:36" ht="15">
      <c r="A8" s="3666"/>
      <c r="B8" s="1632" t="s">
        <v>1812</v>
      </c>
      <c r="C8" s="1789"/>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t="e">
        <f t="shared" si="0"/>
        <v>#DIV/0!</v>
      </c>
      <c r="U8" s="3084"/>
      <c r="V8" s="3083" t="e">
        <f t="shared" si="1"/>
        <v>#DIV/0!</v>
      </c>
      <c r="W8" s="3658" t="s">
        <v>2912</v>
      </c>
      <c r="X8" s="3659"/>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66"/>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t="e">
        <f t="shared" si="0"/>
        <v>#DIV/0!</v>
      </c>
      <c r="U9" s="3084"/>
      <c r="V9" s="3083" t="e">
        <f t="shared" si="1"/>
        <v>#DIV/0!</v>
      </c>
      <c r="W9" s="3660" t="s">
        <v>2913</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66"/>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t="e">
        <f t="shared" si="0"/>
        <v>#DIV/0!</v>
      </c>
      <c r="U10" s="3084"/>
      <c r="V10" s="3083" t="e">
        <f t="shared" si="1"/>
        <v>#DIV/0!</v>
      </c>
      <c r="W10" s="3660"/>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66"/>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t="e">
        <f t="shared" si="0"/>
        <v>#DIV/0!</v>
      </c>
      <c r="U11" s="3084"/>
      <c r="V11" s="3083" t="e">
        <f t="shared" si="1"/>
        <v>#DIV/0!</v>
      </c>
      <c r="W11" s="3660" t="s">
        <v>2914</v>
      </c>
      <c r="X11" s="3099" t="s">
        <v>2911</v>
      </c>
      <c r="Y11" s="3100" t="e">
        <f>$G$3</f>
        <v>#DIV/0!</v>
      </c>
      <c r="Z11" s="3100" t="e">
        <f t="shared" ref="Z11:AJ11" si="3">$G$3</f>
        <v>#DIV/0!</v>
      </c>
      <c r="AA11" s="3100" t="e">
        <f t="shared" si="3"/>
        <v>#DIV/0!</v>
      </c>
      <c r="AB11" s="3100" t="e">
        <f t="shared" si="3"/>
        <v>#DIV/0!</v>
      </c>
      <c r="AC11" s="3100" t="e">
        <f t="shared" si="3"/>
        <v>#DIV/0!</v>
      </c>
      <c r="AD11" s="3100" t="e">
        <f t="shared" si="3"/>
        <v>#DIV/0!</v>
      </c>
      <c r="AE11" s="3100" t="e">
        <f t="shared" si="3"/>
        <v>#DIV/0!</v>
      </c>
      <c r="AF11" s="3100" t="e">
        <f t="shared" si="3"/>
        <v>#DIV/0!</v>
      </c>
      <c r="AG11" s="3100" t="e">
        <f t="shared" si="3"/>
        <v>#DIV/0!</v>
      </c>
      <c r="AH11" s="3100" t="e">
        <f t="shared" si="3"/>
        <v>#DIV/0!</v>
      </c>
      <c r="AI11" s="3100" t="e">
        <f t="shared" si="3"/>
        <v>#DIV/0!</v>
      </c>
      <c r="AJ11" s="3100" t="e">
        <f t="shared" si="3"/>
        <v>#DIV/0!</v>
      </c>
    </row>
    <row r="12" spans="1:36" ht="26.25" thickBot="1">
      <c r="A12" s="3665"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t="e">
        <f t="shared" si="0"/>
        <v>#DIV/0!</v>
      </c>
      <c r="U12" s="3084"/>
      <c r="V12" s="3083" t="e">
        <f t="shared" si="1"/>
        <v>#DIV/0!</v>
      </c>
      <c r="W12" s="3660"/>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67"/>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t="e">
        <f t="shared" si="0"/>
        <v>#DIV/0!</v>
      </c>
      <c r="U13" s="3084"/>
      <c r="V13" s="3083" t="e">
        <f t="shared" si="1"/>
        <v>#DIV/0!</v>
      </c>
      <c r="W13" s="3660"/>
      <c r="X13" s="3101"/>
      <c r="Y13" s="3098" t="e">
        <f>(-0.163*(Y12^2)-0.59*Y12+7617)*(10^(-4))/Y11</f>
        <v>#DIV/0!</v>
      </c>
      <c r="Z13" s="3098" t="e">
        <f t="shared" ref="Z13:AJ13" si="5">(-0.163*(Z12^2)-0.59*Z12+7617)*(10^(-4))/Z11</f>
        <v>#DIV/0!</v>
      </c>
      <c r="AA13" s="3098" t="e">
        <f t="shared" si="5"/>
        <v>#DIV/0!</v>
      </c>
      <c r="AB13" s="3098" t="e">
        <f t="shared" si="5"/>
        <v>#DIV/0!</v>
      </c>
      <c r="AC13" s="3098" t="e">
        <f t="shared" si="5"/>
        <v>#DIV/0!</v>
      </c>
      <c r="AD13" s="3098" t="e">
        <f t="shared" si="5"/>
        <v>#DIV/0!</v>
      </c>
      <c r="AE13" s="3098" t="e">
        <f t="shared" si="5"/>
        <v>#DIV/0!</v>
      </c>
      <c r="AF13" s="3098" t="e">
        <f t="shared" si="5"/>
        <v>#DIV/0!</v>
      </c>
      <c r="AG13" s="3098" t="e">
        <f t="shared" si="5"/>
        <v>#DIV/0!</v>
      </c>
      <c r="AH13" s="3098" t="e">
        <f t="shared" si="5"/>
        <v>#DIV/0!</v>
      </c>
      <c r="AI13" s="3098" t="e">
        <f t="shared" si="5"/>
        <v>#DIV/0!</v>
      </c>
      <c r="AJ13" s="3098" t="e">
        <f t="shared" si="5"/>
        <v>#DIV/0!</v>
      </c>
    </row>
    <row r="14" spans="1:36" ht="15">
      <c r="A14" s="3667"/>
      <c r="B14" s="1672"/>
      <c r="C14" s="1792"/>
      <c r="D14" s="1488"/>
      <c r="E14" s="1488"/>
      <c r="F14" s="1793"/>
      <c r="G14" s="1673" t="s">
        <v>1853</v>
      </c>
      <c r="H14" s="1674"/>
      <c r="I14" s="1675"/>
      <c r="J14" s="1676"/>
      <c r="K14" s="2384"/>
      <c r="L14" s="2384"/>
      <c r="M14" s="2384"/>
      <c r="N14" s="2384"/>
      <c r="O14" s="2384"/>
      <c r="P14" s="2384"/>
      <c r="Q14" s="2384"/>
      <c r="R14" s="3083">
        <v>13</v>
      </c>
      <c r="S14" s="3084"/>
      <c r="T14" s="3083" t="e">
        <f t="shared" si="0"/>
        <v>#DIV/0!</v>
      </c>
      <c r="U14" s="3084"/>
      <c r="V14" s="3083" t="e">
        <f t="shared" si="1"/>
        <v>#DIV/0!</v>
      </c>
      <c r="W14" s="3079"/>
      <c r="X14" s="3079"/>
      <c r="Y14" s="3079"/>
      <c r="Z14" s="3079"/>
      <c r="AA14" s="3079"/>
      <c r="AB14" s="3079"/>
      <c r="AC14" s="3080"/>
      <c r="AD14" s="3081"/>
      <c r="AE14" s="3081"/>
      <c r="AF14" s="3081"/>
      <c r="AG14" s="3081"/>
      <c r="AH14" s="3081"/>
      <c r="AI14" s="3081"/>
      <c r="AJ14" s="3082"/>
    </row>
    <row r="15" spans="1:36" ht="15.75" thickBot="1">
      <c r="A15" s="3668"/>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t="e">
        <f t="shared" si="0"/>
        <v>#DIV/0!</v>
      </c>
      <c r="U15" s="3084"/>
      <c r="V15" s="3083" t="e">
        <f t="shared" si="1"/>
        <v>#DIV/0!</v>
      </c>
      <c r="W15" s="3079"/>
      <c r="X15" s="3079"/>
      <c r="Y15" s="3079"/>
      <c r="Z15" s="3079"/>
      <c r="AA15" s="3079"/>
      <c r="AB15" s="3079"/>
      <c r="AC15" s="3080"/>
      <c r="AD15" s="3081"/>
      <c r="AE15" s="3081"/>
      <c r="AF15" s="3081"/>
      <c r="AG15" s="3081"/>
      <c r="AH15" s="3081"/>
      <c r="AI15" s="3081"/>
      <c r="AJ15" s="3082"/>
    </row>
    <row r="16" spans="1:36" ht="24">
      <c r="A16" s="3665" t="s">
        <v>1953</v>
      </c>
      <c r="B16" s="1647" t="s">
        <v>1827</v>
      </c>
      <c r="C16" s="1780" t="e">
        <f>ROUND(SUM(G17:J17)/C17,0)</f>
        <v>#DIV/0!</v>
      </c>
      <c r="D16" s="1678" t="s">
        <v>1828</v>
      </c>
      <c r="E16" s="1796"/>
      <c r="F16" s="1797"/>
      <c r="G16" s="1798"/>
      <c r="H16" s="1798"/>
      <c r="I16" s="1798"/>
      <c r="J16" s="1799"/>
      <c r="K16" s="2384"/>
      <c r="L16" s="1714" t="s">
        <v>1847</v>
      </c>
      <c r="M16" s="1658">
        <v>0.25</v>
      </c>
      <c r="N16" s="1658">
        <v>0.2</v>
      </c>
      <c r="O16" s="1658">
        <v>0.15</v>
      </c>
      <c r="P16" s="2734">
        <v>0.1</v>
      </c>
      <c r="Q16" s="2735"/>
      <c r="R16" s="3083">
        <v>15</v>
      </c>
      <c r="S16" s="3084"/>
      <c r="T16" s="3083" t="e">
        <f t="shared" si="0"/>
        <v>#DIV/0!</v>
      </c>
      <c r="U16" s="3084"/>
      <c r="V16" s="3083" t="e">
        <f t="shared" si="1"/>
        <v>#DIV/0!</v>
      </c>
      <c r="W16" s="3091"/>
      <c r="X16" s="3091"/>
      <c r="Y16" s="3091"/>
      <c r="Z16" s="3091"/>
      <c r="AA16" s="3091"/>
      <c r="AB16" s="3091"/>
      <c r="AC16" s="3092"/>
      <c r="AD16" s="3081"/>
      <c r="AE16" s="3081"/>
      <c r="AF16" s="3081"/>
      <c r="AG16" s="3081"/>
      <c r="AH16" s="3081"/>
      <c r="AI16" s="3081"/>
      <c r="AJ16" s="3082"/>
    </row>
    <row r="17" spans="1:37" ht="13.5" thickBot="1">
      <c r="A17" s="3666"/>
      <c r="B17" s="1679" t="s">
        <v>1829</v>
      </c>
      <c r="C17" s="1680">
        <f>SUMPRODUCT((修正!A2:A5=E2)*(修正!B1:M1=G2)*(修正!B2:M5))</f>
        <v>0</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0</v>
      </c>
      <c r="N17" s="543">
        <f ca="1">ROUND($E$20*(1+N16),3)</f>
        <v>0</v>
      </c>
      <c r="O17" s="543">
        <f ca="1">ROUND($E$20*(1+O16),3)</f>
        <v>0</v>
      </c>
      <c r="P17" s="2738">
        <f ca="1">ROUND($E$20*(1+P16),3)</f>
        <v>0</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t="e">
        <f>ROUND(IF(H19="按公示增长率计算",SUMPRODUCT((地价!A3:A19=YEAR(G19)&amp;"-"&amp;ROUNDUP(MONTH(G19)/3,0))*(地价!X2:AB2=E2)*(地价!X3:AB19)),IF(H19="地价指数",M20/M19,(1+I19)^O19)),4)</f>
        <v>#DIV/0!</v>
      </c>
      <c r="D19" s="1694" t="s">
        <v>1154</v>
      </c>
      <c r="E19" s="1695">
        <v>41640</v>
      </c>
      <c r="F19" s="1694" t="s">
        <v>1155</v>
      </c>
      <c r="G19" s="1696">
        <f>'数据-取费表'!B2</f>
        <v>0</v>
      </c>
      <c r="H19" s="3025" t="s">
        <v>2973</v>
      </c>
      <c r="I19" s="1697" t="str">
        <f>IF(H19="季度增幅（自定义）",SUMIF(N21:N24,E2,O21:O24),"")</f>
        <v/>
      </c>
      <c r="J19" s="1690"/>
      <c r="K19" s="2391"/>
      <c r="L19" s="3252" t="s">
        <v>2971</v>
      </c>
      <c r="M19" s="3254">
        <f>ROUND(SUMIF(地价!B2:F2,E2,地价!B19:F19),0)</f>
        <v>0</v>
      </c>
      <c r="N19" s="3250" t="s">
        <v>1878</v>
      </c>
      <c r="O19" s="1698" t="e">
        <f>ROUNDDOWN(DATEDIF(E19,G19,"M")/3,0)</f>
        <v>#NUM!</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t="e">
        <f>ROUND(POWER(1+G20,J20-I20)*(POWER(1+G20,I20)-1)/(POWER(1+G20,J20)-1),4)</f>
        <v>#DIV/0!</v>
      </c>
      <c r="D20" s="1754" t="s">
        <v>1835</v>
      </c>
      <c r="E20" s="3309">
        <f ca="1">存贷款利率!D4/100</f>
        <v>0</v>
      </c>
      <c r="F20" s="1754" t="s">
        <v>1836</v>
      </c>
      <c r="G20" s="1755">
        <f>SUMIF(M15:P15,E2,M17:P17)</f>
        <v>0</v>
      </c>
      <c r="H20" s="1754" t="s">
        <v>1837</v>
      </c>
      <c r="I20" s="1756" t="e">
        <f>SUMIF('数据-取费表'!C6:C15,E2,'数据-取费表'!F6:F15)/COUNTIF('数据-取费表'!C6:C15,E2)</f>
        <v>#DIV/0!</v>
      </c>
      <c r="J20" s="1757">
        <f>IF(E2="住宅",70,IF(E2="商业",40,50))</f>
        <v>50</v>
      </c>
      <c r="K20" s="2391"/>
      <c r="L20" s="3253" t="s">
        <v>2972</v>
      </c>
      <c r="M20" s="3255">
        <f>ROUND(SUMPRODUCT((地价!A4:A19=YEAR(G19)&amp;"-"&amp;ROUNDUP(MONTH(G19)/3,0))*(地价!B2:F2=E2)*(地价!B4:F19)),0)</f>
        <v>0</v>
      </c>
      <c r="N20" s="3251" t="s">
        <v>2799</v>
      </c>
      <c r="O20" s="3026" t="s">
        <v>2800</v>
      </c>
      <c r="P20" s="3027" t="s">
        <v>2809</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2510</v>
      </c>
      <c r="C21" s="1758" t="e">
        <f>IF(B21="容积率修正",IF(G3&lt;=10,D22,J22),C23)</f>
        <v>#DIV/0!</v>
      </c>
      <c r="D21" s="1759"/>
      <c r="E21" s="1759"/>
      <c r="F21" s="1759"/>
      <c r="G21" s="1759"/>
      <c r="H21" s="1759"/>
      <c r="I21" s="1759"/>
      <c r="J21" s="1760"/>
      <c r="K21" s="2391"/>
      <c r="N21" s="3028" t="s">
        <v>2801</v>
      </c>
      <c r="O21" s="3029"/>
      <c r="P21" s="3030">
        <f>SUMPRODUCT((地价!A3:A19=YEAR(G19)&amp;"-"&amp;ROUNDUP(MONTH(G19)/3,0))*(地价!AD2:AH2=N21)*(地价!AD3:AH19))</f>
        <v>0</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t="e">
        <f>IF(E22=G22,F22,IF(G3&lt;=10,ROUND(F22+(H22-F22)*(G3-E22)/(G22-E22),4),"——"))</f>
        <v>#DIV/0!</v>
      </c>
      <c r="E22" s="1631" t="e">
        <f>ROUNDDOWN(G3,1)</f>
        <v>#DIV/0!</v>
      </c>
      <c r="F22" s="17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1" t="e">
        <f>ROUNDUP(G3,1)</f>
        <v>#DIV/0!</v>
      </c>
      <c r="H22" s="17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1" t="s">
        <v>1168</v>
      </c>
      <c r="J22" s="1761" t="e">
        <f>IF(G3&gt;10,D113,"——")</f>
        <v>#DIV/0!</v>
      </c>
      <c r="K22" s="2391"/>
      <c r="N22" s="3028" t="s">
        <v>2802</v>
      </c>
      <c r="O22" s="3029"/>
      <c r="P22" s="3030">
        <f>SUMPRODUCT((地价!A3:A19=YEAR(G19)&amp;"-"&amp;ROUNDUP(MONTH(G19)/3,0))*(地价!AD2:AH2=N22)*(地价!AD3:AH19))</f>
        <v>0</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t="e">
        <f>ROUND(IF(G3&gt;1,IF(I3&lt;7,SUMPRODUCT((B93:B98=I3)*(C92:N92=G2)*(C93:N98)),SUMIF(C92:N92,G2,C100:N100)),IF(I3&lt;7,SUMPRODUCT((B102:B107=I3)*(C92:N92=G2)*(C102:N107)),SUMIF(C92:N92,G2,C109:N109))),4)</f>
        <v>#DIV/0!</v>
      </c>
      <c r="D23" s="1674"/>
      <c r="E23" s="1674"/>
      <c r="F23" s="1703"/>
      <c r="G23" s="1704"/>
      <c r="H23" s="1875"/>
      <c r="I23" s="1876"/>
      <c r="J23" s="1877"/>
      <c r="K23" s="2384"/>
      <c r="N23" s="3028" t="s">
        <v>40</v>
      </c>
      <c r="O23" s="3029"/>
      <c r="P23" s="3030">
        <f>SUMPRODUCT((地价!A3:A19=YEAR(G19)&amp;"-"&amp;ROUNDUP(MONTH(G19)/3,0))*(地价!AD2:AH2=N23)*(地价!AD3:AH19))</f>
        <v>0</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0</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2803</v>
      </c>
      <c r="O25" s="3034"/>
      <c r="P25" s="3033">
        <f>SUMPRODUCT((地价!A3:A19=YEAR(G19)&amp;"-"&amp;ROUNDUP(MONTH(G19)/3,0))*(地价!AD2:AH2=N25)*(地价!AD3:AH19))</f>
        <v>0</v>
      </c>
      <c r="R25" s="2741"/>
      <c r="S25" s="2741"/>
      <c r="T25" s="2736"/>
      <c r="U25" s="2736"/>
      <c r="V25" s="2736"/>
      <c r="W25" s="2735"/>
      <c r="X25" s="2735"/>
      <c r="Y25" s="2735"/>
      <c r="Z25" s="2742"/>
      <c r="AA25" s="2743"/>
      <c r="AB25" s="2743"/>
      <c r="AC25" s="2743"/>
      <c r="AD25" s="2743"/>
    </row>
    <row r="26" spans="1:37" ht="14.25">
      <c r="A26" s="1885"/>
      <c r="B26" s="1702" t="s">
        <v>1872</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t="e">
        <f>ROUND(C5*C18*C19*C20*C21*C24,0)</f>
        <v>#DIV/0!</v>
      </c>
      <c r="D29" s="1749"/>
      <c r="E29" s="1783" t="e">
        <f>ROUND(C29*D29/10000,0)</f>
        <v>#DIV/0!</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t="e">
        <f>ROUND(IF(E2="工业",C29*M39,C29*M38),0)</f>
        <v>#DIV/0!</v>
      </c>
      <c r="D30" s="1750"/>
      <c r="E30" s="1783" t="e">
        <f>ROUND(C30*D30/10000,0)</f>
        <v>#DIV/0!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2" t="s">
        <v>3042</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1" t="s">
        <v>3041</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2" t="s">
        <v>3042</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1" t="s">
        <v>3041</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1" t="s">
        <v>3041</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1796</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1793</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1794</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1792</v>
      </c>
      <c r="B87" s="3311" t="s">
        <v>2507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1798</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69" t="s">
        <v>1767</v>
      </c>
      <c r="B90" s="3669"/>
      <c r="C90" s="3669"/>
      <c r="D90" s="3669"/>
      <c r="E90" s="3669"/>
      <c r="F90" s="3669"/>
      <c r="G90" s="3669"/>
      <c r="H90" s="3669"/>
      <c r="I90" s="3669"/>
      <c r="J90" s="3669"/>
      <c r="K90" s="2610"/>
      <c r="L90" s="2610"/>
      <c r="M90" s="2610"/>
      <c r="N90" s="2610"/>
    </row>
    <row r="91" spans="1:37">
      <c r="A91" s="3671" t="s">
        <v>68</v>
      </c>
      <c r="B91" s="3671" t="s">
        <v>1768</v>
      </c>
      <c r="C91" s="1587" t="s">
        <v>1769</v>
      </c>
      <c r="D91" s="1588"/>
      <c r="E91" s="1588"/>
      <c r="F91" s="1588"/>
      <c r="G91" s="1588"/>
      <c r="H91" s="1588"/>
      <c r="I91" s="1588"/>
      <c r="J91" s="1589"/>
      <c r="K91" s="1577"/>
      <c r="L91" s="1577"/>
      <c r="M91" s="1577"/>
      <c r="N91" s="1577"/>
    </row>
    <row r="92" spans="1:37">
      <c r="A92" s="3671"/>
      <c r="B92" s="3671"/>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2"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3"/>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4"/>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2" t="s">
        <v>1772</v>
      </c>
      <c r="B101" s="1594" t="s">
        <v>93</v>
      </c>
      <c r="C101" s="1595" t="e">
        <f>$G$3</f>
        <v>#DIV/0!</v>
      </c>
      <c r="D101" s="1595" t="e">
        <f t="shared" ref="D101:N101" si="31">$G$3</f>
        <v>#DIV/0!</v>
      </c>
      <c r="E101" s="1595" t="e">
        <f t="shared" si="31"/>
        <v>#DIV/0!</v>
      </c>
      <c r="F101" s="1595" t="e">
        <f t="shared" si="31"/>
        <v>#DIV/0!</v>
      </c>
      <c r="G101" s="1595" t="e">
        <f t="shared" si="31"/>
        <v>#DIV/0!</v>
      </c>
      <c r="H101" s="1595" t="e">
        <f t="shared" si="31"/>
        <v>#DIV/0!</v>
      </c>
      <c r="I101" s="1595" t="e">
        <f t="shared" si="31"/>
        <v>#DIV/0!</v>
      </c>
      <c r="J101" s="1595" t="e">
        <f t="shared" si="31"/>
        <v>#DIV/0!</v>
      </c>
      <c r="K101" s="1595" t="e">
        <f t="shared" si="31"/>
        <v>#DIV/0!</v>
      </c>
      <c r="L101" s="1595" t="e">
        <f t="shared" si="31"/>
        <v>#DIV/0!</v>
      </c>
      <c r="M101" s="1595" t="e">
        <f t="shared" si="31"/>
        <v>#DIV/0!</v>
      </c>
      <c r="N101" s="1595" t="e">
        <f t="shared" si="31"/>
        <v>#DIV/0!</v>
      </c>
    </row>
    <row r="102" spans="1:14">
      <c r="A102" s="3673"/>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73"/>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73"/>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73"/>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73"/>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73"/>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73"/>
      <c r="B108" s="3675"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4"/>
      <c r="B109" s="3676"/>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70" t="s">
        <v>1775</v>
      </c>
      <c r="B110" s="3670"/>
      <c r="C110" s="3670"/>
      <c r="D110" s="3670"/>
      <c r="E110" s="3670"/>
      <c r="F110" s="3670"/>
      <c r="G110" s="3670"/>
      <c r="H110" s="3670"/>
      <c r="I110" s="3670"/>
      <c r="J110" s="3670"/>
      <c r="K110" s="2608"/>
      <c r="L110" s="2608"/>
      <c r="M110" s="2608"/>
      <c r="N110" s="2608"/>
    </row>
    <row r="112" spans="1:14" ht="12.75" thickBot="1"/>
    <row r="113" spans="1:13" ht="25.5" thickBot="1">
      <c r="A113" s="1603" t="s">
        <v>1777</v>
      </c>
      <c r="B113" s="2611" t="e">
        <f>G3</f>
        <v>#DIV/0!</v>
      </c>
      <c r="C113" s="1604" t="s">
        <v>1778</v>
      </c>
      <c r="D113" s="1605" t="e">
        <f>SUMPRODUCT((A115:A118=F113)*(B114:M114=H113)*B115:M118)</f>
        <v>#DIV/0!</v>
      </c>
      <c r="E113" s="1606" t="s">
        <v>68</v>
      </c>
      <c r="F113" s="1607">
        <f>E2</f>
        <v>0</v>
      </c>
      <c r="G113" s="1606" t="s">
        <v>1567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t="e">
        <f>ROUND(0.9335-0.0094*B113,4)</f>
        <v>#DIV/0!</v>
      </c>
      <c r="C115" s="1617" t="e">
        <f>B115</f>
        <v>#DIV/0!</v>
      </c>
      <c r="D115" s="1617" t="e">
        <f>ROUND(0.8331-0.0109*B113,4)</f>
        <v>#DIV/0!</v>
      </c>
      <c r="E115" s="1617" t="e">
        <f>D115</f>
        <v>#DIV/0!</v>
      </c>
      <c r="F115" s="1617" t="e">
        <f>E115</f>
        <v>#DIV/0!</v>
      </c>
      <c r="G115" s="1617" t="e">
        <f>F115</f>
        <v>#DIV/0!</v>
      </c>
      <c r="H115" s="1617" t="e">
        <f>G115</f>
        <v>#DIV/0!</v>
      </c>
      <c r="I115" s="1617" t="e">
        <f>ROUND(0.689-0.0155*B113,4)</f>
        <v>#DIV/0!</v>
      </c>
      <c r="J115" s="1617" t="e">
        <f t="shared" ref="J115:M118" si="33">I115</f>
        <v>#DIV/0!</v>
      </c>
      <c r="K115" s="1617" t="e">
        <f t="shared" si="33"/>
        <v>#DIV/0!</v>
      </c>
      <c r="L115" s="1617" t="e">
        <f t="shared" si="33"/>
        <v>#DIV/0!</v>
      </c>
      <c r="M115" s="1618" t="e">
        <f t="shared" si="33"/>
        <v>#DIV/0!</v>
      </c>
    </row>
    <row r="116" spans="1:13" ht="12.75">
      <c r="A116" s="1616" t="s">
        <v>1780</v>
      </c>
      <c r="B116" s="1617" t="e">
        <f>ROUND(0.949-0.012*B113,4)</f>
        <v>#DIV/0!</v>
      </c>
      <c r="C116" s="1617" t="e">
        <f>B116</f>
        <v>#DIV/0!</v>
      </c>
      <c r="D116" s="1617" t="e">
        <f>ROUND(0.8567-0.013*B113,4)</f>
        <v>#DIV/0!</v>
      </c>
      <c r="E116" s="1617" t="e">
        <f t="shared" ref="E116:H117" si="34">D116</f>
        <v>#DIV/0!</v>
      </c>
      <c r="F116" s="1617" t="e">
        <f t="shared" si="34"/>
        <v>#DIV/0!</v>
      </c>
      <c r="G116" s="1617" t="e">
        <f t="shared" si="34"/>
        <v>#DIV/0!</v>
      </c>
      <c r="H116" s="1617" t="e">
        <f t="shared" si="34"/>
        <v>#DIV/0!</v>
      </c>
      <c r="I116" s="1617" t="e">
        <f>ROUND(0.7694-0.014*B113,4)</f>
        <v>#DIV/0!</v>
      </c>
      <c r="J116" s="1617" t="e">
        <f t="shared" si="33"/>
        <v>#DIV/0!</v>
      </c>
      <c r="K116" s="1617" t="e">
        <f t="shared" si="33"/>
        <v>#DIV/0!</v>
      </c>
      <c r="L116" s="1617" t="e">
        <f t="shared" si="33"/>
        <v>#DIV/0!</v>
      </c>
      <c r="M116" s="1618" t="e">
        <f t="shared" si="33"/>
        <v>#DIV/0!</v>
      </c>
    </row>
    <row r="117" spans="1:13" ht="12.75">
      <c r="A117" s="1619" t="s">
        <v>984</v>
      </c>
      <c r="B117" s="1617" t="e">
        <f>ROUND(0.8808-0.006*B113,4)</f>
        <v>#DIV/0!</v>
      </c>
      <c r="C117" s="1617" t="e">
        <f>B117</f>
        <v>#DIV/0!</v>
      </c>
      <c r="D117" s="1617" t="e">
        <f>ROUND(0.8748-0.008*B113,4)</f>
        <v>#DIV/0!</v>
      </c>
      <c r="E117" s="1617" t="e">
        <f t="shared" si="34"/>
        <v>#DIV/0!</v>
      </c>
      <c r="F117" s="1617" t="e">
        <f t="shared" si="34"/>
        <v>#DIV/0!</v>
      </c>
      <c r="G117" s="1617" t="e">
        <f t="shared" si="34"/>
        <v>#DIV/0!</v>
      </c>
      <c r="H117" s="1617" t="e">
        <f t="shared" si="34"/>
        <v>#DIV/0!</v>
      </c>
      <c r="I117" s="1617" t="e">
        <f>ROUND(0.7412-0.0095*B113,4)</f>
        <v>#DIV/0!</v>
      </c>
      <c r="J117" s="1617" t="e">
        <f t="shared" si="33"/>
        <v>#DIV/0!</v>
      </c>
      <c r="K117" s="1617" t="e">
        <f t="shared" si="33"/>
        <v>#DIV/0!</v>
      </c>
      <c r="L117" s="1617" t="e">
        <f t="shared" si="33"/>
        <v>#DIV/0!</v>
      </c>
      <c r="M117" s="1618" t="e">
        <f t="shared" si="33"/>
        <v>#DIV/0!</v>
      </c>
    </row>
    <row r="118" spans="1:13" ht="13.5" thickBot="1">
      <c r="A118" s="1123" t="s">
        <v>1781</v>
      </c>
      <c r="B118" s="1620" t="e">
        <f>ROUND(0.7275-0.01*B113,4)</f>
        <v>#DIV/0!</v>
      </c>
      <c r="C118" s="1620" t="e">
        <f>B118</f>
        <v>#DIV/0!</v>
      </c>
      <c r="D118" s="1620" t="e">
        <f>ROUND(0.7043-0.012*B113,4)</f>
        <v>#DIV/0!</v>
      </c>
      <c r="E118" s="1620" t="e">
        <f>D118</f>
        <v>#DIV/0!</v>
      </c>
      <c r="F118" s="1620" t="e">
        <f>E118</f>
        <v>#DIV/0!</v>
      </c>
      <c r="G118" s="1620" t="e">
        <f>ROUND(0.6299-0.0122*B113,4)</f>
        <v>#DIV/0!</v>
      </c>
      <c r="H118" s="1620" t="e">
        <f>G118</f>
        <v>#DIV/0!</v>
      </c>
      <c r="I118" s="1620" t="e">
        <f>ROUND(0.5667-0.0136*B113,4)</f>
        <v>#DIV/0!</v>
      </c>
      <c r="J118" s="1620" t="e">
        <f t="shared" si="33"/>
        <v>#DIV/0!</v>
      </c>
      <c r="K118" s="1620" t="e">
        <f t="shared" si="33"/>
        <v>#DIV/0!</v>
      </c>
      <c r="L118" s="1620" t="e">
        <f t="shared" si="33"/>
        <v>#DIV/0!</v>
      </c>
      <c r="M118" s="1621" t="e">
        <f t="shared" si="33"/>
        <v>#DIV/0!</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1" t="s">
        <v>1204</v>
      </c>
      <c r="B18" s="1573" t="s">
        <v>1581</v>
      </c>
      <c r="C18" s="1574" t="s">
        <v>1582</v>
      </c>
      <c r="D18" s="1575"/>
      <c r="E18" s="1573">
        <v>1</v>
      </c>
      <c r="F18" s="1576" t="s">
        <v>1583</v>
      </c>
      <c r="G18" s="1577"/>
      <c r="H18" s="1569"/>
      <c r="I18" s="1569"/>
    </row>
    <row r="19" spans="1:9" s="1578" customFormat="1" ht="19.5" customHeight="1">
      <c r="A19" s="3671"/>
      <c r="B19" s="3671" t="s">
        <v>1584</v>
      </c>
      <c r="C19" s="1574" t="s">
        <v>1585</v>
      </c>
      <c r="D19" s="1575"/>
      <c r="E19" s="1573">
        <v>0.9</v>
      </c>
      <c r="F19" s="1576" t="s">
        <v>1586</v>
      </c>
      <c r="G19" s="1577"/>
      <c r="H19" s="1569"/>
      <c r="I19" s="1569"/>
    </row>
    <row r="20" spans="1:9" s="1578" customFormat="1" ht="19.5" customHeight="1">
      <c r="A20" s="3671"/>
      <c r="B20" s="3671"/>
      <c r="C20" s="1574" t="s">
        <v>1587</v>
      </c>
      <c r="D20" s="1575"/>
      <c r="E20" s="1573">
        <v>1.1000000000000001</v>
      </c>
      <c r="F20" s="1576" t="s">
        <v>1588</v>
      </c>
      <c r="G20" s="1577"/>
      <c r="H20" s="1569"/>
      <c r="I20" s="1569"/>
    </row>
    <row r="21" spans="1:9" s="1578" customFormat="1" ht="19.5" customHeight="1">
      <c r="A21" s="3671"/>
      <c r="B21" s="3671"/>
      <c r="C21" s="1574" t="s">
        <v>1589</v>
      </c>
      <c r="D21" s="1575"/>
      <c r="E21" s="1573">
        <v>0.8</v>
      </c>
      <c r="F21" s="1576" t="s">
        <v>1590</v>
      </c>
      <c r="G21" s="1577"/>
      <c r="H21" s="1569"/>
      <c r="I21" s="1569"/>
    </row>
    <row r="22" spans="1:9" s="1578" customFormat="1" ht="19.5" customHeight="1">
      <c r="A22" s="3671"/>
      <c r="B22" s="3671"/>
      <c r="C22" s="1574" t="s">
        <v>1591</v>
      </c>
      <c r="D22" s="1575"/>
      <c r="E22" s="1573">
        <v>0.5</v>
      </c>
      <c r="F22" s="1576"/>
      <c r="G22" s="1577"/>
      <c r="H22" s="1569"/>
      <c r="I22" s="1569"/>
    </row>
    <row r="23" spans="1:9" s="1578" customFormat="1" ht="19.5" customHeight="1">
      <c r="A23" s="3671" t="s">
        <v>1205</v>
      </c>
      <c r="B23" s="1573" t="s">
        <v>1581</v>
      </c>
      <c r="C23" s="1574" t="s">
        <v>1592</v>
      </c>
      <c r="D23" s="1575"/>
      <c r="E23" s="1573">
        <v>1</v>
      </c>
      <c r="F23" s="1576" t="s">
        <v>1593</v>
      </c>
      <c r="G23" s="1577"/>
      <c r="H23" s="1569"/>
      <c r="I23" s="1569"/>
    </row>
    <row r="24" spans="1:9" s="1578" customFormat="1" ht="19.5" customHeight="1">
      <c r="A24" s="3671"/>
      <c r="B24" s="3671" t="s">
        <v>1584</v>
      </c>
      <c r="C24" s="1574" t="s">
        <v>1594</v>
      </c>
      <c r="D24" s="1575"/>
      <c r="E24" s="1573">
        <v>0.5</v>
      </c>
      <c r="F24" s="1576"/>
      <c r="G24" s="1577"/>
      <c r="H24" s="1569"/>
      <c r="I24" s="1569"/>
    </row>
    <row r="25" spans="1:9" s="1578" customFormat="1" ht="19.5" customHeight="1">
      <c r="A25" s="3671"/>
      <c r="B25" s="3671"/>
      <c r="C25" s="1574" t="s">
        <v>1595</v>
      </c>
      <c r="D25" s="1575"/>
      <c r="E25" s="1573">
        <v>1.1000000000000001</v>
      </c>
      <c r="F25" s="1576"/>
      <c r="G25" s="1577"/>
      <c r="H25" s="1569"/>
      <c r="I25" s="1569"/>
    </row>
    <row r="26" spans="1:9" s="1578" customFormat="1" ht="19.5" customHeight="1">
      <c r="A26" s="3671"/>
      <c r="B26" s="3671"/>
      <c r="C26" s="1574" t="s">
        <v>1596</v>
      </c>
      <c r="D26" s="1575"/>
      <c r="E26" s="1573">
        <v>1.1000000000000001</v>
      </c>
      <c r="F26" s="1576"/>
      <c r="G26" s="1577"/>
      <c r="H26" s="1569"/>
      <c r="I26" s="1569"/>
    </row>
    <row r="27" spans="1:9" s="1578" customFormat="1" ht="19.5" customHeight="1">
      <c r="A27" s="3671"/>
      <c r="B27" s="3671"/>
      <c r="C27" s="1574" t="s">
        <v>1597</v>
      </c>
      <c r="D27" s="1575"/>
      <c r="E27" s="1573">
        <v>0.9</v>
      </c>
      <c r="F27" s="1576" t="s">
        <v>1598</v>
      </c>
      <c r="G27" s="1577"/>
      <c r="H27" s="1569"/>
      <c r="I27" s="1569"/>
    </row>
    <row r="28" spans="1:9" s="1578" customFormat="1" ht="19.5" customHeight="1">
      <c r="A28" s="3671"/>
      <c r="B28" s="3671"/>
      <c r="C28" s="1574" t="s">
        <v>1599</v>
      </c>
      <c r="D28" s="1575"/>
      <c r="E28" s="1573">
        <v>0.9</v>
      </c>
      <c r="F28" s="1576" t="s">
        <v>1600</v>
      </c>
      <c r="G28" s="1577"/>
      <c r="H28" s="1569"/>
      <c r="I28" s="1569"/>
    </row>
    <row r="29" spans="1:9" s="1578" customFormat="1" ht="19.5" customHeight="1">
      <c r="A29" s="3671"/>
      <c r="B29" s="3671"/>
      <c r="C29" s="1574" t="s">
        <v>1601</v>
      </c>
      <c r="D29" s="1575"/>
      <c r="E29" s="1573">
        <v>0.9</v>
      </c>
      <c r="F29" s="1576" t="s">
        <v>1602</v>
      </c>
      <c r="G29" s="1577"/>
      <c r="H29" s="1569"/>
      <c r="I29" s="1569"/>
    </row>
    <row r="30" spans="1:9" s="1578" customFormat="1" ht="19.5" customHeight="1">
      <c r="A30" s="3671"/>
      <c r="B30" s="3671"/>
      <c r="C30" s="1574" t="s">
        <v>1603</v>
      </c>
      <c r="D30" s="1575"/>
      <c r="E30" s="1573">
        <v>0.9</v>
      </c>
      <c r="F30" s="1576" t="s">
        <v>1604</v>
      </c>
      <c r="G30" s="1577"/>
      <c r="H30" s="1569"/>
      <c r="I30" s="1569"/>
    </row>
    <row r="31" spans="1:9" s="1578" customFormat="1" ht="19.5" customHeight="1">
      <c r="A31" s="3671"/>
      <c r="B31" s="3671"/>
      <c r="C31" s="1574" t="s">
        <v>1605</v>
      </c>
      <c r="D31" s="1575"/>
      <c r="E31" s="1573">
        <v>0.8</v>
      </c>
      <c r="F31" s="1576" t="s">
        <v>1606</v>
      </c>
      <c r="G31" s="1577"/>
      <c r="H31" s="1569"/>
      <c r="I31" s="1569"/>
    </row>
    <row r="32" spans="1:9" s="1578" customFormat="1" ht="19.5" customHeight="1">
      <c r="A32" s="3671"/>
      <c r="B32" s="3671"/>
      <c r="C32" s="1574" t="s">
        <v>1607</v>
      </c>
      <c r="D32" s="1575"/>
      <c r="E32" s="1573">
        <v>0.8</v>
      </c>
      <c r="F32" s="1576" t="s">
        <v>1608</v>
      </c>
      <c r="G32" s="1577"/>
      <c r="H32" s="1569"/>
      <c r="I32" s="1569"/>
    </row>
    <row r="33" spans="1:9" s="1578" customFormat="1" ht="19.5" customHeight="1">
      <c r="A33" s="3671" t="s">
        <v>1206</v>
      </c>
      <c r="B33" s="1573" t="s">
        <v>1581</v>
      </c>
      <c r="C33" s="1574" t="s">
        <v>1609</v>
      </c>
      <c r="D33" s="1575"/>
      <c r="E33" s="1573">
        <v>1</v>
      </c>
      <c r="F33" s="1576" t="s">
        <v>1610</v>
      </c>
      <c r="G33" s="1577"/>
      <c r="H33" s="1569"/>
      <c r="I33" s="1569"/>
    </row>
    <row r="34" spans="1:9" s="1578" customFormat="1" ht="19.5" customHeight="1">
      <c r="A34" s="3671"/>
      <c r="B34" s="1573" t="s">
        <v>1584</v>
      </c>
      <c r="C34" s="1574" t="s">
        <v>1611</v>
      </c>
      <c r="D34" s="1575"/>
      <c r="E34" s="1573">
        <v>1.5</v>
      </c>
      <c r="F34" s="1576" t="s">
        <v>1612</v>
      </c>
      <c r="G34" s="1577"/>
      <c r="H34" s="1569"/>
      <c r="I34" s="1569"/>
    </row>
    <row r="35" spans="1:9" s="1578" customFormat="1" ht="19.5" customHeight="1">
      <c r="A35" s="3671" t="s">
        <v>1207</v>
      </c>
      <c r="B35" s="1573" t="s">
        <v>1581</v>
      </c>
      <c r="C35" s="1574" t="s">
        <v>1613</v>
      </c>
      <c r="D35" s="1575"/>
      <c r="E35" s="1573">
        <v>1</v>
      </c>
      <c r="F35" s="1576" t="s">
        <v>1614</v>
      </c>
      <c r="G35" s="1577"/>
      <c r="H35" s="1569"/>
      <c r="I35" s="1569"/>
    </row>
    <row r="36" spans="1:9" s="1578" customFormat="1" ht="19.5" customHeight="1">
      <c r="A36" s="3671"/>
      <c r="B36" s="3671" t="s">
        <v>1584</v>
      </c>
      <c r="C36" s="1574" t="s">
        <v>1615</v>
      </c>
      <c r="D36" s="1575"/>
      <c r="E36" s="1573">
        <v>1</v>
      </c>
      <c r="F36" s="1576" t="s">
        <v>1616</v>
      </c>
      <c r="G36" s="1577"/>
      <c r="H36" s="1569"/>
      <c r="I36" s="1569"/>
    </row>
    <row r="37" spans="1:9" s="1578" customFormat="1" ht="19.5" customHeight="1">
      <c r="A37" s="3671"/>
      <c r="B37" s="3671"/>
      <c r="C37" s="1574" t="s">
        <v>1617</v>
      </c>
      <c r="D37" s="1575"/>
      <c r="E37" s="1573">
        <v>1.5</v>
      </c>
      <c r="F37" s="1576" t="s">
        <v>1618</v>
      </c>
      <c r="G37" s="1577"/>
      <c r="H37" s="1569"/>
      <c r="I37" s="1569"/>
    </row>
    <row r="38" spans="1:9" s="1578" customFormat="1" ht="19.5" customHeight="1">
      <c r="A38" s="3671"/>
      <c r="B38" s="3671"/>
      <c r="C38" s="1574" t="s">
        <v>1619</v>
      </c>
      <c r="D38" s="1575"/>
      <c r="E38" s="1573">
        <v>1</v>
      </c>
      <c r="F38" s="1576" t="s">
        <v>1620</v>
      </c>
      <c r="G38" s="1577"/>
      <c r="H38" s="1569"/>
      <c r="I38" s="1569"/>
    </row>
    <row r="39" spans="1:9" s="1578" customFormat="1" ht="19.5" customHeight="1">
      <c r="A39" s="3671"/>
      <c r="B39" s="3671"/>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1" t="s">
        <v>1635</v>
      </c>
      <c r="C61" s="1499" t="s">
        <v>1636</v>
      </c>
      <c r="D61" s="1499" t="s">
        <v>1637</v>
      </c>
      <c r="E61" s="1586">
        <v>0.5</v>
      </c>
      <c r="F61" s="1573">
        <v>80</v>
      </c>
    </row>
    <row r="62" spans="1:8" s="1569" customFormat="1" ht="24">
      <c r="A62" s="1573">
        <v>2</v>
      </c>
      <c r="B62" s="3671"/>
      <c r="C62" s="1499" t="s">
        <v>1638</v>
      </c>
      <c r="D62" s="1499" t="s">
        <v>1639</v>
      </c>
      <c r="E62" s="1586">
        <v>0.5</v>
      </c>
      <c r="F62" s="1573">
        <v>80</v>
      </c>
    </row>
    <row r="63" spans="1:8" s="1569" customFormat="1" ht="36">
      <c r="A63" s="1573">
        <v>3</v>
      </c>
      <c r="B63" s="3671"/>
      <c r="C63" s="1499" t="s">
        <v>1640</v>
      </c>
      <c r="D63" s="1499" t="s">
        <v>1641</v>
      </c>
      <c r="E63" s="1586">
        <v>0.5</v>
      </c>
      <c r="F63" s="1573">
        <v>80</v>
      </c>
    </row>
    <row r="64" spans="1:8" s="1569" customFormat="1" ht="36">
      <c r="A64" s="1573">
        <v>4</v>
      </c>
      <c r="B64" s="3671"/>
      <c r="C64" s="1499" t="s">
        <v>1642</v>
      </c>
      <c r="D64" s="1499" t="s">
        <v>1643</v>
      </c>
      <c r="E64" s="1586">
        <v>0.4</v>
      </c>
      <c r="F64" s="1573">
        <v>60</v>
      </c>
    </row>
    <row r="65" spans="1:6" s="1569" customFormat="1" ht="36">
      <c r="A65" s="1573">
        <v>5</v>
      </c>
      <c r="B65" s="3671"/>
      <c r="C65" s="1499" t="s">
        <v>1644</v>
      </c>
      <c r="D65" s="1499" t="s">
        <v>1645</v>
      </c>
      <c r="E65" s="1586">
        <v>0.2</v>
      </c>
      <c r="F65" s="1573">
        <v>30</v>
      </c>
    </row>
    <row r="66" spans="1:6" s="1569" customFormat="1" ht="36">
      <c r="A66" s="1573">
        <v>6</v>
      </c>
      <c r="B66" s="3671"/>
      <c r="C66" s="1499" t="s">
        <v>1646</v>
      </c>
      <c r="D66" s="1499" t="s">
        <v>1647</v>
      </c>
      <c r="E66" s="1586">
        <v>0.3</v>
      </c>
      <c r="F66" s="1573">
        <v>50</v>
      </c>
    </row>
    <row r="67" spans="1:6" s="1569" customFormat="1" ht="36">
      <c r="A67" s="1573">
        <v>7</v>
      </c>
      <c r="B67" s="3671"/>
      <c r="C67" s="1499" t="s">
        <v>1648</v>
      </c>
      <c r="D67" s="1499" t="s">
        <v>1649</v>
      </c>
      <c r="E67" s="1586">
        <v>0.2</v>
      </c>
      <c r="F67" s="1573">
        <v>30</v>
      </c>
    </row>
    <row r="68" spans="1:6" s="1569" customFormat="1" ht="36">
      <c r="A68" s="1573">
        <v>8</v>
      </c>
      <c r="B68" s="3671"/>
      <c r="C68" s="1499" t="s">
        <v>1650</v>
      </c>
      <c r="D68" s="1499" t="s">
        <v>1651</v>
      </c>
      <c r="E68" s="1586">
        <v>0.2</v>
      </c>
      <c r="F68" s="1573">
        <v>30</v>
      </c>
    </row>
    <row r="69" spans="1:6" s="1569" customFormat="1" ht="36">
      <c r="A69" s="1573">
        <v>9</v>
      </c>
      <c r="B69" s="3671"/>
      <c r="C69" s="1499" t="s">
        <v>1652</v>
      </c>
      <c r="D69" s="1499" t="s">
        <v>1653</v>
      </c>
      <c r="E69" s="1586">
        <v>0.2</v>
      </c>
      <c r="F69" s="1573">
        <v>30</v>
      </c>
    </row>
    <row r="70" spans="1:6" s="1569" customFormat="1" ht="48">
      <c r="A70" s="1573">
        <v>10</v>
      </c>
      <c r="B70" s="3671"/>
      <c r="C70" s="1499" t="s">
        <v>1654</v>
      </c>
      <c r="D70" s="1499" t="s">
        <v>1655</v>
      </c>
      <c r="E70" s="1586">
        <v>0.2</v>
      </c>
      <c r="F70" s="1573">
        <v>30</v>
      </c>
    </row>
    <row r="71" spans="1:6" s="1569" customFormat="1" ht="48">
      <c r="A71" s="1573">
        <v>11</v>
      </c>
      <c r="B71" s="3671"/>
      <c r="C71" s="1499" t="s">
        <v>1656</v>
      </c>
      <c r="D71" s="1499" t="s">
        <v>1657</v>
      </c>
      <c r="E71" s="1586">
        <v>0.2</v>
      </c>
      <c r="F71" s="1573">
        <v>30</v>
      </c>
    </row>
    <row r="72" spans="1:6" s="1569" customFormat="1" ht="36">
      <c r="A72" s="1573">
        <v>12</v>
      </c>
      <c r="B72" s="3671"/>
      <c r="C72" s="1499" t="s">
        <v>1658</v>
      </c>
      <c r="D72" s="1499" t="s">
        <v>1659</v>
      </c>
      <c r="E72" s="1586">
        <v>0.5</v>
      </c>
      <c r="F72" s="1573">
        <v>80</v>
      </c>
    </row>
    <row r="73" spans="1:6" s="1569" customFormat="1" ht="24">
      <c r="A73" s="1573">
        <v>13</v>
      </c>
      <c r="B73" s="3671"/>
      <c r="C73" s="1499" t="s">
        <v>1660</v>
      </c>
      <c r="D73" s="1499" t="s">
        <v>1661</v>
      </c>
      <c r="E73" s="1586">
        <v>0.4</v>
      </c>
      <c r="F73" s="1573">
        <v>60</v>
      </c>
    </row>
    <row r="74" spans="1:6" s="1569" customFormat="1" ht="24">
      <c r="A74" s="1573">
        <v>14</v>
      </c>
      <c r="B74" s="3671"/>
      <c r="C74" s="1499" t="s">
        <v>1662</v>
      </c>
      <c r="D74" s="1499" t="s">
        <v>1663</v>
      </c>
      <c r="E74" s="1586">
        <v>0.2</v>
      </c>
      <c r="F74" s="1573">
        <v>30</v>
      </c>
    </row>
    <row r="75" spans="1:6" s="1569" customFormat="1" ht="24">
      <c r="A75" s="1573">
        <v>15</v>
      </c>
      <c r="B75" s="3671"/>
      <c r="C75" s="1499" t="s">
        <v>1664</v>
      </c>
      <c r="D75" s="1499" t="s">
        <v>1665</v>
      </c>
      <c r="E75" s="1586">
        <v>0.2</v>
      </c>
      <c r="F75" s="1573">
        <v>30</v>
      </c>
    </row>
    <row r="76" spans="1:6" s="1569" customFormat="1" ht="24">
      <c r="A76" s="1573">
        <v>16</v>
      </c>
      <c r="B76" s="3671" t="s">
        <v>1666</v>
      </c>
      <c r="C76" s="1499" t="s">
        <v>1667</v>
      </c>
      <c r="D76" s="1499" t="s">
        <v>1668</v>
      </c>
      <c r="E76" s="1586">
        <v>0.5</v>
      </c>
      <c r="F76" s="1573">
        <v>80</v>
      </c>
    </row>
    <row r="77" spans="1:6" s="1569" customFormat="1" ht="24">
      <c r="A77" s="1573">
        <v>17</v>
      </c>
      <c r="B77" s="3671"/>
      <c r="C77" s="1499" t="s">
        <v>1669</v>
      </c>
      <c r="D77" s="1499" t="s">
        <v>1670</v>
      </c>
      <c r="E77" s="1586">
        <v>0.5</v>
      </c>
      <c r="F77" s="1573">
        <v>80</v>
      </c>
    </row>
    <row r="78" spans="1:6" s="1569" customFormat="1" ht="24">
      <c r="A78" s="1573">
        <v>18</v>
      </c>
      <c r="B78" s="3671"/>
      <c r="C78" s="1499" t="s">
        <v>1671</v>
      </c>
      <c r="D78" s="1499" t="s">
        <v>1672</v>
      </c>
      <c r="E78" s="1586">
        <v>0.2</v>
      </c>
      <c r="F78" s="1573">
        <v>30</v>
      </c>
    </row>
    <row r="79" spans="1:6" s="1569" customFormat="1" ht="24">
      <c r="A79" s="1573">
        <v>19</v>
      </c>
      <c r="B79" s="3671"/>
      <c r="C79" s="1499" t="s">
        <v>1673</v>
      </c>
      <c r="D79" s="1499" t="s">
        <v>1674</v>
      </c>
      <c r="E79" s="1586">
        <v>0.5</v>
      </c>
      <c r="F79" s="1573">
        <v>80</v>
      </c>
    </row>
    <row r="80" spans="1:6" s="1569" customFormat="1" ht="36">
      <c r="A80" s="1573">
        <v>20</v>
      </c>
      <c r="B80" s="3671"/>
      <c r="C80" s="1499" t="s">
        <v>1675</v>
      </c>
      <c r="D80" s="1499" t="s">
        <v>1676</v>
      </c>
      <c r="E80" s="1586">
        <v>0.2</v>
      </c>
      <c r="F80" s="1573">
        <v>30</v>
      </c>
    </row>
    <row r="81" spans="1:6" s="1569" customFormat="1" ht="36">
      <c r="A81" s="1573">
        <v>21</v>
      </c>
      <c r="B81" s="3671"/>
      <c r="C81" s="1499" t="s">
        <v>1677</v>
      </c>
      <c r="D81" s="1499" t="s">
        <v>1678</v>
      </c>
      <c r="E81" s="1586">
        <v>0.2</v>
      </c>
      <c r="F81" s="1573">
        <v>30</v>
      </c>
    </row>
    <row r="82" spans="1:6" s="1569" customFormat="1" ht="48">
      <c r="A82" s="1573">
        <v>22</v>
      </c>
      <c r="B82" s="3671"/>
      <c r="C82" s="1499" t="s">
        <v>1679</v>
      </c>
      <c r="D82" s="1499" t="s">
        <v>1680</v>
      </c>
      <c r="E82" s="1586">
        <v>0.2</v>
      </c>
      <c r="F82" s="1573">
        <v>30</v>
      </c>
    </row>
    <row r="83" spans="1:6" s="1569" customFormat="1" ht="48">
      <c r="A83" s="1573">
        <v>23</v>
      </c>
      <c r="B83" s="3671"/>
      <c r="C83" s="1499" t="s">
        <v>1681</v>
      </c>
      <c r="D83" s="1499" t="s">
        <v>1682</v>
      </c>
      <c r="E83" s="1586">
        <v>0.2</v>
      </c>
      <c r="F83" s="1573">
        <v>30</v>
      </c>
    </row>
    <row r="84" spans="1:6" s="1569" customFormat="1" ht="36">
      <c r="A84" s="1573">
        <v>24</v>
      </c>
      <c r="B84" s="3671"/>
      <c r="C84" s="1499" t="s">
        <v>1683</v>
      </c>
      <c r="D84" s="1499" t="s">
        <v>1684</v>
      </c>
      <c r="E84" s="1586">
        <v>0.2</v>
      </c>
      <c r="F84" s="1573">
        <v>30</v>
      </c>
    </row>
    <row r="85" spans="1:6" s="1569" customFormat="1" ht="36">
      <c r="A85" s="1573">
        <v>25</v>
      </c>
      <c r="B85" s="3671"/>
      <c r="C85" s="1499" t="s">
        <v>1685</v>
      </c>
      <c r="D85" s="1499" t="s">
        <v>1686</v>
      </c>
      <c r="E85" s="1586">
        <v>0.5</v>
      </c>
      <c r="F85" s="1573">
        <v>80</v>
      </c>
    </row>
    <row r="86" spans="1:6" s="1569" customFormat="1" ht="36">
      <c r="A86" s="1573">
        <v>26</v>
      </c>
      <c r="B86" s="3671"/>
      <c r="C86" s="1499" t="s">
        <v>1687</v>
      </c>
      <c r="D86" s="1499" t="s">
        <v>1688</v>
      </c>
      <c r="E86" s="1586">
        <v>0.2</v>
      </c>
      <c r="F86" s="1573">
        <v>30</v>
      </c>
    </row>
    <row r="87" spans="1:6" s="1569" customFormat="1" ht="36">
      <c r="A87" s="1573">
        <v>27</v>
      </c>
      <c r="B87" s="3671"/>
      <c r="C87" s="1499" t="s">
        <v>1689</v>
      </c>
      <c r="D87" s="1499" t="s">
        <v>1690</v>
      </c>
      <c r="E87" s="1586">
        <v>0.2</v>
      </c>
      <c r="F87" s="1573">
        <v>30</v>
      </c>
    </row>
    <row r="88" spans="1:6" s="1569" customFormat="1" ht="36">
      <c r="A88" s="1573">
        <v>28</v>
      </c>
      <c r="B88" s="3671"/>
      <c r="C88" s="1499" t="s">
        <v>1691</v>
      </c>
      <c r="D88" s="1499" t="s">
        <v>1692</v>
      </c>
      <c r="E88" s="1586">
        <v>0.2</v>
      </c>
      <c r="F88" s="1573">
        <v>30</v>
      </c>
    </row>
    <row r="89" spans="1:6" s="1569" customFormat="1" ht="24">
      <c r="A89" s="1573">
        <v>29</v>
      </c>
      <c r="B89" s="3671"/>
      <c r="C89" s="1499" t="s">
        <v>1693</v>
      </c>
      <c r="D89" s="1499" t="s">
        <v>1694</v>
      </c>
      <c r="E89" s="1586">
        <v>0.2</v>
      </c>
      <c r="F89" s="1573">
        <v>30</v>
      </c>
    </row>
    <row r="90" spans="1:6" s="1569" customFormat="1" ht="24">
      <c r="A90" s="1573">
        <v>30</v>
      </c>
      <c r="B90" s="3671"/>
      <c r="C90" s="1499" t="s">
        <v>1695</v>
      </c>
      <c r="D90" s="1499" t="s">
        <v>1696</v>
      </c>
      <c r="E90" s="1586">
        <v>0.2</v>
      </c>
      <c r="F90" s="1573">
        <v>30</v>
      </c>
    </row>
    <row r="91" spans="1:6" s="1569" customFormat="1" ht="36">
      <c r="A91" s="1573">
        <v>31</v>
      </c>
      <c r="B91" s="3671"/>
      <c r="C91" s="1499" t="s">
        <v>1697</v>
      </c>
      <c r="D91" s="1499" t="s">
        <v>1698</v>
      </c>
      <c r="E91" s="1586">
        <v>0.2</v>
      </c>
      <c r="F91" s="1573">
        <v>30</v>
      </c>
    </row>
    <row r="92" spans="1:6" s="1569" customFormat="1" ht="24">
      <c r="A92" s="1573">
        <v>32</v>
      </c>
      <c r="B92" s="3671" t="s">
        <v>1699</v>
      </c>
      <c r="C92" s="1573" t="s">
        <v>1700</v>
      </c>
      <c r="D92" s="1499" t="s">
        <v>1701</v>
      </c>
      <c r="E92" s="1586">
        <v>0.2</v>
      </c>
      <c r="F92" s="1573">
        <v>30</v>
      </c>
    </row>
    <row r="93" spans="1:6" s="1569" customFormat="1" ht="36">
      <c r="A93" s="1573">
        <v>33</v>
      </c>
      <c r="B93" s="3671"/>
      <c r="C93" s="1573" t="s">
        <v>1702</v>
      </c>
      <c r="D93" s="1499" t="s">
        <v>1703</v>
      </c>
      <c r="E93" s="1586">
        <v>0.2</v>
      </c>
      <c r="F93" s="1573">
        <v>30</v>
      </c>
    </row>
    <row r="94" spans="1:6" s="1569" customFormat="1" ht="48">
      <c r="A94" s="1573">
        <v>34</v>
      </c>
      <c r="B94" s="3671"/>
      <c r="C94" s="1573" t="s">
        <v>1704</v>
      </c>
      <c r="D94" s="1499" t="s">
        <v>1705</v>
      </c>
      <c r="E94" s="1586">
        <v>0.2</v>
      </c>
      <c r="F94" s="1573">
        <v>30</v>
      </c>
    </row>
    <row r="95" spans="1:6" s="1569" customFormat="1" ht="36">
      <c r="A95" s="1573">
        <v>35</v>
      </c>
      <c r="B95" s="3671"/>
      <c r="C95" s="1573" t="s">
        <v>1706</v>
      </c>
      <c r="D95" s="1499" t="s">
        <v>1707</v>
      </c>
      <c r="E95" s="1586">
        <v>0.2</v>
      </c>
      <c r="F95" s="1573">
        <v>30</v>
      </c>
    </row>
    <row r="96" spans="1:6" s="1569" customFormat="1" ht="48">
      <c r="A96" s="1573">
        <v>36</v>
      </c>
      <c r="B96" s="3671"/>
      <c r="C96" s="1499" t="s">
        <v>1708</v>
      </c>
      <c r="D96" s="1499" t="s">
        <v>1709</v>
      </c>
      <c r="E96" s="1586">
        <v>0.2</v>
      </c>
      <c r="F96" s="1573">
        <v>30</v>
      </c>
    </row>
    <row r="97" spans="1:6" s="1569" customFormat="1" ht="36">
      <c r="A97" s="1573">
        <v>37</v>
      </c>
      <c r="B97" s="3671"/>
      <c r="C97" s="1573" t="s">
        <v>1710</v>
      </c>
      <c r="D97" s="1499" t="s">
        <v>1711</v>
      </c>
      <c r="E97" s="1586">
        <v>0.2</v>
      </c>
      <c r="F97" s="1573">
        <v>30</v>
      </c>
    </row>
    <row r="98" spans="1:6" s="1569" customFormat="1" ht="36">
      <c r="A98" s="1573">
        <v>38</v>
      </c>
      <c r="B98" s="3671"/>
      <c r="C98" s="1573" t="s">
        <v>1712</v>
      </c>
      <c r="D98" s="1499" t="s">
        <v>1713</v>
      </c>
      <c r="E98" s="1586">
        <v>0.2</v>
      </c>
      <c r="F98" s="1573">
        <v>30</v>
      </c>
    </row>
    <row r="99" spans="1:6" s="1569" customFormat="1" ht="36">
      <c r="A99" s="1573">
        <v>39</v>
      </c>
      <c r="B99" s="3671" t="s">
        <v>1714</v>
      </c>
      <c r="C99" s="1573" t="s">
        <v>1715</v>
      </c>
      <c r="D99" s="1499" t="s">
        <v>1716</v>
      </c>
      <c r="E99" s="1586">
        <v>0.3</v>
      </c>
      <c r="F99" s="1573">
        <v>50</v>
      </c>
    </row>
    <row r="100" spans="1:6" s="1569" customFormat="1" ht="24">
      <c r="A100" s="1573">
        <v>40</v>
      </c>
      <c r="B100" s="3671"/>
      <c r="C100" s="1573" t="s">
        <v>1717</v>
      </c>
      <c r="D100" s="1499" t="s">
        <v>1718</v>
      </c>
      <c r="E100" s="1586">
        <v>0.2</v>
      </c>
      <c r="F100" s="1573">
        <v>30</v>
      </c>
    </row>
    <row r="101" spans="1:6" s="1569" customFormat="1" ht="36">
      <c r="A101" s="1573">
        <v>41</v>
      </c>
      <c r="B101" s="3671"/>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1" t="s">
        <v>1729</v>
      </c>
      <c r="C105" s="1573" t="s">
        <v>1730</v>
      </c>
      <c r="D105" s="1499" t="s">
        <v>1731</v>
      </c>
      <c r="E105" s="1586">
        <v>0.2</v>
      </c>
      <c r="F105" s="1573">
        <v>30</v>
      </c>
    </row>
    <row r="106" spans="1:6" s="1569" customFormat="1" ht="36">
      <c r="A106" s="1573">
        <v>46</v>
      </c>
      <c r="B106" s="3671"/>
      <c r="C106" s="1573" t="s">
        <v>1732</v>
      </c>
      <c r="D106" s="1499" t="s">
        <v>1733</v>
      </c>
      <c r="E106" s="1586">
        <v>0.2</v>
      </c>
      <c r="F106" s="1573">
        <v>30</v>
      </c>
    </row>
    <row r="107" spans="1:6" s="1569" customFormat="1" ht="36">
      <c r="A107" s="1573">
        <v>47</v>
      </c>
      <c r="B107" s="3671" t="s">
        <v>1734</v>
      </c>
      <c r="C107" s="1573" t="s">
        <v>1735</v>
      </c>
      <c r="D107" s="1499" t="s">
        <v>1736</v>
      </c>
      <c r="E107" s="1586">
        <v>0.3</v>
      </c>
      <c r="F107" s="1573">
        <v>50</v>
      </c>
    </row>
    <row r="108" spans="1:6" s="1569" customFormat="1" ht="36">
      <c r="A108" s="1573">
        <v>48</v>
      </c>
      <c r="B108" s="3671"/>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1" t="s">
        <v>1745</v>
      </c>
      <c r="C111" s="1573" t="s">
        <v>1746</v>
      </c>
      <c r="D111" s="1499" t="s">
        <v>1747</v>
      </c>
      <c r="E111" s="1586">
        <v>0.2</v>
      </c>
      <c r="F111" s="1573">
        <v>30</v>
      </c>
    </row>
    <row r="112" spans="1:6" s="1569" customFormat="1" ht="24">
      <c r="A112" s="1573">
        <v>52</v>
      </c>
      <c r="B112" s="3671"/>
      <c r="C112" s="1573" t="s">
        <v>1748</v>
      </c>
      <c r="D112" s="1499" t="s">
        <v>1749</v>
      </c>
      <c r="E112" s="1586">
        <v>0.2</v>
      </c>
      <c r="F112" s="1573">
        <v>30</v>
      </c>
    </row>
    <row r="113" spans="1:6" s="1569" customFormat="1" ht="24">
      <c r="A113" s="1573">
        <v>53</v>
      </c>
      <c r="B113" s="3671"/>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1" t="s">
        <v>1758</v>
      </c>
      <c r="C116" s="1573" t="s">
        <v>1759</v>
      </c>
      <c r="D116" s="1499" t="s">
        <v>1760</v>
      </c>
      <c r="E116" s="1586">
        <v>0.2</v>
      </c>
      <c r="F116" s="1573">
        <v>30</v>
      </c>
    </row>
    <row r="117" spans="1:6" ht="36">
      <c r="A117" s="1573">
        <v>57</v>
      </c>
      <c r="B117" s="3671"/>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t="e">
        <f>SUMPRODUCT((A105:A204=ROUNDDOWN(基准地价修正!G3,1))*(B104:M104=基准地价修正!G2)*(B105:M204))</f>
        <v>#DIV/0!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82" t="s">
        <v>2726</v>
      </c>
      <c r="C1" s="3682"/>
      <c r="D1" s="3682"/>
      <c r="E1" s="3682"/>
      <c r="F1" s="3682"/>
      <c r="G1" s="3681" t="s">
        <v>2727</v>
      </c>
      <c r="H1" s="3681"/>
      <c r="I1" s="3681"/>
      <c r="J1" s="3681"/>
      <c r="K1" s="3681"/>
      <c r="L1" s="3681"/>
      <c r="N1" s="3681" t="s">
        <v>2728</v>
      </c>
      <c r="O1" s="3681"/>
      <c r="P1" s="3681"/>
      <c r="Q1" s="3681"/>
      <c r="R1" s="2905"/>
      <c r="S1" s="3681" t="s">
        <v>2729</v>
      </c>
      <c r="T1" s="3681"/>
      <c r="U1" s="3681"/>
      <c r="V1" s="3681"/>
      <c r="X1" s="3680" t="s">
        <v>2730</v>
      </c>
      <c r="Y1" s="3681"/>
      <c r="Z1" s="3681"/>
      <c r="AA1" s="3681"/>
      <c r="AB1" s="3681"/>
      <c r="AD1" s="3680" t="s">
        <v>2731</v>
      </c>
      <c r="AE1" s="3681"/>
      <c r="AF1" s="3681"/>
      <c r="AG1" s="3681"/>
      <c r="AH1" s="3681"/>
    </row>
    <row r="2" spans="1:34" s="2906" customFormat="1" ht="14.25" thickBot="1">
      <c r="B2" s="2907" t="s">
        <v>2732</v>
      </c>
      <c r="C2" s="2907" t="s">
        <v>2733</v>
      </c>
      <c r="D2" s="2908" t="s">
        <v>2734</v>
      </c>
      <c r="E2" s="2908" t="s">
        <v>2735</v>
      </c>
      <c r="F2" s="2907" t="s">
        <v>2736</v>
      </c>
      <c r="G2" s="2909"/>
      <c r="H2" s="2910"/>
      <c r="I2" s="2910"/>
      <c r="J2" s="2910"/>
      <c r="K2" s="2910"/>
      <c r="L2" s="2910"/>
      <c r="N2" s="2909"/>
      <c r="O2" s="2910"/>
      <c r="P2" s="2910"/>
      <c r="Q2" s="2910"/>
      <c r="R2" s="2911"/>
      <c r="S2" s="2909"/>
      <c r="T2" s="2910"/>
      <c r="U2" s="2910"/>
      <c r="V2" s="2910"/>
      <c r="X2" s="2907" t="s">
        <v>2732</v>
      </c>
      <c r="Y2" s="2907" t="s">
        <v>2733</v>
      </c>
      <c r="Z2" s="2908" t="s">
        <v>2734</v>
      </c>
      <c r="AA2" s="2908" t="s">
        <v>2735</v>
      </c>
      <c r="AB2" s="2907" t="s">
        <v>2736</v>
      </c>
      <c r="AD2" s="2907" t="s">
        <v>2732</v>
      </c>
      <c r="AE2" s="2907" t="s">
        <v>2733</v>
      </c>
      <c r="AF2" s="2908" t="s">
        <v>2734</v>
      </c>
      <c r="AG2" s="2908" t="s">
        <v>2735</v>
      </c>
      <c r="AH2" s="2907" t="s">
        <v>2736</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2737</v>
      </c>
      <c r="B4" s="2921"/>
      <c r="C4" s="2921"/>
      <c r="D4" s="2921"/>
      <c r="E4" s="2921"/>
      <c r="F4" s="2921"/>
      <c r="G4" s="3683">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2738</v>
      </c>
      <c r="B5" s="2921"/>
      <c r="C5" s="2921"/>
      <c r="D5" s="2921"/>
      <c r="E5" s="2921"/>
      <c r="F5" s="2921"/>
      <c r="G5" s="3678"/>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2739</v>
      </c>
      <c r="B6" s="2927">
        <f>B7*(1+N6)</f>
        <v>415.21602360000003</v>
      </c>
      <c r="C6" s="2927">
        <f>C7*(1+O6)</f>
        <v>312.63083488000001</v>
      </c>
      <c r="D6" s="2927">
        <f>C6</f>
        <v>312.63083488000001</v>
      </c>
      <c r="E6" s="3238">
        <f>E7*(1+P6)</f>
        <v>589.96402416000001</v>
      </c>
      <c r="F6" s="3238">
        <f>F7*(1+Q6)</f>
        <v>273.82351752000005</v>
      </c>
      <c r="G6" s="3678"/>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2741</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2740</v>
      </c>
      <c r="B7" s="2941">
        <f>B8*(1+N7)</f>
        <v>405.524</v>
      </c>
      <c r="C7" s="2941">
        <f>C8*(1+O7)</f>
        <v>307.79840000000002</v>
      </c>
      <c r="D7" s="2941">
        <f>C7</f>
        <v>307.79840000000002</v>
      </c>
      <c r="E7" s="2941">
        <f>E8*(1+P7)</f>
        <v>574.67759999999998</v>
      </c>
      <c r="F7" s="2941">
        <f>F8*(1+Q7)</f>
        <v>270.20280000000002</v>
      </c>
      <c r="G7" s="3679"/>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83">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78"/>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78"/>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79"/>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77">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78"/>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78"/>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79"/>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77">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78"/>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78"/>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79"/>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2742</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2743</v>
      </c>
      <c r="B20" s="2933">
        <v>299</v>
      </c>
      <c r="C20" s="2933">
        <v>252</v>
      </c>
      <c r="D20" s="2933">
        <f t="shared" si="9"/>
        <v>252</v>
      </c>
      <c r="E20" s="2933">
        <v>409</v>
      </c>
      <c r="F20" s="2934">
        <v>227</v>
      </c>
      <c r="G20" s="3684">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2744</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85"/>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2745</v>
      </c>
      <c r="B22" s="2941">
        <f t="shared" si="18"/>
        <v>288.2649053828776</v>
      </c>
      <c r="C22" s="2941">
        <f t="shared" si="18"/>
        <v>243.64564425013293</v>
      </c>
      <c r="D22" s="2941">
        <f t="shared" si="9"/>
        <v>243.64564425013293</v>
      </c>
      <c r="E22" s="2941">
        <f t="shared" si="19"/>
        <v>393.31080825986544</v>
      </c>
      <c r="F22" s="2941">
        <f t="shared" si="19"/>
        <v>223.07903790551154</v>
      </c>
      <c r="G22" s="3685"/>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2746</v>
      </c>
      <c r="B23" s="2941">
        <f t="shared" si="18"/>
        <v>282.50186729015837</v>
      </c>
      <c r="C23" s="2941">
        <f t="shared" si="18"/>
        <v>238.09796174155468</v>
      </c>
      <c r="D23" s="2941">
        <f t="shared" si="9"/>
        <v>238.09796174155468</v>
      </c>
      <c r="E23" s="2941">
        <f t="shared" si="19"/>
        <v>385.33438646014054</v>
      </c>
      <c r="F23" s="2941">
        <f t="shared" si="19"/>
        <v>221.55034055567739</v>
      </c>
      <c r="G23" s="3686"/>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2747</v>
      </c>
      <c r="B24" s="2975">
        <v>278</v>
      </c>
      <c r="C24" s="2975">
        <v>234</v>
      </c>
      <c r="D24" s="2975">
        <f t="shared" si="9"/>
        <v>234</v>
      </c>
      <c r="E24" s="2975">
        <v>379</v>
      </c>
      <c r="F24" s="2976">
        <v>220</v>
      </c>
      <c r="G24" s="3677">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2748</v>
      </c>
      <c r="B25" s="2941">
        <f>B24/(1+N24)</f>
        <v>275.49301357645425</v>
      </c>
      <c r="C25" s="2941">
        <f>C24/(1+O24)</f>
        <v>232.41954707985698</v>
      </c>
      <c r="D25" s="2941">
        <f t="shared" si="9"/>
        <v>232.41954707985698</v>
      </c>
      <c r="E25" s="2941">
        <f t="shared" ref="E25:F27" si="20">E24/(1+P24)</f>
        <v>375.32184591008121</v>
      </c>
      <c r="F25" s="2941">
        <f t="shared" si="20"/>
        <v>218.03766105054513</v>
      </c>
      <c r="G25" s="3678"/>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2749</v>
      </c>
      <c r="B26" s="2941">
        <f>B25/(1+N25)</f>
        <v>275.24529281292263</v>
      </c>
      <c r="C26" s="2941">
        <f>C25/(1+O25)</f>
        <v>231.74747938962707</v>
      </c>
      <c r="D26" s="2941">
        <f t="shared" si="9"/>
        <v>231.74747938962707</v>
      </c>
      <c r="E26" s="2941">
        <f t="shared" si="20"/>
        <v>375.35938184826603</v>
      </c>
      <c r="F26" s="2941">
        <f t="shared" si="20"/>
        <v>216.78033510692495</v>
      </c>
      <c r="G26" s="3678"/>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2750</v>
      </c>
      <c r="B27" s="2941">
        <f>B26/(1+N26)</f>
        <v>275.19025476197027</v>
      </c>
      <c r="C27" s="2977">
        <v>232</v>
      </c>
      <c r="D27" s="2977">
        <f t="shared" si="9"/>
        <v>232</v>
      </c>
      <c r="E27" s="2941">
        <f t="shared" si="20"/>
        <v>375.65990977608692</v>
      </c>
      <c r="F27" s="2941">
        <f t="shared" si="20"/>
        <v>214.12518283971252</v>
      </c>
      <c r="G27" s="3679"/>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2751</v>
      </c>
      <c r="B28" s="2933">
        <v>275</v>
      </c>
      <c r="C28" s="2933">
        <v>232</v>
      </c>
      <c r="D28" s="2933">
        <f t="shared" si="9"/>
        <v>232</v>
      </c>
      <c r="E28" s="2933">
        <v>376</v>
      </c>
      <c r="F28" s="2934">
        <v>213</v>
      </c>
      <c r="G28" s="3677">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2752</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78">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2753</v>
      </c>
      <c r="B30" s="2941">
        <f t="shared" si="21"/>
        <v>275.19335084830601</v>
      </c>
      <c r="C30" s="2941">
        <f t="shared" si="21"/>
        <v>230.18088050139744</v>
      </c>
      <c r="D30" s="2941">
        <f t="shared" si="9"/>
        <v>230.18088050139744</v>
      </c>
      <c r="E30" s="2941">
        <f t="shared" si="22"/>
        <v>377.58482925212331</v>
      </c>
      <c r="F30" s="2941">
        <f t="shared" si="22"/>
        <v>210.90687997847917</v>
      </c>
      <c r="G30" s="3678">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2754</v>
      </c>
      <c r="B31" s="2941">
        <f t="shared" si="21"/>
        <v>276.29854502841971</v>
      </c>
      <c r="C31" s="2941">
        <f t="shared" si="21"/>
        <v>229.79023709833027</v>
      </c>
      <c r="D31" s="2941">
        <f t="shared" si="9"/>
        <v>229.79023709833027</v>
      </c>
      <c r="E31" s="2941">
        <f t="shared" si="22"/>
        <v>379.78759731655936</v>
      </c>
      <c r="F31" s="2941">
        <f t="shared" si="22"/>
        <v>211.32953905659235</v>
      </c>
      <c r="G31" s="3679">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2755</v>
      </c>
      <c r="B32" s="2933">
        <v>269</v>
      </c>
      <c r="C32" s="2933">
        <v>221</v>
      </c>
      <c r="D32" s="2933">
        <f t="shared" si="9"/>
        <v>221</v>
      </c>
      <c r="E32" s="2933">
        <v>373</v>
      </c>
      <c r="F32" s="2934">
        <v>196</v>
      </c>
      <c r="G32" s="3677">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2756</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78">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2757</v>
      </c>
      <c r="B34" s="2941">
        <f t="shared" si="23"/>
        <v>242.95398227588385</v>
      </c>
      <c r="C34" s="2941">
        <f t="shared" si="23"/>
        <v>199.59137053614126</v>
      </c>
      <c r="D34" s="2941">
        <f t="shared" si="9"/>
        <v>199.59137053614126</v>
      </c>
      <c r="E34" s="2941">
        <f t="shared" si="24"/>
        <v>335.92189522342125</v>
      </c>
      <c r="F34" s="2941">
        <f t="shared" si="24"/>
        <v>183.10139991109489</v>
      </c>
      <c r="G34" s="3678">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2758</v>
      </c>
      <c r="B35" s="2941">
        <f t="shared" si="23"/>
        <v>232.06990378821649</v>
      </c>
      <c r="C35" s="2941">
        <f t="shared" si="23"/>
        <v>192.74878854286936</v>
      </c>
      <c r="D35" s="2941">
        <f t="shared" si="9"/>
        <v>192.74878854286936</v>
      </c>
      <c r="E35" s="2941">
        <f t="shared" si="24"/>
        <v>319.71247284992984</v>
      </c>
      <c r="F35" s="2941">
        <f t="shared" si="24"/>
        <v>175.67053622862409</v>
      </c>
      <c r="G35" s="3679">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2759</v>
      </c>
      <c r="B36" s="2933">
        <v>220</v>
      </c>
      <c r="C36" s="2933">
        <v>187</v>
      </c>
      <c r="D36" s="2933">
        <f t="shared" si="9"/>
        <v>187</v>
      </c>
      <c r="E36" s="2933">
        <v>301</v>
      </c>
      <c r="F36" s="2934">
        <v>168</v>
      </c>
      <c r="G36" s="3677">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2760</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78">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2761</v>
      </c>
      <c r="B38" s="2941">
        <f t="shared" si="25"/>
        <v>210.630522469011</v>
      </c>
      <c r="C38" s="2941">
        <f t="shared" si="25"/>
        <v>181.69567812247232</v>
      </c>
      <c r="D38" s="2941">
        <f t="shared" si="9"/>
        <v>181.69567812247232</v>
      </c>
      <c r="E38" s="2941">
        <f t="shared" si="26"/>
        <v>286.13517466736738</v>
      </c>
      <c r="F38" s="2941">
        <f t="shared" si="26"/>
        <v>165.47535084591149</v>
      </c>
      <c r="G38" s="3678">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2762</v>
      </c>
      <c r="B39" s="2941">
        <f t="shared" si="25"/>
        <v>208.83454537875372</v>
      </c>
      <c r="C39" s="2941">
        <f t="shared" si="25"/>
        <v>183.77230517090351</v>
      </c>
      <c r="D39" s="2941">
        <f t="shared" si="9"/>
        <v>183.77230517090351</v>
      </c>
      <c r="E39" s="2941">
        <f t="shared" si="26"/>
        <v>281.10342338870947</v>
      </c>
      <c r="F39" s="2941">
        <f t="shared" si="26"/>
        <v>168.97309388942256</v>
      </c>
      <c r="G39" s="3679">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2763</v>
      </c>
      <c r="B40" s="2975">
        <v>214</v>
      </c>
      <c r="C40" s="2975">
        <v>188</v>
      </c>
      <c r="D40" s="2975">
        <f t="shared" si="9"/>
        <v>188</v>
      </c>
      <c r="E40" s="2975">
        <v>289</v>
      </c>
      <c r="F40" s="2976">
        <v>166</v>
      </c>
      <c r="G40" s="3677">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2764</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78">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2765</v>
      </c>
      <c r="B42" s="2941">
        <f t="shared" si="27"/>
        <v>206.31694671589116</v>
      </c>
      <c r="C42" s="2941">
        <f t="shared" si="27"/>
        <v>183.61041121036101</v>
      </c>
      <c r="D42" s="2941">
        <f t="shared" si="9"/>
        <v>183.61041121036101</v>
      </c>
      <c r="E42" s="2941">
        <f t="shared" si="28"/>
        <v>276.66850301795557</v>
      </c>
      <c r="F42" s="2941">
        <f t="shared" si="28"/>
        <v>165.1360938278614</v>
      </c>
      <c r="G42" s="3678">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2766</v>
      </c>
      <c r="B43" s="2978">
        <f t="shared" si="27"/>
        <v>196.62341248059772</v>
      </c>
      <c r="C43" s="2978">
        <f t="shared" si="27"/>
        <v>170.99125648199012</v>
      </c>
      <c r="D43" s="2978">
        <f t="shared" si="9"/>
        <v>170.99125648199012</v>
      </c>
      <c r="E43" s="2978">
        <f t="shared" si="28"/>
        <v>266.07857570490052</v>
      </c>
      <c r="F43" s="2978">
        <f t="shared" si="28"/>
        <v>154.53499328828505</v>
      </c>
      <c r="G43" s="3679">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2767</v>
      </c>
      <c r="B44" s="2933">
        <v>188</v>
      </c>
      <c r="C44" s="2933">
        <v>165</v>
      </c>
      <c r="D44" s="2933">
        <f t="shared" si="9"/>
        <v>165</v>
      </c>
      <c r="E44" s="2933">
        <v>254</v>
      </c>
      <c r="F44" s="2934">
        <v>148</v>
      </c>
      <c r="G44" s="3677">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2768</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78">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2769</v>
      </c>
      <c r="B46" s="2941">
        <f t="shared" si="31"/>
        <v>168.82017748715555</v>
      </c>
      <c r="C46" s="2941">
        <f t="shared" si="31"/>
        <v>148.06267029972753</v>
      </c>
      <c r="D46" s="2941">
        <f t="shared" si="9"/>
        <v>148.06267029972753</v>
      </c>
      <c r="E46" s="2941">
        <f t="shared" si="32"/>
        <v>216.46288379323747</v>
      </c>
      <c r="F46" s="2941">
        <f t="shared" si="32"/>
        <v>134.23529411764704</v>
      </c>
      <c r="G46" s="3678">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2770</v>
      </c>
      <c r="B47" s="2941">
        <f t="shared" si="31"/>
        <v>163.84913591779542</v>
      </c>
      <c r="C47" s="2941">
        <f t="shared" si="31"/>
        <v>145.0283378746594</v>
      </c>
      <c r="D47" s="2941">
        <f t="shared" si="9"/>
        <v>145.0283378746594</v>
      </c>
      <c r="E47" s="2941">
        <f t="shared" si="32"/>
        <v>204.95180722891567</v>
      </c>
      <c r="F47" s="2941">
        <f t="shared" si="32"/>
        <v>125.95920303605313</v>
      </c>
      <c r="G47" s="3679">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2771</v>
      </c>
      <c r="B48" s="2954">
        <v>159</v>
      </c>
      <c r="C48" s="2954">
        <v>141</v>
      </c>
      <c r="D48" s="2954">
        <f t="shared" si="9"/>
        <v>141</v>
      </c>
      <c r="E48" s="2954">
        <v>195</v>
      </c>
      <c r="F48" s="2955">
        <v>122</v>
      </c>
      <c r="G48" s="3677">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2772</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78">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2773</v>
      </c>
      <c r="B50" s="2941">
        <f t="shared" si="35"/>
        <v>146.57412060301507</v>
      </c>
      <c r="C50" s="2941">
        <f t="shared" si="35"/>
        <v>136.46831955922866</v>
      </c>
      <c r="D50" s="2941">
        <f t="shared" si="9"/>
        <v>136.46831955922866</v>
      </c>
      <c r="E50" s="2941">
        <f t="shared" si="36"/>
        <v>166.73864894795128</v>
      </c>
      <c r="F50" s="2941">
        <f t="shared" si="36"/>
        <v>115.05882352941177</v>
      </c>
      <c r="G50" s="3678">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2774</v>
      </c>
      <c r="B51" s="2941">
        <f t="shared" si="35"/>
        <v>144.04145728643215</v>
      </c>
      <c r="C51" s="2941">
        <f t="shared" si="35"/>
        <v>136.12396694214877</v>
      </c>
      <c r="D51" s="2941">
        <f t="shared" si="9"/>
        <v>136.12396694214877</v>
      </c>
      <c r="E51" s="2941">
        <f t="shared" si="36"/>
        <v>158.32225913621264</v>
      </c>
      <c r="F51" s="2941">
        <f t="shared" si="36"/>
        <v>114.04278074866311</v>
      </c>
      <c r="G51" s="3679">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2775</v>
      </c>
      <c r="B52" s="2954">
        <v>138</v>
      </c>
      <c r="C52" s="2954">
        <v>131</v>
      </c>
      <c r="D52" s="2954">
        <f t="shared" si="9"/>
        <v>131</v>
      </c>
      <c r="E52" s="2954">
        <v>155</v>
      </c>
      <c r="F52" s="2955">
        <v>114</v>
      </c>
      <c r="G52" s="3677">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2776</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78">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2777</v>
      </c>
      <c r="B54" s="2941">
        <f t="shared" si="39"/>
        <v>124.29032258064517</v>
      </c>
      <c r="C54" s="2941">
        <f t="shared" si="39"/>
        <v>123.8968609865471</v>
      </c>
      <c r="D54" s="2941">
        <f t="shared" si="9"/>
        <v>123.8968609865471</v>
      </c>
      <c r="E54" s="2941">
        <f t="shared" si="40"/>
        <v>138.00507614213197</v>
      </c>
      <c r="F54" s="2941">
        <f t="shared" si="40"/>
        <v>107.96106557377048</v>
      </c>
      <c r="G54" s="3678">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2778</v>
      </c>
      <c r="B55" s="2941">
        <f t="shared" si="39"/>
        <v>122.57204301075269</v>
      </c>
      <c r="C55" s="2941">
        <f t="shared" si="39"/>
        <v>123.4932735426009</v>
      </c>
      <c r="D55" s="2941">
        <f t="shared" si="9"/>
        <v>123.4932735426009</v>
      </c>
      <c r="E55" s="2941">
        <f t="shared" si="40"/>
        <v>129.82233502538071</v>
      </c>
      <c r="F55" s="2941">
        <f t="shared" si="40"/>
        <v>107.39446721311475</v>
      </c>
      <c r="G55" s="3679">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2779</v>
      </c>
      <c r="B56" s="2975">
        <v>121</v>
      </c>
      <c r="C56" s="2975">
        <v>122</v>
      </c>
      <c r="D56" s="2975">
        <f t="shared" si="9"/>
        <v>122</v>
      </c>
      <c r="E56" s="2975">
        <v>124</v>
      </c>
      <c r="F56" s="2976">
        <v>107</v>
      </c>
      <c r="G56" s="3677">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2780</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78">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2781</v>
      </c>
      <c r="B58" s="2941">
        <f t="shared" si="43"/>
        <v>116.99099099099099</v>
      </c>
      <c r="C58" s="2941">
        <f t="shared" si="43"/>
        <v>118.84848484848486</v>
      </c>
      <c r="D58" s="2941">
        <f t="shared" si="9"/>
        <v>118.84848484848486</v>
      </c>
      <c r="E58" s="2941">
        <f t="shared" si="44"/>
        <v>117.60960960960961</v>
      </c>
      <c r="F58" s="2941">
        <f t="shared" si="44"/>
        <v>104</v>
      </c>
      <c r="G58" s="3678">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2782</v>
      </c>
      <c r="B59" s="2978">
        <f t="shared" si="43"/>
        <v>112.48648648648648</v>
      </c>
      <c r="C59" s="2978">
        <f t="shared" si="43"/>
        <v>115.21212121212122</v>
      </c>
      <c r="D59" s="2978">
        <f t="shared" si="9"/>
        <v>115.21212121212122</v>
      </c>
      <c r="E59" s="2978">
        <f t="shared" si="44"/>
        <v>110.4024024024024</v>
      </c>
      <c r="F59" s="2978">
        <f t="shared" si="44"/>
        <v>104</v>
      </c>
      <c r="G59" s="3679">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2783</v>
      </c>
      <c r="B60" s="2996">
        <v>111</v>
      </c>
      <c r="C60" s="2996">
        <v>114</v>
      </c>
      <c r="D60" s="2996">
        <f t="shared" si="9"/>
        <v>114</v>
      </c>
      <c r="E60" s="2996">
        <v>108</v>
      </c>
      <c r="F60" s="2997">
        <v>104</v>
      </c>
      <c r="G60" s="3677">
        <v>2003</v>
      </c>
      <c r="H60" s="2986">
        <v>4</v>
      </c>
      <c r="I60" s="2998"/>
      <c r="J60" s="2998"/>
      <c r="K60" s="2998"/>
      <c r="L60" s="2998"/>
      <c r="N60" s="2999"/>
      <c r="O60" s="2998"/>
      <c r="P60" s="2998"/>
      <c r="Q60" s="2998"/>
      <c r="S60" s="2999"/>
      <c r="T60" s="2998"/>
      <c r="U60" s="2998"/>
      <c r="V60" s="2998"/>
      <c r="X60" s="2990"/>
      <c r="Y60" s="2990"/>
      <c r="Z60" s="2990"/>
    </row>
    <row r="61" spans="1:26">
      <c r="A61" s="2920" t="s">
        <v>2784</v>
      </c>
      <c r="B61" s="3000">
        <f t="shared" ref="B61:C63" si="45">B62+(B$60-B$64)/4</f>
        <v>109.75</v>
      </c>
      <c r="C61" s="3000">
        <f t="shared" si="45"/>
        <v>112.25</v>
      </c>
      <c r="D61" s="3000">
        <f t="shared" si="9"/>
        <v>112.25</v>
      </c>
      <c r="E61" s="3000">
        <f t="shared" ref="E61:F63" si="46">E62+(E$60-E$64)/4</f>
        <v>107.25</v>
      </c>
      <c r="F61" s="3000">
        <f t="shared" si="46"/>
        <v>103.5</v>
      </c>
      <c r="G61" s="3678">
        <v>2003</v>
      </c>
      <c r="H61" s="2951">
        <v>3</v>
      </c>
      <c r="I61" s="2998"/>
      <c r="J61" s="2998"/>
      <c r="K61" s="2998"/>
      <c r="L61" s="2998"/>
      <c r="X61" s="2990"/>
      <c r="Y61" s="2990"/>
      <c r="Z61" s="2990"/>
    </row>
    <row r="62" spans="1:26">
      <c r="A62" s="2920" t="s">
        <v>2785</v>
      </c>
      <c r="B62" s="3000">
        <f t="shared" si="45"/>
        <v>108.5</v>
      </c>
      <c r="C62" s="3000">
        <f t="shared" si="45"/>
        <v>110.5</v>
      </c>
      <c r="D62" s="3000">
        <f t="shared" si="9"/>
        <v>110.5</v>
      </c>
      <c r="E62" s="3000">
        <f t="shared" si="46"/>
        <v>106.5</v>
      </c>
      <c r="F62" s="3000">
        <f t="shared" si="46"/>
        <v>103</v>
      </c>
      <c r="G62" s="3678">
        <v>2003</v>
      </c>
      <c r="H62" s="2926">
        <v>2</v>
      </c>
      <c r="I62" s="2998"/>
      <c r="J62" s="2998"/>
      <c r="K62" s="2998"/>
      <c r="L62" s="2998"/>
      <c r="X62" s="2990"/>
      <c r="Y62" s="2990"/>
      <c r="Z62" s="2990"/>
    </row>
    <row r="63" spans="1:26" ht="13.5" thickBot="1">
      <c r="A63" s="2920" t="s">
        <v>2786</v>
      </c>
      <c r="B63" s="3000">
        <f t="shared" si="45"/>
        <v>107.25</v>
      </c>
      <c r="C63" s="3000">
        <f t="shared" si="45"/>
        <v>108.75</v>
      </c>
      <c r="D63" s="3000">
        <f t="shared" si="9"/>
        <v>108.75</v>
      </c>
      <c r="E63" s="3000">
        <f t="shared" si="46"/>
        <v>105.75</v>
      </c>
      <c r="F63" s="3000">
        <f t="shared" si="46"/>
        <v>102.5</v>
      </c>
      <c r="G63" s="3679">
        <v>2003</v>
      </c>
      <c r="H63" s="3001">
        <v>1</v>
      </c>
      <c r="I63" s="2998"/>
      <c r="J63" s="2998"/>
      <c r="K63" s="2998"/>
      <c r="L63" s="2998"/>
      <c r="S63" s="2936"/>
      <c r="T63" s="2937"/>
      <c r="U63" s="2937"/>
      <c r="X63" s="2990"/>
      <c r="Y63" s="2990"/>
      <c r="Z63" s="2990"/>
    </row>
    <row r="64" spans="1:26" ht="13.5" thickBot="1">
      <c r="A64" s="2920" t="s">
        <v>2787</v>
      </c>
      <c r="B64" s="3002">
        <v>106</v>
      </c>
      <c r="C64" s="3002">
        <v>107</v>
      </c>
      <c r="D64" s="3002">
        <f t="shared" si="9"/>
        <v>107</v>
      </c>
      <c r="E64" s="3002">
        <v>105</v>
      </c>
      <c r="F64" s="3003">
        <v>102</v>
      </c>
      <c r="G64" s="3677">
        <v>2002</v>
      </c>
      <c r="H64" s="2946">
        <v>4</v>
      </c>
      <c r="I64" s="2998"/>
      <c r="J64" s="2998"/>
      <c r="K64" s="2998"/>
      <c r="L64" s="2998"/>
      <c r="N64" s="2999"/>
      <c r="O64" s="2998"/>
      <c r="P64" s="2998"/>
      <c r="Q64" s="2998"/>
      <c r="S64" s="2999"/>
      <c r="T64" s="2998"/>
      <c r="U64" s="2998"/>
      <c r="V64" s="2998"/>
      <c r="X64" s="2990"/>
      <c r="Y64" s="2990"/>
      <c r="Z64" s="2990"/>
    </row>
    <row r="65" spans="1:26">
      <c r="A65" s="2920" t="s">
        <v>2788</v>
      </c>
      <c r="B65" s="3000">
        <f t="shared" ref="B65:C67" si="47">B66+(B$64-B$68)/4</f>
        <v>105</v>
      </c>
      <c r="C65" s="3000">
        <f t="shared" si="47"/>
        <v>106</v>
      </c>
      <c r="D65" s="3000">
        <f t="shared" si="9"/>
        <v>106</v>
      </c>
      <c r="E65" s="3000">
        <f t="shared" ref="E65:F67" si="48">E66+(E$64-E$68)/4</f>
        <v>104.5</v>
      </c>
      <c r="F65" s="3000">
        <f t="shared" si="48"/>
        <v>101.5</v>
      </c>
      <c r="G65" s="3678">
        <v>2002</v>
      </c>
      <c r="H65" s="2951">
        <v>3</v>
      </c>
      <c r="I65" s="2998"/>
      <c r="J65" s="2998"/>
      <c r="K65" s="2998"/>
      <c r="L65" s="2998"/>
      <c r="X65" s="2990"/>
      <c r="Y65" s="2990"/>
      <c r="Z65" s="2990"/>
    </row>
    <row r="66" spans="1:26">
      <c r="A66" s="2920" t="s">
        <v>2789</v>
      </c>
      <c r="B66" s="3000">
        <f t="shared" si="47"/>
        <v>104</v>
      </c>
      <c r="C66" s="3000">
        <f t="shared" si="47"/>
        <v>105</v>
      </c>
      <c r="D66" s="3000">
        <f t="shared" si="9"/>
        <v>105</v>
      </c>
      <c r="E66" s="3000">
        <f t="shared" si="48"/>
        <v>104</v>
      </c>
      <c r="F66" s="3000">
        <f t="shared" si="48"/>
        <v>101</v>
      </c>
      <c r="G66" s="3678">
        <v>2002</v>
      </c>
      <c r="H66" s="2926">
        <v>2</v>
      </c>
      <c r="I66" s="2998"/>
      <c r="J66" s="2998"/>
      <c r="K66" s="2998"/>
      <c r="L66" s="2998"/>
      <c r="X66" s="2990"/>
      <c r="Y66" s="2990"/>
      <c r="Z66" s="2990"/>
    </row>
    <row r="67" spans="1:26" s="2962" customFormat="1" ht="13.5" thickBot="1">
      <c r="A67" s="2958" t="s">
        <v>2790</v>
      </c>
      <c r="B67" s="3004">
        <f t="shared" si="47"/>
        <v>103</v>
      </c>
      <c r="C67" s="3004">
        <f t="shared" si="47"/>
        <v>104</v>
      </c>
      <c r="D67" s="3004">
        <f t="shared" si="9"/>
        <v>104</v>
      </c>
      <c r="E67" s="3004">
        <f t="shared" si="48"/>
        <v>103.5</v>
      </c>
      <c r="F67" s="3004">
        <f t="shared" si="48"/>
        <v>100.5</v>
      </c>
      <c r="G67" s="3679">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2791</v>
      </c>
      <c r="G70" s="3014"/>
      <c r="N70" s="3014"/>
      <c r="S70" s="3014"/>
    </row>
    <row r="71" spans="1:26" s="3013" customFormat="1">
      <c r="A71" s="3013" t="s">
        <v>2792</v>
      </c>
      <c r="G71" s="3014"/>
      <c r="N71" s="3014"/>
      <c r="S71" s="3014"/>
    </row>
    <row r="72" spans="1:26" s="3013" customFormat="1">
      <c r="A72" s="3013" t="s">
        <v>2793</v>
      </c>
      <c r="G72" s="3014"/>
      <c r="I72" s="3015"/>
      <c r="J72" s="3015"/>
      <c r="K72" s="3015"/>
      <c r="L72" s="3015"/>
      <c r="N72" s="3016"/>
      <c r="O72" s="3015"/>
      <c r="P72" s="3015"/>
      <c r="Q72" s="3015"/>
      <c r="S72" s="3016"/>
      <c r="T72" s="3015"/>
      <c r="U72" s="3015"/>
      <c r="V72" s="3015"/>
    </row>
    <row r="73" spans="1:26" s="3013" customFormat="1">
      <c r="A73" s="3013" t="s">
        <v>2794</v>
      </c>
      <c r="G73" s="3014"/>
      <c r="N73" s="3014"/>
      <c r="S73" s="3014"/>
    </row>
    <row r="80" spans="1:26" ht="13.5" thickBot="1"/>
    <row r="81" spans="14:22" s="2935" customFormat="1">
      <c r="N81" s="2950"/>
      <c r="S81" s="3017" t="s">
        <v>2795</v>
      </c>
      <c r="T81" s="3018" t="s">
        <v>2796</v>
      </c>
      <c r="U81" s="3018" t="s">
        <v>2797</v>
      </c>
      <c r="V81" s="3018" t="s">
        <v>2798</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690" t="s">
        <v>2397</v>
      </c>
      <c r="D1" s="3691"/>
      <c r="E1" s="3691"/>
      <c r="F1" s="3691"/>
      <c r="G1" s="3691"/>
      <c r="H1" s="3691"/>
      <c r="I1" s="3691"/>
      <c r="J1" s="3691"/>
      <c r="K1" s="3691"/>
      <c r="L1" s="3691"/>
      <c r="M1" s="3691"/>
      <c r="N1" s="3691"/>
      <c r="O1" s="3691"/>
      <c r="P1" s="3691"/>
      <c r="Q1" s="3691"/>
      <c r="R1" s="3691"/>
      <c r="S1" s="3692"/>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3048</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3047</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3046</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3045</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3044</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3043</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87" t="s">
        <v>169</v>
      </c>
      <c r="D22" s="3688"/>
      <c r="E22" s="3688"/>
      <c r="F22" s="3688"/>
      <c r="G22" s="3688"/>
      <c r="H22" s="3688"/>
      <c r="I22" s="3688"/>
      <c r="J22" s="3688"/>
      <c r="K22" s="3688"/>
      <c r="L22" s="3688"/>
      <c r="M22" s="3688"/>
      <c r="N22" s="3688"/>
      <c r="O22" s="3688"/>
      <c r="P22" s="3688"/>
      <c r="Q22" s="3689"/>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t="e">
        <f ca="1">C52</f>
        <v>#DIV/0!</v>
      </c>
      <c r="C2" s="85" t="s">
        <v>872</v>
      </c>
      <c r="D2" s="575"/>
      <c r="E2" s="575"/>
      <c r="F2" s="575"/>
      <c r="G2" s="575"/>
    </row>
    <row r="3" spans="1:7" s="576" customFormat="1" ht="18" customHeight="1" thickBot="1">
      <c r="A3" s="579" t="s">
        <v>824</v>
      </c>
      <c r="B3" s="580" t="e">
        <f ca="1">ROUND(B2*10000/'数据-汇总表'!E3,0)</f>
        <v>#DIV/0!</v>
      </c>
      <c r="C3" s="85" t="s">
        <v>873</v>
      </c>
      <c r="D3" s="575"/>
      <c r="E3" s="575"/>
      <c r="F3" s="575"/>
      <c r="G3" s="575"/>
    </row>
    <row r="4" spans="1:7" s="584" customFormat="1" ht="15.75">
      <c r="A4" s="581" t="s">
        <v>825</v>
      </c>
      <c r="B4" s="582"/>
      <c r="C4" s="582"/>
      <c r="D4" s="582"/>
      <c r="E4" s="582"/>
      <c r="F4" s="582"/>
      <c r="G4" s="583"/>
    </row>
    <row r="5" spans="1:7" s="590" customFormat="1" ht="13.5" customHeight="1">
      <c r="A5" s="631" t="s">
        <v>2519</v>
      </c>
      <c r="B5" s="586" t="s">
        <v>826</v>
      </c>
      <c r="C5" s="587">
        <f>C6+C7+C8</f>
        <v>20000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0</v>
      </c>
      <c r="D7" s="596"/>
      <c r="E7" s="594"/>
      <c r="F7" s="597">
        <f>'数据-取费表'!B48+'数据-取费表'!B49</f>
        <v>0</v>
      </c>
      <c r="G7" s="595"/>
    </row>
    <row r="8" spans="1:7" s="599" customFormat="1">
      <c r="A8" s="1805" t="s">
        <v>1930</v>
      </c>
      <c r="B8" s="591" t="s">
        <v>831</v>
      </c>
      <c r="C8" s="596" t="str">
        <f>IF(G8="已包含在土地购买价格中","0",'数据-取费表'!B29)</f>
        <v>0</v>
      </c>
      <c r="D8" s="598"/>
      <c r="E8" s="596"/>
      <c r="F8" s="597"/>
      <c r="G8" s="84" t="s">
        <v>2697</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0</v>
      </c>
      <c r="D10" s="1910">
        <f>'数据-汇总表'!E6</f>
        <v>0</v>
      </c>
      <c r="E10" s="601">
        <f>'数据-取费表'!B28</f>
        <v>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IF(G19="已包含在土地取得成本中","0",ROUND(D19*E19/10000,0))</f>
        <v>0</v>
      </c>
      <c r="D19" s="1914">
        <f>'数据-汇总表'!E3</f>
        <v>0</v>
      </c>
      <c r="E19" s="587">
        <f>'数据-取费表'!B31</f>
        <v>0</v>
      </c>
      <c r="F19" s="607"/>
      <c r="G19" s="84" t="s">
        <v>2542</v>
      </c>
    </row>
    <row r="20" spans="1:7" s="590" customFormat="1" ht="13.5" customHeight="1">
      <c r="A20" s="1804" t="s">
        <v>2522</v>
      </c>
      <c r="B20" s="586" t="s">
        <v>843</v>
      </c>
      <c r="C20" s="608">
        <f>ROUND((C5+C19)*F20,0)</f>
        <v>0</v>
      </c>
      <c r="D20" s="608"/>
      <c r="E20" s="608"/>
      <c r="F20" s="609">
        <f>'数据-取费表'!B37</f>
        <v>0</v>
      </c>
      <c r="G20" s="2622" t="s">
        <v>2533</v>
      </c>
    </row>
    <row r="21" spans="1:7" s="590" customFormat="1" ht="13.5" customHeight="1">
      <c r="A21" s="1804" t="s">
        <v>2524</v>
      </c>
      <c r="B21" s="586" t="s">
        <v>844</v>
      </c>
      <c r="C21" s="611">
        <f>F21</f>
        <v>0</v>
      </c>
      <c r="D21" s="612" t="s">
        <v>865</v>
      </c>
      <c r="E21" s="608"/>
      <c r="F21" s="609">
        <f>'数据-取费表'!B38</f>
        <v>0</v>
      </c>
      <c r="G21" s="610" t="s">
        <v>845</v>
      </c>
    </row>
    <row r="22" spans="1:7" s="590" customFormat="1" ht="13.5" customHeight="1">
      <c r="A22" s="1804" t="s">
        <v>1923</v>
      </c>
      <c r="B22" s="586" t="s">
        <v>846</v>
      </c>
      <c r="C22" s="2701">
        <f ca="1">ROUND(SUM(C23:C25),0)</f>
        <v>0</v>
      </c>
      <c r="D22" s="611">
        <f ca="1">C26</f>
        <v>0</v>
      </c>
      <c r="E22" s="612" t="s">
        <v>865</v>
      </c>
      <c r="F22" s="613">
        <f ca="1">'数据-取费表'!B40</f>
        <v>0</v>
      </c>
      <c r="G22" s="2622" t="str">
        <f>IF('数据-取费表'!B22&lt;=1,"单利计息","复利计息")</f>
        <v>单利计息</v>
      </c>
    </row>
    <row r="23" spans="1:7" s="590" customFormat="1" ht="13.5" customHeight="1">
      <c r="A23" s="1807" t="s">
        <v>1931</v>
      </c>
      <c r="B23" s="591" t="s">
        <v>2526</v>
      </c>
      <c r="C23" s="2702">
        <f ca="1">ROUND(IF('数据-取费表'!B22&lt;=1,C5*F22*'数据-取费表'!B23,C5*(POWER((1+F22),'数据-取费表'!B23)-1)),0)</f>
        <v>0</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2523</v>
      </c>
      <c r="C25" s="2702">
        <f ca="1">ROUND(IF('数据-取费表'!B22&lt;=1,C20*F22*'数据-取费表'!B23/2,C20*(POWER((1+F22),'数据-取费表'!B23/2)-1)),0)</f>
        <v>0</v>
      </c>
      <c r="D25" s="614"/>
      <c r="E25" s="617"/>
      <c r="F25" s="615"/>
      <c r="G25" s="618" t="s">
        <v>849</v>
      </c>
    </row>
    <row r="26" spans="1:7" s="590" customFormat="1">
      <c r="A26" s="1807" t="s">
        <v>1932</v>
      </c>
      <c r="B26" s="591" t="s">
        <v>2525</v>
      </c>
      <c r="C26" s="614">
        <f ca="1">ROUND(IF('数据-取费表'!B22&lt;=1,F21*F22*'数据-取费表'!B23/2,F21*(POWER((1+F22),'数据-取费表'!B23/2)-1)),4)</f>
        <v>0</v>
      </c>
      <c r="D26" s="614"/>
      <c r="E26" s="617"/>
      <c r="F26" s="615"/>
      <c r="G26" s="619"/>
    </row>
    <row r="27" spans="1:7" s="590" customFormat="1" ht="24.75">
      <c r="A27" s="1804" t="s">
        <v>1924</v>
      </c>
      <c r="B27" s="620" t="s">
        <v>851</v>
      </c>
      <c r="C27" s="621" t="e">
        <f>C28</f>
        <v>#DIV/0!</v>
      </c>
      <c r="D27" s="611" t="e">
        <f>C29</f>
        <v>#DIV/0!</v>
      </c>
      <c r="E27" s="612" t="s">
        <v>865</v>
      </c>
      <c r="F27" s="622" t="e">
        <f>'数据-取费表'!Q16</f>
        <v>#DIV/0!</v>
      </c>
      <c r="G27" s="623" t="s">
        <v>2534</v>
      </c>
    </row>
    <row r="28" spans="1:7" s="590" customFormat="1" ht="13.5" customHeight="1">
      <c r="A28" s="1807" t="s">
        <v>1931</v>
      </c>
      <c r="B28" s="624" t="s">
        <v>2527</v>
      </c>
      <c r="C28" s="625" t="e">
        <f>ROUND((C5+C19+C20)*F27*'数据-取费表'!B21/'数据-取费表'!B20,0)</f>
        <v>#DIV/0!</v>
      </c>
      <c r="D28" s="611"/>
      <c r="E28" s="612"/>
      <c r="F28" s="622"/>
      <c r="G28" s="623"/>
    </row>
    <row r="29" spans="1:7" s="590" customFormat="1" ht="13.5" customHeight="1">
      <c r="A29" s="1807" t="s">
        <v>1929</v>
      </c>
      <c r="B29" s="624" t="s">
        <v>2528</v>
      </c>
      <c r="C29" s="614" t="e">
        <f>ROUND(C21*F27*'数据-取费表'!B21/'数据-取费表'!B20,4)</f>
        <v>#DIV/0!</v>
      </c>
      <c r="D29" s="611"/>
      <c r="E29" s="612"/>
      <c r="F29" s="622"/>
      <c r="G29" s="623"/>
    </row>
    <row r="30" spans="1:7" s="590" customFormat="1" ht="13.5" customHeight="1">
      <c r="A30" s="1804" t="s">
        <v>1925</v>
      </c>
      <c r="B30" s="586" t="s">
        <v>349</v>
      </c>
      <c r="C30" s="611">
        <f>F30</f>
        <v>0.05</v>
      </c>
      <c r="D30" s="612" t="s">
        <v>866</v>
      </c>
      <c r="E30" s="617"/>
      <c r="F30" s="613">
        <f>'数据-取费表'!B41</f>
        <v>0.05</v>
      </c>
      <c r="G30" s="610" t="s">
        <v>852</v>
      </c>
    </row>
    <row r="31" spans="1:7" ht="16.5" customHeight="1">
      <c r="A31" s="585">
        <v>1</v>
      </c>
      <c r="B31" s="586" t="s">
        <v>867</v>
      </c>
      <c r="C31" s="587" t="e">
        <f ca="1">ROUND((C5+C19+C20+C22+C27)/(1-C21-D22-D27-C30/(1+'数据-取费表'!B42)),0)</f>
        <v>#DIV/0!</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SUM(C34:C38)</f>
        <v>0</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0</v>
      </c>
      <c r="D34" s="593"/>
      <c r="E34" s="596"/>
      <c r="F34" s="633">
        <f>IF('数据-取费表'!B24=0,1,'数据-取费表'!N16)</f>
        <v>1</v>
      </c>
      <c r="G34" s="595" t="s">
        <v>855</v>
      </c>
    </row>
    <row r="35" spans="1:7" ht="13.5" customHeight="1">
      <c r="A35" s="1807" t="s">
        <v>1933</v>
      </c>
      <c r="B35" s="591" t="s">
        <v>351</v>
      </c>
      <c r="C35" s="596">
        <f>ROUND(C34*F35,0)</f>
        <v>0</v>
      </c>
      <c r="D35" s="596"/>
      <c r="E35" s="596"/>
      <c r="F35" s="635">
        <f>'数据-取费表'!B33</f>
        <v>0</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0</v>
      </c>
      <c r="D37" s="593">
        <f>'数据-汇总表'!E3</f>
        <v>0</v>
      </c>
      <c r="E37" s="625">
        <f>'数据-取费表'!B35</f>
        <v>0</v>
      </c>
      <c r="F37" s="635"/>
      <c r="G37" s="637" t="s">
        <v>858</v>
      </c>
    </row>
    <row r="38" spans="1:7" ht="13.5" customHeight="1">
      <c r="A38" s="1807" t="s">
        <v>1936</v>
      </c>
      <c r="B38" s="591" t="s">
        <v>354</v>
      </c>
      <c r="C38" s="596">
        <f>ROUND(C34*F38,0)</f>
        <v>0</v>
      </c>
      <c r="D38" s="596"/>
      <c r="E38" s="596"/>
      <c r="F38" s="635">
        <f>'数据-取费表'!B36</f>
        <v>0</v>
      </c>
      <c r="G38" s="595" t="s">
        <v>856</v>
      </c>
    </row>
    <row r="39" spans="1:7" s="590" customFormat="1" ht="13.5" customHeight="1">
      <c r="A39" s="1804" t="s">
        <v>1920</v>
      </c>
      <c r="B39" s="586" t="s">
        <v>843</v>
      </c>
      <c r="C39" s="608">
        <f>ROUND(C33*F20,0)</f>
        <v>0</v>
      </c>
      <c r="D39" s="608"/>
      <c r="E39" s="608"/>
      <c r="F39" s="609"/>
      <c r="G39" s="2622" t="s">
        <v>2536</v>
      </c>
    </row>
    <row r="40" spans="1:7" s="590" customFormat="1" ht="13.5" customHeight="1">
      <c r="A40" s="1804" t="s">
        <v>1921</v>
      </c>
      <c r="B40" s="586" t="s">
        <v>844</v>
      </c>
      <c r="C40" s="638">
        <f>F21</f>
        <v>0</v>
      </c>
      <c r="D40" s="612" t="s">
        <v>868</v>
      </c>
      <c r="E40" s="608"/>
      <c r="F40" s="609"/>
      <c r="G40" s="610" t="s">
        <v>859</v>
      </c>
    </row>
    <row r="41" spans="1:7" s="590" customFormat="1" ht="13.5" customHeight="1">
      <c r="A41" s="1804" t="s">
        <v>1922</v>
      </c>
      <c r="B41" s="586" t="s">
        <v>846</v>
      </c>
      <c r="C41" s="608">
        <f ca="1">ROUND(SUM(C42:C43),0)</f>
        <v>0</v>
      </c>
      <c r="D41" s="611">
        <f ca="1">C44</f>
        <v>0</v>
      </c>
      <c r="E41" s="612" t="s">
        <v>868</v>
      </c>
      <c r="F41" s="613"/>
      <c r="G41" s="2622" t="str">
        <f>IF('数据-取费表'!B22&lt;=1,"单利计息","复利计息")</f>
        <v>单利计息</v>
      </c>
    </row>
    <row r="42" spans="1:7" ht="13.5" customHeight="1">
      <c r="A42" s="1807" t="s">
        <v>1931</v>
      </c>
      <c r="B42" s="591" t="s">
        <v>2526</v>
      </c>
      <c r="C42" s="614">
        <f ca="1">ROUND(IF('数据-取费表'!B22&lt;=1,C33*F22*'数据-取费表'!B21/2,C33*(POWER((1+F22),'数据-取费表'!B21/2)-1)),0)</f>
        <v>0</v>
      </c>
      <c r="D42" s="614"/>
      <c r="E42" s="614"/>
      <c r="F42" s="615"/>
      <c r="G42" s="3514" t="s">
        <v>860</v>
      </c>
    </row>
    <row r="43" spans="1:7" ht="13.5" customHeight="1">
      <c r="A43" s="1807" t="s">
        <v>1929</v>
      </c>
      <c r="B43" s="591" t="s">
        <v>2529</v>
      </c>
      <c r="C43" s="614">
        <f ca="1">ROUND(IF('数据-取费表'!B22&lt;=1,C39*F22*'数据-取费表'!B21/2,C39*(POWER((1+F22),'数据-取费表'!B21/2)-1)),0)</f>
        <v>0</v>
      </c>
      <c r="D43" s="614"/>
      <c r="E43" s="614"/>
      <c r="F43" s="615"/>
      <c r="G43" s="3515"/>
    </row>
    <row r="44" spans="1:7" ht="13.5" customHeight="1">
      <c r="A44" s="1807" t="s">
        <v>1930</v>
      </c>
      <c r="B44" s="591" t="s">
        <v>2531</v>
      </c>
      <c r="C44" s="614">
        <f ca="1">ROUND(IF('数据-取费表'!B22&lt;=1,C40*F22*'数据-取费表'!B21/2,C40*(POWER((1+F22),'数据-取费表'!B21/2)-1)),4)</f>
        <v>0</v>
      </c>
      <c r="D44" s="614"/>
      <c r="E44" s="614"/>
      <c r="F44" s="615"/>
      <c r="G44" s="3516"/>
    </row>
    <row r="45" spans="1:7" s="590" customFormat="1" ht="13.5" customHeight="1">
      <c r="A45" s="1804" t="s">
        <v>1923</v>
      </c>
      <c r="B45" s="620" t="s">
        <v>851</v>
      </c>
      <c r="C45" s="621" t="e">
        <f>C46</f>
        <v>#DIV/0!</v>
      </c>
      <c r="D45" s="611" t="e">
        <f>C47</f>
        <v>#DIV/0!</v>
      </c>
      <c r="E45" s="612" t="s">
        <v>868</v>
      </c>
      <c r="F45" s="622"/>
      <c r="G45" s="623" t="s">
        <v>2537</v>
      </c>
    </row>
    <row r="46" spans="1:7" s="590" customFormat="1" ht="13.5" customHeight="1">
      <c r="A46" s="1807" t="s">
        <v>1931</v>
      </c>
      <c r="B46" s="624" t="s">
        <v>2530</v>
      </c>
      <c r="C46" s="625" t="e">
        <f>ROUND((C33+C39)*F27,0)</f>
        <v>#DIV/0!</v>
      </c>
      <c r="D46" s="639"/>
      <c r="E46" s="612"/>
      <c r="F46" s="622"/>
      <c r="G46" s="623"/>
    </row>
    <row r="47" spans="1:7" s="590" customFormat="1" ht="13.5" customHeight="1">
      <c r="A47" s="1807" t="s">
        <v>1929</v>
      </c>
      <c r="B47" s="624" t="s">
        <v>2532</v>
      </c>
      <c r="C47" s="614" t="e">
        <f>ROUND(C40*F27,4)</f>
        <v>#DIV/0!</v>
      </c>
      <c r="D47" s="639"/>
      <c r="E47" s="612"/>
      <c r="F47" s="622"/>
      <c r="G47" s="623"/>
    </row>
    <row r="48" spans="1:7" s="590" customFormat="1" ht="13.5" customHeight="1">
      <c r="A48" s="1804" t="s">
        <v>1924</v>
      </c>
      <c r="B48" s="586" t="s">
        <v>861</v>
      </c>
      <c r="C48" s="638">
        <f>F30</f>
        <v>0.05</v>
      </c>
      <c r="D48" s="612" t="s">
        <v>869</v>
      </c>
      <c r="E48" s="608"/>
      <c r="F48" s="613"/>
      <c r="G48" s="610" t="s">
        <v>862</v>
      </c>
    </row>
    <row r="49" spans="1:7" ht="16.5" customHeight="1">
      <c r="A49" s="1804" t="s">
        <v>1925</v>
      </c>
      <c r="B49" s="586" t="s">
        <v>870</v>
      </c>
      <c r="C49" s="608" t="e">
        <f ca="1">ROUND((C33+C39+C41+C45)/(1-C40-D41-D45-C48/(1+'数据-取费表'!B42)),0)</f>
        <v>#DIV/0!</v>
      </c>
      <c r="D49" s="608"/>
      <c r="E49" s="608"/>
      <c r="F49" s="640"/>
      <c r="G49" s="610" t="s">
        <v>2538</v>
      </c>
    </row>
    <row r="50" spans="1:7" s="634" customFormat="1" ht="24">
      <c r="A50" s="1804" t="s">
        <v>1926</v>
      </c>
      <c r="B50" s="586" t="s">
        <v>863</v>
      </c>
      <c r="C50" s="608"/>
      <c r="D50" s="608"/>
      <c r="E50" s="608"/>
      <c r="F50" s="640" t="e">
        <f>IF('数据-取费表'!B24=0,'数据-取费表'!N16,1)</f>
        <v>#DIV/0!</v>
      </c>
      <c r="G50" s="623" t="s">
        <v>864</v>
      </c>
    </row>
    <row r="51" spans="1:7" ht="16.5" customHeight="1">
      <c r="A51" s="1804" t="s">
        <v>1927</v>
      </c>
      <c r="B51" s="586" t="s">
        <v>871</v>
      </c>
      <c r="C51" s="608" t="e">
        <f ca="1">ROUND(C49*F50,0)</f>
        <v>#DIV/0!</v>
      </c>
      <c r="D51" s="608"/>
      <c r="E51" s="608"/>
      <c r="F51" s="640"/>
      <c r="G51" s="610" t="s">
        <v>355</v>
      </c>
    </row>
    <row r="52" spans="1:7" s="584" customFormat="1" ht="16.5" thickBot="1">
      <c r="A52" s="641" t="s">
        <v>356</v>
      </c>
      <c r="B52" s="642"/>
      <c r="C52" s="643" t="e">
        <f ca="1">C31+C51</f>
        <v>#DIV/0!</v>
      </c>
      <c r="D52" s="642"/>
      <c r="E52" s="642"/>
      <c r="F52" s="642"/>
      <c r="G52" s="644"/>
    </row>
    <row r="55" spans="1:7" ht="15">
      <c r="B55" s="646" t="s">
        <v>357</v>
      </c>
      <c r="C55" s="647"/>
    </row>
    <row r="56" spans="1:7">
      <c r="B56" s="649" t="s">
        <v>358</v>
      </c>
      <c r="C56" s="650" t="e">
        <f ca="1">ROUND(C51/C52,3)</f>
        <v>#DIV/0!</v>
      </c>
    </row>
    <row r="57" spans="1:7">
      <c r="B57" s="649" t="s">
        <v>359</v>
      </c>
      <c r="C57" s="651" t="e">
        <f ca="1">1-C56</f>
        <v>#DIV/0!</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2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29"/>
      <c r="C2" s="3329"/>
      <c r="D2" s="3329"/>
      <c r="E2" s="3329"/>
    </row>
    <row r="3" spans="1:5" ht="18.75">
      <c r="A3" s="3330" t="s">
        <v>2040</v>
      </c>
      <c r="B3" s="3330"/>
      <c r="C3" s="3330"/>
      <c r="D3" s="3330"/>
      <c r="E3" s="3330"/>
    </row>
    <row r="4" spans="1:5" ht="19.5" thickBot="1">
      <c r="A4" s="1977"/>
      <c r="B4" s="3328" t="s">
        <v>2045</v>
      </c>
      <c r="C4" s="3328"/>
      <c r="D4" s="3328"/>
      <c r="E4" s="1977"/>
    </row>
    <row r="5" spans="1:5" ht="16.5" thickTop="1">
      <c r="A5" s="1965"/>
      <c r="B5" s="3326" t="s">
        <v>2041</v>
      </c>
      <c r="C5" s="1967" t="s">
        <v>2046</v>
      </c>
      <c r="D5" s="1968" t="e">
        <f ca="1">结果表!H101</f>
        <v>#REF!</v>
      </c>
      <c r="E5" s="1965"/>
    </row>
    <row r="6" spans="1:5" ht="15.75">
      <c r="A6" s="1965"/>
      <c r="B6" s="3326"/>
      <c r="C6" s="1967" t="s">
        <v>2889</v>
      </c>
      <c r="D6" s="1968" t="e">
        <f ca="1">NUMBERSTRING(INT(D5*10000),2)&amp;"元整"</f>
        <v>#REF!</v>
      </c>
      <c r="E6" s="1965"/>
    </row>
    <row r="7" spans="1:5" ht="15.75">
      <c r="A7" s="1965"/>
      <c r="B7" s="3331"/>
      <c r="C7" s="1969" t="s">
        <v>2047</v>
      </c>
      <c r="D7" s="1970" t="e">
        <f ca="1">结果表!H102</f>
        <v>#REF!</v>
      </c>
      <c r="E7" s="1965"/>
    </row>
    <row r="8" spans="1:5" ht="15.75">
      <c r="A8" s="1965"/>
      <c r="B8" s="3332" t="str">
        <f>结果表!E103</f>
        <v>2.估价师知悉的法定优先受偿款</v>
      </c>
      <c r="C8" s="1971" t="s">
        <v>2048</v>
      </c>
      <c r="D8" s="1970">
        <f>结果表!H103</f>
        <v>0</v>
      </c>
      <c r="E8" s="1965"/>
    </row>
    <row r="9" spans="1:5" ht="15.75">
      <c r="A9" s="1965"/>
      <c r="B9" s="3334"/>
      <c r="C9" s="1967" t="s">
        <v>2889</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25" t="str">
        <f>结果表!E107</f>
        <v>3.房地产抵押价值</v>
      </c>
      <c r="C13" s="1975" t="s">
        <v>2046</v>
      </c>
      <c r="D13" s="1978" t="e">
        <f ca="1">结果表!H107</f>
        <v>#REF!</v>
      </c>
      <c r="E13" s="1965"/>
    </row>
    <row r="14" spans="1:5" ht="15.75">
      <c r="A14" s="1965"/>
      <c r="B14" s="3326"/>
      <c r="C14" s="1967" t="s">
        <v>2889</v>
      </c>
      <c r="D14" s="1968" t="e">
        <f ca="1">NUMBERSTRING(INT(D13*10000),2)&amp;"元整"</f>
        <v>#REF!</v>
      </c>
      <c r="E14" s="1965"/>
    </row>
    <row r="15" spans="1:5" ht="15">
      <c r="A15" s="1965"/>
      <c r="B15" s="3331"/>
      <c r="C15" s="1969" t="s">
        <v>2047</v>
      </c>
      <c r="D15" s="2080" t="e">
        <f ca="1">结果表!H108</f>
        <v>#REF!</v>
      </c>
      <c r="E15" s="1965"/>
    </row>
    <row r="16" spans="1:5" ht="14.25">
      <c r="A16" s="1965"/>
      <c r="B16" s="3332" t="str">
        <f>结果表!E109</f>
        <v>——</v>
      </c>
      <c r="C16" s="1975" t="s">
        <v>2046</v>
      </c>
      <c r="D16" s="2081" t="str">
        <f>结果表!H109</f>
        <v>——</v>
      </c>
      <c r="E16" s="1965"/>
    </row>
    <row r="17" spans="1:5" ht="15.75">
      <c r="A17" s="1965"/>
      <c r="B17" s="3333"/>
      <c r="C17" s="1967" t="s">
        <v>2889</v>
      </c>
      <c r="D17" s="1968" t="e">
        <f>NUMBERSTRING(INT(D16*10000),2)&amp;"元整"</f>
        <v>#VALUE!</v>
      </c>
      <c r="E17" s="1965"/>
    </row>
    <row r="18" spans="1:5" ht="15">
      <c r="A18" s="1965"/>
      <c r="B18" s="3334"/>
      <c r="C18" s="1969" t="s">
        <v>2047</v>
      </c>
      <c r="D18" s="2080" t="str">
        <f>结果表!H110</f>
        <v>——</v>
      </c>
      <c r="E18" s="1965"/>
    </row>
    <row r="19" spans="1:5" ht="15.75">
      <c r="A19" s="1965"/>
      <c r="B19" s="3325" t="str">
        <f>结果表!E111</f>
        <v>——</v>
      </c>
      <c r="C19" s="1975" t="s">
        <v>2046</v>
      </c>
      <c r="D19" s="1970" t="str">
        <f>结果表!H111</f>
        <v>——</v>
      </c>
      <c r="E19" s="1965"/>
    </row>
    <row r="20" spans="1:5" ht="15.75">
      <c r="A20" s="1965"/>
      <c r="B20" s="3326"/>
      <c r="C20" s="1967" t="s">
        <v>2889</v>
      </c>
      <c r="D20" s="1968" t="e">
        <f>NUMBERSTRING(INT(D19*10000),2)&amp;"元整"</f>
        <v>#VALUE!</v>
      </c>
      <c r="E20" s="1965"/>
    </row>
    <row r="21" spans="1:5" ht="15.75" thickBot="1">
      <c r="A21" s="1965"/>
      <c r="B21" s="3327"/>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693" t="s">
        <v>1177</v>
      </c>
      <c r="B1" s="3693"/>
      <c r="C1" s="3693"/>
      <c r="D1" s="3693"/>
      <c r="E1" s="3693"/>
      <c r="F1" s="3693"/>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694" t="s">
        <v>1190</v>
      </c>
      <c r="B2" s="3694"/>
      <c r="C2" s="3694"/>
      <c r="D2" s="3694"/>
      <c r="E2" s="3694"/>
      <c r="F2" s="3694"/>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695"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696"/>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2511</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2511</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693" t="s">
        <v>2146</v>
      </c>
      <c r="B1" s="3693"/>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2921</v>
      </c>
      <c r="C1" s="3203">
        <f>项目基本情况!D3</f>
        <v>0</v>
      </c>
      <c r="D1" s="3209" t="s">
        <v>2922</v>
      </c>
      <c r="E1" s="3204">
        <f>'数据-取费表'!B22</f>
        <v>0</v>
      </c>
      <c r="F1" s="3209" t="s">
        <v>2923</v>
      </c>
      <c r="G1" s="3205">
        <f ca="1">INDIRECT("d"&amp;$K$1)/100</f>
        <v>0</v>
      </c>
      <c r="H1" s="3209" t="s">
        <v>2953</v>
      </c>
      <c r="I1" s="3205">
        <f ca="1">F4/100</f>
        <v>0</v>
      </c>
      <c r="J1" s="3210">
        <f>IF(C1&gt;C13,0,MATCH(C1,C$13:C$100,-1))+IF(SUMIF(C13:C100,C1,D13:D100)=0,13,12)</f>
        <v>58</v>
      </c>
      <c r="K1" s="3210">
        <f ca="1">MATCH(E1,C3:C7,1)+IF(SUMIF(C3:C7,E1,D3:D7)=0,2,1)</f>
        <v>3</v>
      </c>
      <c r="L1" s="3210">
        <f>IF(C1&gt;M13,0,MATCH(C1,M$13:M$100,-1))+IF(SUMIF(M13:M100,C1,N13:N100)=0,13,12)</f>
        <v>52</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2924</v>
      </c>
      <c r="E2" s="3145"/>
      <c r="F2" s="3145" t="s">
        <v>2925</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2926</v>
      </c>
      <c r="C3" s="3149">
        <v>0</v>
      </c>
      <c r="D3" s="3150">
        <f ca="1">INDIRECT("d"&amp;$J$1)</f>
        <v>0</v>
      </c>
      <c r="E3" s="3151">
        <v>0.5</v>
      </c>
      <c r="F3" s="3152">
        <f ca="1">INDIRECT("p"&amp;$L$1)</f>
        <v>0</v>
      </c>
      <c r="G3" s="3147"/>
      <c r="H3" s="3147"/>
      <c r="I3" s="3147"/>
      <c r="J3" s="3147"/>
      <c r="L3" s="3147"/>
      <c r="M3" s="3147"/>
      <c r="N3" s="3147"/>
      <c r="O3" s="3147"/>
      <c r="P3" s="3147"/>
      <c r="Q3" s="3147"/>
      <c r="R3" s="3147"/>
      <c r="S3" s="3147"/>
      <c r="T3" s="3147"/>
      <c r="U3" s="3147"/>
      <c r="V3" s="3147"/>
      <c r="W3" s="3147"/>
      <c r="X3" s="3147"/>
      <c r="Y3" s="3147"/>
      <c r="Z3" s="3147"/>
    </row>
    <row r="4" spans="1:257">
      <c r="B4" s="3154" t="s">
        <v>2927</v>
      </c>
      <c r="C4" s="3155">
        <v>0.5</v>
      </c>
      <c r="D4" s="3156">
        <f ca="1">INDIRECT("e"&amp;$J$1)</f>
        <v>0</v>
      </c>
      <c r="E4" s="3157">
        <v>1</v>
      </c>
      <c r="F4" s="3158">
        <f ca="1">INDIRECT("q"&amp;$L$1)</f>
        <v>0</v>
      </c>
      <c r="G4" s="3147"/>
      <c r="H4" s="3147"/>
      <c r="I4" s="3147"/>
      <c r="J4" s="3147"/>
      <c r="L4" s="3147"/>
      <c r="M4" s="3147"/>
      <c r="N4" s="3147"/>
      <c r="O4" s="3147"/>
      <c r="P4" s="3147"/>
      <c r="Q4" s="3147"/>
      <c r="R4" s="3147"/>
      <c r="S4" s="3147"/>
      <c r="T4" s="3147"/>
      <c r="U4" s="3147"/>
      <c r="V4" s="3147"/>
      <c r="W4" s="3147"/>
      <c r="X4" s="3147"/>
      <c r="Y4" s="3147"/>
      <c r="Z4" s="3147"/>
    </row>
    <row r="5" spans="1:257">
      <c r="B5" s="3154" t="s">
        <v>2928</v>
      </c>
      <c r="C5" s="3155">
        <v>1</v>
      </c>
      <c r="D5" s="3156">
        <f ca="1">INDIRECT("f"&amp;$J$1)</f>
        <v>0</v>
      </c>
      <c r="E5" s="3157">
        <v>2</v>
      </c>
      <c r="F5" s="3158">
        <f ca="1">INDIRECT("r"&amp;$L$1)</f>
        <v>0</v>
      </c>
      <c r="G5" s="3147"/>
      <c r="H5" s="3147"/>
      <c r="I5" s="3147"/>
      <c r="J5" s="3147"/>
      <c r="L5" s="3147"/>
      <c r="M5" s="3147"/>
      <c r="N5" s="3147"/>
      <c r="O5" s="3147"/>
      <c r="P5" s="3147"/>
      <c r="Q5" s="3147"/>
      <c r="R5" s="3147"/>
      <c r="S5" s="3147"/>
      <c r="T5" s="3147"/>
      <c r="U5" s="3147"/>
      <c r="V5" s="3147"/>
      <c r="W5" s="3147"/>
      <c r="X5" s="3147"/>
      <c r="Y5" s="3147"/>
      <c r="Z5" s="3147"/>
    </row>
    <row r="6" spans="1:257">
      <c r="B6" s="3154" t="s">
        <v>2929</v>
      </c>
      <c r="C6" s="3155">
        <v>3</v>
      </c>
      <c r="D6" s="3156">
        <f ca="1">INDIRECT("g"&amp;$J$1)</f>
        <v>0</v>
      </c>
      <c r="E6" s="3157">
        <v>3</v>
      </c>
      <c r="F6" s="3158">
        <f ca="1">INDIRECT("s"&amp;$L$1)</f>
        <v>0</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2930</v>
      </c>
      <c r="C7" s="3160">
        <v>5</v>
      </c>
      <c r="D7" s="3161">
        <f ca="1">INDIRECT("h"&amp;$J$1)</f>
        <v>0</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2931</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2932</v>
      </c>
      <c r="C10" s="3173"/>
      <c r="D10" s="3173"/>
      <c r="E10" s="3173"/>
      <c r="F10" s="3173"/>
      <c r="G10" s="3173"/>
      <c r="H10" s="3173"/>
      <c r="I10" s="3147"/>
      <c r="J10" s="3147"/>
      <c r="K10" s="3173"/>
      <c r="L10" s="3174" t="s">
        <v>2933</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2934</v>
      </c>
      <c r="C11" s="3178" t="s">
        <v>2935</v>
      </c>
      <c r="D11" s="3179" t="s">
        <v>2936</v>
      </c>
      <c r="E11" s="3180"/>
      <c r="F11" s="3179" t="s">
        <v>2937</v>
      </c>
      <c r="G11" s="3181"/>
      <c r="H11" s="3180"/>
      <c r="I11" s="3179" t="s">
        <v>2938</v>
      </c>
      <c r="J11" s="3180"/>
      <c r="K11" s="3176"/>
      <c r="L11" s="3177" t="s">
        <v>2934</v>
      </c>
      <c r="M11" s="3178" t="s">
        <v>2935</v>
      </c>
      <c r="N11" s="3177" t="s">
        <v>2939</v>
      </c>
      <c r="O11" s="3179" t="s">
        <v>2940</v>
      </c>
      <c r="P11" s="3181"/>
      <c r="Q11" s="3181"/>
      <c r="R11" s="3181"/>
      <c r="S11" s="3181"/>
      <c r="T11" s="3180"/>
      <c r="U11" s="3179" t="s">
        <v>2941</v>
      </c>
      <c r="V11" s="3181"/>
      <c r="W11" s="3180"/>
      <c r="X11" s="3177" t="s">
        <v>2942</v>
      </c>
      <c r="Y11" s="3177" t="s">
        <v>2943</v>
      </c>
      <c r="Z11" s="3177" t="s">
        <v>2944</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2945</v>
      </c>
      <c r="E12" s="3186" t="s">
        <v>2946</v>
      </c>
      <c r="F12" s="3186" t="s">
        <v>2947</v>
      </c>
      <c r="G12" s="3186" t="s">
        <v>2948</v>
      </c>
      <c r="H12" s="3186" t="s">
        <v>2930</v>
      </c>
      <c r="I12" s="3187" t="s">
        <v>2949</v>
      </c>
      <c r="J12" s="3187" t="s">
        <v>2949</v>
      </c>
      <c r="K12" s="3183"/>
      <c r="L12" s="3184"/>
      <c r="M12" s="3185"/>
      <c r="N12" s="3184"/>
      <c r="O12" s="3187" t="s">
        <v>2950</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2951</v>
      </c>
      <c r="C13" s="3191">
        <v>42301</v>
      </c>
      <c r="D13" s="3192">
        <v>4.3499999999999996</v>
      </c>
      <c r="E13" s="3192">
        <v>4.3499999999999996</v>
      </c>
      <c r="F13" s="3192">
        <v>4.75</v>
      </c>
      <c r="G13" s="3192">
        <v>4.75</v>
      </c>
      <c r="H13" s="3192">
        <v>4.9000000000000004</v>
      </c>
      <c r="I13" s="3192">
        <v>2.75</v>
      </c>
      <c r="J13" s="3192">
        <v>3.25</v>
      </c>
      <c r="K13" s="3189"/>
      <c r="L13" s="3190" t="s">
        <v>2951</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2952</v>
      </c>
      <c r="Y42" s="3196" t="s">
        <v>2952</v>
      </c>
      <c r="Z42" s="3196" t="s">
        <v>2952</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2952</v>
      </c>
      <c r="Y43" s="3196" t="s">
        <v>2952</v>
      </c>
      <c r="Z43" s="3196" t="s">
        <v>2952</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2952</v>
      </c>
      <c r="Y44" s="3196" t="s">
        <v>2952</v>
      </c>
      <c r="Z44" s="3196" t="s">
        <v>2952</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2952</v>
      </c>
      <c r="Y45" s="3196" t="s">
        <v>2952</v>
      </c>
      <c r="Z45" s="3196" t="s">
        <v>2952</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2952</v>
      </c>
      <c r="Y46" s="3196" t="s">
        <v>2952</v>
      </c>
      <c r="Z46" s="3196" t="s">
        <v>2952</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2952</v>
      </c>
      <c r="Y47" s="3196" t="s">
        <v>2952</v>
      </c>
      <c r="Z47" s="3196" t="s">
        <v>2952</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2952</v>
      </c>
      <c r="Y48" s="3196" t="s">
        <v>2952</v>
      </c>
      <c r="Z48" s="3196" t="s">
        <v>2952</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2952</v>
      </c>
      <c r="Y49" s="3196" t="s">
        <v>2952</v>
      </c>
      <c r="Z49" s="3196" t="s">
        <v>2952</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2952</v>
      </c>
      <c r="Y50" s="3196" t="s">
        <v>2952</v>
      </c>
      <c r="Z50" s="3196" t="s">
        <v>2952</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2952</v>
      </c>
      <c r="V51" s="3196" t="s">
        <v>2952</v>
      </c>
      <c r="W51" s="3196" t="s">
        <v>2952</v>
      </c>
      <c r="X51" s="3196" t="s">
        <v>2952</v>
      </c>
      <c r="Y51" s="3196" t="s">
        <v>2952</v>
      </c>
      <c r="Z51" s="3196" t="s">
        <v>2952</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2952</v>
      </c>
      <c r="J55" s="3196" t="s">
        <v>2952</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5" t="s">
        <v>2049</v>
      </c>
      <c r="B1" s="3345"/>
      <c r="C1" s="3345"/>
      <c r="D1" s="3345"/>
      <c r="E1" s="3345"/>
      <c r="F1" s="3345"/>
      <c r="G1" s="3345"/>
      <c r="H1" s="3345"/>
      <c r="I1" s="3345"/>
    </row>
    <row r="2" spans="1:9" ht="30" customHeight="1" thickTop="1">
      <c r="A2" s="3346" t="s">
        <v>2890</v>
      </c>
      <c r="B2" s="3346" t="s">
        <v>2050</v>
      </c>
      <c r="C2" s="3346" t="s">
        <v>2051</v>
      </c>
      <c r="D2" s="3346" t="str">
        <f>结果表!D116</f>
        <v>出让国有建设用地使用权价值</v>
      </c>
      <c r="E2" s="3346"/>
      <c r="F2" s="3346" t="str">
        <f>结果表!F116</f>
        <v>在建建筑物价值</v>
      </c>
      <c r="G2" s="3346"/>
      <c r="H2" s="3346" t="s">
        <v>6</v>
      </c>
      <c r="I2" s="3346"/>
    </row>
    <row r="3" spans="1:9" ht="14.25">
      <c r="A3" s="3340"/>
      <c r="B3" s="3340"/>
      <c r="C3" s="3340"/>
      <c r="D3" s="1915" t="s">
        <v>7</v>
      </c>
      <c r="E3" s="1915" t="s">
        <v>2052</v>
      </c>
      <c r="F3" s="1915" t="s">
        <v>7</v>
      </c>
      <c r="G3" s="1915" t="s">
        <v>8</v>
      </c>
      <c r="H3" s="1915" t="s">
        <v>7</v>
      </c>
      <c r="I3" s="1915" t="s">
        <v>8</v>
      </c>
    </row>
    <row r="4" spans="1:9" ht="15">
      <c r="A4" s="1985" t="str">
        <f>项目基本情况!S2</f>
        <v>房地产</v>
      </c>
      <c r="B4" s="1979">
        <f>项目基本情况!C17</f>
        <v>0</v>
      </c>
      <c r="C4" s="1979" t="e">
        <f>项目基本情况!C18</f>
        <v>#DIV/0!</v>
      </c>
      <c r="D4" s="1979" t="e">
        <f ca="1">结果表!D118</f>
        <v>#REF!</v>
      </c>
      <c r="E4" s="1979" t="e">
        <f ca="1">结果表!E118</f>
        <v>#REF!</v>
      </c>
      <c r="F4" s="1979" t="e">
        <f ca="1">结果表!F118</f>
        <v>#REF!</v>
      </c>
      <c r="G4" s="1979" t="e">
        <f ca="1">结果表!G118</f>
        <v>#REF!</v>
      </c>
      <c r="H4" s="1979" t="e">
        <f ca="1">结果表!H118</f>
        <v>#REF!</v>
      </c>
      <c r="I4" s="1979" t="e">
        <f ca="1">结果表!I118</f>
        <v>#REF!</v>
      </c>
    </row>
    <row r="5" spans="1:9" ht="30" customHeight="1">
      <c r="A5" s="3340" t="s">
        <v>9</v>
      </c>
      <c r="B5" s="3340"/>
      <c r="C5" s="3340"/>
      <c r="D5" s="3341" t="e">
        <f ca="1">结果表!D119</f>
        <v>#REF!</v>
      </c>
      <c r="E5" s="3341"/>
      <c r="F5" s="3341" t="e">
        <f ca="1">结果表!F119</f>
        <v>#REF!</v>
      </c>
      <c r="G5" s="3341"/>
      <c r="H5" s="3341" t="e">
        <f ca="1">结果表!H119</f>
        <v>#REF!</v>
      </c>
      <c r="I5" s="3341"/>
    </row>
    <row r="6" spans="1:9" ht="15.75">
      <c r="A6" s="3338" t="str">
        <f>结果表!A120</f>
        <v>估价师知悉的法定优先受偿款</v>
      </c>
      <c r="B6" s="3338"/>
      <c r="C6" s="3338"/>
      <c r="D6" s="3339">
        <f>结果表!D120</f>
        <v>0</v>
      </c>
      <c r="E6" s="3339"/>
      <c r="F6" s="3339"/>
      <c r="G6" s="3339"/>
      <c r="H6" s="3339"/>
      <c r="I6" s="3339"/>
    </row>
    <row r="7" spans="1:9" ht="14.25">
      <c r="A7" s="3340" t="s">
        <v>9</v>
      </c>
      <c r="B7" s="3340"/>
      <c r="C7" s="3340"/>
      <c r="D7" s="3342" t="str">
        <f>结果表!D121</f>
        <v>零元整</v>
      </c>
      <c r="E7" s="3343"/>
      <c r="F7" s="3343"/>
      <c r="G7" s="3343"/>
      <c r="H7" s="3343"/>
      <c r="I7" s="3344"/>
    </row>
    <row r="8" spans="1:9" ht="15.75">
      <c r="A8" s="3338" t="str">
        <f>结果表!A122</f>
        <v>房地产抵押价值</v>
      </c>
      <c r="B8" s="3338"/>
      <c r="C8" s="3338"/>
      <c r="D8" s="3339" t="e">
        <f ca="1">结果表!D122</f>
        <v>#REF!</v>
      </c>
      <c r="E8" s="3339"/>
      <c r="F8" s="3339"/>
      <c r="G8" s="3339"/>
      <c r="H8" s="3339"/>
      <c r="I8" s="3339"/>
    </row>
    <row r="9" spans="1:9" ht="14.25">
      <c r="A9" s="3340" t="s">
        <v>9</v>
      </c>
      <c r="B9" s="3340"/>
      <c r="C9" s="3340"/>
      <c r="D9" s="3341" t="e">
        <f ca="1">结果表!D123</f>
        <v>#REF!</v>
      </c>
      <c r="E9" s="3341"/>
      <c r="F9" s="3341"/>
      <c r="G9" s="3341"/>
      <c r="H9" s="3341"/>
      <c r="I9" s="3341"/>
    </row>
    <row r="10" spans="1:9" ht="15.75">
      <c r="A10" s="3338" t="str">
        <f>结果表!A124</f>
        <v/>
      </c>
      <c r="B10" s="3338"/>
      <c r="C10" s="3338"/>
      <c r="D10" s="3339" t="str">
        <f>结果表!D124</f>
        <v>——</v>
      </c>
      <c r="E10" s="3339"/>
      <c r="F10" s="3339"/>
      <c r="G10" s="3339"/>
      <c r="H10" s="3339"/>
      <c r="I10" s="3339"/>
    </row>
    <row r="11" spans="1:9" ht="14.25">
      <c r="A11" s="3340" t="s">
        <v>9</v>
      </c>
      <c r="B11" s="3340"/>
      <c r="C11" s="3340"/>
      <c r="D11" s="3341" t="e">
        <f>结果表!D125</f>
        <v>#VALUE!</v>
      </c>
      <c r="E11" s="3341"/>
      <c r="F11" s="3341"/>
      <c r="G11" s="3341"/>
      <c r="H11" s="3341"/>
      <c r="I11" s="3341"/>
    </row>
    <row r="12" spans="1:9" ht="15.75">
      <c r="A12" s="3338" t="str">
        <f>结果表!A126</f>
        <v/>
      </c>
      <c r="B12" s="3338"/>
      <c r="C12" s="3338"/>
      <c r="D12" s="3339" t="str">
        <f>结果表!D126</f>
        <v>——</v>
      </c>
      <c r="E12" s="3339"/>
      <c r="F12" s="3339"/>
      <c r="G12" s="3339"/>
      <c r="H12" s="3339"/>
      <c r="I12" s="3339"/>
    </row>
    <row r="13" spans="1:9" ht="15" thickBot="1">
      <c r="A13" s="3335" t="s">
        <v>9</v>
      </c>
      <c r="B13" s="3335"/>
      <c r="C13" s="3335"/>
      <c r="D13" s="3336" t="e">
        <f>结果表!D127</f>
        <v>#VALUE!</v>
      </c>
      <c r="E13" s="3336"/>
      <c r="F13" s="3336"/>
      <c r="G13" s="3336"/>
      <c r="H13" s="3336"/>
      <c r="I13" s="3336"/>
    </row>
    <row r="14" spans="1:9" ht="14.25" thickTop="1">
      <c r="A14" s="3337" t="s">
        <v>2053</v>
      </c>
      <c r="B14" s="3337"/>
      <c r="C14" s="3337"/>
      <c r="D14" s="3337"/>
      <c r="E14" s="3337"/>
      <c r="F14" s="3337"/>
      <c r="G14" s="3337"/>
      <c r="H14" s="3337"/>
      <c r="I14" s="3337"/>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3" t="s">
        <v>2866</v>
      </c>
      <c r="B1" s="3353"/>
      <c r="C1" s="3353"/>
      <c r="D1" s="3353"/>
    </row>
    <row r="2" spans="1:4" ht="18.75">
      <c r="A2" s="3354" t="s">
        <v>2124</v>
      </c>
      <c r="B2" s="3354"/>
      <c r="C2" s="3354"/>
      <c r="D2" s="3354"/>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54" t="s">
        <v>2627</v>
      </c>
      <c r="B6" s="3354"/>
      <c r="C6" s="3354"/>
      <c r="D6" s="3354"/>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55" t="s">
        <v>2720</v>
      </c>
      <c r="B11" s="3347"/>
      <c r="C11" s="3347"/>
      <c r="D11" s="3347"/>
    </row>
    <row r="12" spans="1:4" ht="14.25">
      <c r="A12" s="3347" t="str">
        <f>IF(项目基本情况!B8="抵押","2.本《评估意见函》仅供金融机构进行内部审核使用，不做其他目的之用。","")</f>
        <v/>
      </c>
      <c r="B12" s="3352"/>
      <c r="C12" s="3352"/>
      <c r="D12" s="3352"/>
    </row>
    <row r="13" spans="1:4" ht="30" customHeight="1">
      <c r="A13" s="3347" t="str">
        <f>IF(项目基本情况!B8="抵押","3.抵押双方在办理抵押登记手续时，应使用本公司出具的正式《房地产评估报告》，特提醒报告使用者注意。","")</f>
        <v/>
      </c>
      <c r="B13" s="3352"/>
      <c r="C13" s="3352"/>
      <c r="D13" s="3352"/>
    </row>
    <row r="14" spans="1:4" ht="15.75" customHeight="1">
      <c r="A14" s="3347" t="str">
        <f>IF(项目基本情况!B8="抵押","4.本次评估估价师所知悉的法定优先受偿款情况说明如下：","")</f>
        <v/>
      </c>
      <c r="B14" s="3352"/>
      <c r="C14" s="3352"/>
      <c r="D14" s="3352"/>
    </row>
    <row r="15" spans="1:4" ht="42" customHeight="1">
      <c r="A15" s="3347" t="str">
        <f>IF(项目基本情况!B8="抵押","（1）"&amp;CONCATENATE(项目基本情况!L20,项目基本情况!L21,项目基本情况!L22),"")</f>
        <v/>
      </c>
      <c r="B15" s="3347"/>
      <c r="C15" s="3347"/>
      <c r="D15" s="3347"/>
    </row>
    <row r="16" spans="1:4" ht="30" customHeight="1">
      <c r="A16" s="3349" t="s">
        <v>2136</v>
      </c>
      <c r="B16" s="3349"/>
      <c r="C16" s="3349"/>
      <c r="D16" s="3349"/>
    </row>
    <row r="17" spans="1:4" ht="144" customHeight="1">
      <c r="A17" s="3349" t="s">
        <v>2137</v>
      </c>
      <c r="B17" s="3349"/>
      <c r="C17" s="3349"/>
      <c r="D17" s="3349"/>
    </row>
    <row r="18" spans="1:4" ht="15.75" customHeight="1">
      <c r="A18" s="3347" t="str">
        <f>IF(项目基本情况!B8="抵押",结果表!K120,"")</f>
        <v/>
      </c>
      <c r="B18" s="3347"/>
      <c r="C18" s="3347"/>
      <c r="D18" s="3347"/>
    </row>
    <row r="19" spans="1:4" ht="46.5" customHeight="1">
      <c r="A19" s="334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47"/>
      <c r="C19" s="3347"/>
      <c r="D19" s="3347"/>
    </row>
    <row r="20" spans="1:4" ht="57.75" customHeight="1">
      <c r="A20" s="334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7"/>
      <c r="C20" s="3347"/>
      <c r="D20" s="3347"/>
    </row>
    <row r="21" spans="1:4" ht="57.75" customHeight="1">
      <c r="A21" s="335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0"/>
      <c r="C21" s="3350"/>
      <c r="D21" s="3350"/>
    </row>
    <row r="22" spans="1:4" ht="18.75" customHeight="1">
      <c r="A22" s="3351" t="s">
        <v>2888</v>
      </c>
      <c r="B22" s="3351"/>
      <c r="C22" s="3351"/>
      <c r="D22" s="3351"/>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48">
        <v>42551</v>
      </c>
      <c r="D31" s="334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61" t="s">
        <v>558</v>
      </c>
      <c r="B15" s="3356" t="s">
        <v>1142</v>
      </c>
      <c r="C15" s="3357"/>
    </row>
    <row r="16" spans="1:7" ht="13.5">
      <c r="A16" s="3362"/>
      <c r="B16" s="3356" t="s">
        <v>531</v>
      </c>
      <c r="C16" s="3357"/>
    </row>
    <row r="17" spans="1:3" ht="13.5">
      <c r="A17" s="3362"/>
      <c r="B17" s="3359" t="s">
        <v>559</v>
      </c>
      <c r="C17" s="1150" t="s">
        <v>558</v>
      </c>
    </row>
    <row r="18" spans="1:3" ht="13.5">
      <c r="A18" s="3362"/>
      <c r="B18" s="3359"/>
      <c r="C18" s="1150" t="s">
        <v>560</v>
      </c>
    </row>
    <row r="19" spans="1:3" ht="13.5">
      <c r="A19" s="3362"/>
      <c r="B19" s="3359"/>
      <c r="C19" s="1150" t="s">
        <v>561</v>
      </c>
    </row>
    <row r="20" spans="1:3" ht="13.5">
      <c r="A20" s="3363"/>
      <c r="B20" s="3358" t="s">
        <v>562</v>
      </c>
      <c r="C20" s="3357"/>
    </row>
    <row r="21" spans="1:3" ht="13.5">
      <c r="A21" s="1151" t="s">
        <v>563</v>
      </c>
      <c r="B21" s="1152"/>
      <c r="C21" s="1153"/>
    </row>
    <row r="22" spans="1:3" ht="13.5">
      <c r="A22" s="3360" t="s">
        <v>564</v>
      </c>
      <c r="B22" s="3358" t="s">
        <v>565</v>
      </c>
      <c r="C22" s="3357"/>
    </row>
    <row r="23" spans="1:3" ht="13.5">
      <c r="A23" s="3360"/>
      <c r="B23" s="3358" t="s">
        <v>566</v>
      </c>
      <c r="C23" s="3357"/>
    </row>
    <row r="24" spans="1:3" ht="13.5">
      <c r="A24" s="3360"/>
      <c r="B24" s="3358" t="s">
        <v>567</v>
      </c>
      <c r="C24" s="3357"/>
    </row>
    <row r="25" spans="1:3" ht="13.5">
      <c r="A25" s="3360"/>
      <c r="B25" s="3359" t="s">
        <v>568</v>
      </c>
      <c r="C25" s="1150" t="s">
        <v>569</v>
      </c>
    </row>
    <row r="26" spans="1:3" ht="13.5">
      <c r="A26" s="3360"/>
      <c r="B26" s="3359"/>
      <c r="C26" s="1150" t="s">
        <v>570</v>
      </c>
    </row>
    <row r="27" spans="1:3" ht="13.5">
      <c r="A27" s="3360"/>
      <c r="B27" s="3359"/>
      <c r="C27" s="1150" t="s">
        <v>571</v>
      </c>
    </row>
    <row r="28" spans="1:3" ht="13.5">
      <c r="A28" s="3360"/>
      <c r="B28" s="3359"/>
      <c r="C28" s="1150" t="s">
        <v>572</v>
      </c>
    </row>
    <row r="29" spans="1:3" ht="13.5">
      <c r="A29" s="3360"/>
      <c r="B29" s="3359"/>
      <c r="C29" s="1150" t="s">
        <v>573</v>
      </c>
    </row>
    <row r="30" spans="1:3" ht="13.5">
      <c r="A30" s="3360"/>
      <c r="B30" s="3359"/>
      <c r="C30" s="1150" t="s">
        <v>574</v>
      </c>
    </row>
    <row r="31" spans="1:3" ht="13.5">
      <c r="A31" s="3360"/>
      <c r="B31" s="3359"/>
      <c r="C31" s="1150" t="s">
        <v>575</v>
      </c>
    </row>
    <row r="32" spans="1:3" ht="13.5">
      <c r="A32" s="3360"/>
      <c r="B32" s="3359"/>
      <c r="C32" s="1150" t="s">
        <v>576</v>
      </c>
    </row>
    <row r="33" spans="1:3" ht="13.5">
      <c r="A33" s="3360"/>
      <c r="B33" s="3359"/>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42915</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f ca="1">IF(C7&lt;B2,"已过期",1120050019)</f>
        <v>1120050019</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f ca="1">IF(C10&lt;B2,"已过期",1120060040)</f>
        <v>1120060040</v>
      </c>
      <c r="C10" s="3212">
        <v>43483</v>
      </c>
      <c r="D10" s="3211" t="s">
        <v>1989</v>
      </c>
      <c r="E10" s="1898">
        <f ca="1">IF(F10&lt;B2,"已过期",2004110096)</f>
        <v>2004110096</v>
      </c>
      <c r="F10" s="1907">
        <v>47118</v>
      </c>
    </row>
    <row r="11" spans="1:6" ht="24" customHeight="1">
      <c r="A11" s="3211" t="s">
        <v>1990</v>
      </c>
      <c r="B11" s="1898">
        <f ca="1">IF(C11&lt;B2,"已过期",1120100036)</f>
        <v>1120100036</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f ca="1">IF(C13&lt;B2,"已过期",1120070131)</f>
        <v>1120070131</v>
      </c>
      <c r="C13" s="3212">
        <v>43814</v>
      </c>
      <c r="D13" s="3211" t="s">
        <v>1991</v>
      </c>
      <c r="E13" s="1898">
        <v>2014110011</v>
      </c>
      <c r="F13" s="1907">
        <v>49302</v>
      </c>
    </row>
    <row r="14" spans="1:6" ht="24" customHeight="1">
      <c r="A14" s="3211" t="s">
        <v>1992</v>
      </c>
      <c r="B14" s="1898">
        <f ca="1">IF(C14&lt;B2,"已过期",1120130020)</f>
        <v>1120130020</v>
      </c>
      <c r="C14" s="3212">
        <v>43622</v>
      </c>
      <c r="D14" s="3211"/>
      <c r="E14" s="1898"/>
      <c r="F14" s="1898"/>
    </row>
    <row r="15" spans="1:6" ht="24" customHeight="1">
      <c r="A15" s="3213" t="s">
        <v>2718</v>
      </c>
      <c r="B15" s="1898">
        <v>1120070085</v>
      </c>
      <c r="C15" s="3212">
        <v>43814</v>
      </c>
      <c r="D15" s="3213" t="s">
        <v>2718</v>
      </c>
      <c r="E15" s="1898">
        <v>2004110128</v>
      </c>
      <c r="F15" s="1899">
        <v>47118</v>
      </c>
    </row>
    <row r="16" spans="1:6" ht="24" customHeight="1">
      <c r="A16" s="3211" t="s">
        <v>1993</v>
      </c>
      <c r="B16" s="1898">
        <f ca="1">IF(C16&lt;B2,"已过期",1120140022)</f>
        <v>1120140022</v>
      </c>
      <c r="C16" s="3212">
        <v>42987</v>
      </c>
      <c r="D16" s="3211" t="s">
        <v>1993</v>
      </c>
      <c r="E16" s="1898">
        <f ca="1">IF(F16&lt;B2,"已过期",2008110059)</f>
        <v>2008110059</v>
      </c>
      <c r="F16" s="1907">
        <v>47177</v>
      </c>
    </row>
    <row r="17" spans="1:7" ht="24" customHeight="1">
      <c r="A17" s="3211" t="s">
        <v>1994</v>
      </c>
      <c r="B17" s="1898">
        <f ca="1">IF(C17&lt;B2,"已过期",1120140020)</f>
        <v>1120140020</v>
      </c>
      <c r="C17" s="3212">
        <v>42987</v>
      </c>
      <c r="D17" s="3211"/>
      <c r="E17" s="1898"/>
      <c r="F17" s="1907"/>
    </row>
    <row r="18" spans="1:7" ht="24" customHeight="1">
      <c r="A18" s="3211" t="s">
        <v>1995</v>
      </c>
      <c r="B18" s="1898">
        <f ca="1">IF(C18&lt;B2,"已过期",1120140024)</f>
        <v>1120140024</v>
      </c>
      <c r="C18" s="3212">
        <v>42987</v>
      </c>
      <c r="D18" s="3211" t="s">
        <v>1995</v>
      </c>
      <c r="E18" s="1898">
        <f ca="1">IF(F18&lt;B2,"已过期",2011110048)</f>
        <v>2011110048</v>
      </c>
      <c r="F18" s="1907">
        <v>48302</v>
      </c>
    </row>
    <row r="19" spans="1:7" ht="24" customHeight="1">
      <c r="A19" s="3211" t="s">
        <v>1996</v>
      </c>
      <c r="B19" s="1898">
        <f ca="1">IF(C19&lt;B2,"已过期",1120140019)</f>
        <v>1120140019</v>
      </c>
      <c r="C19" s="3212">
        <v>42987</v>
      </c>
      <c r="D19" s="3211"/>
      <c r="E19" s="1898"/>
      <c r="F19" s="1898"/>
    </row>
    <row r="20" spans="1:7" ht="24" customHeight="1">
      <c r="A20" s="3211" t="s">
        <v>1997</v>
      </c>
      <c r="B20" s="1898">
        <f ca="1">IF(C20&lt;B2,"已过期",1120140023)</f>
        <v>1120140023</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f ca="1">IF(C22&lt;B2,"已过期",1120020033)</f>
        <v>1120020033</v>
      </c>
      <c r="C22" s="3212">
        <v>43304</v>
      </c>
      <c r="D22" s="3211" t="s">
        <v>1999</v>
      </c>
      <c r="E22" s="1898">
        <f ca="1">IF(F22&lt;B2,"已过期",2000110137)</f>
        <v>2000110137</v>
      </c>
      <c r="F22" s="1907">
        <v>46387</v>
      </c>
    </row>
    <row r="23" spans="1:7" ht="24" customHeight="1">
      <c r="A23" s="3211" t="s">
        <v>2000</v>
      </c>
      <c r="B23" s="1898">
        <f ca="1">IF(C23&lt;B2,"已过期",1120130048)</f>
        <v>1120130048</v>
      </c>
      <c r="C23" s="3212">
        <v>43686</v>
      </c>
      <c r="D23" s="3211"/>
      <c r="E23" s="1898"/>
      <c r="F23" s="1898"/>
    </row>
    <row r="24" spans="1:7" s="1900" customFormat="1" ht="24" customHeight="1">
      <c r="A24" s="3213" t="s">
        <v>2954</v>
      </c>
      <c r="B24" s="3213" t="s">
        <v>2954</v>
      </c>
      <c r="C24" s="3213" t="s">
        <v>2954</v>
      </c>
      <c r="D24" s="3213" t="s">
        <v>2954</v>
      </c>
      <c r="E24" s="3213" t="s">
        <v>2954</v>
      </c>
      <c r="F24" s="3213" t="s">
        <v>2954</v>
      </c>
    </row>
    <row r="25" spans="1:7" ht="24" customHeight="1">
      <c r="A25" s="3364" t="s">
        <v>2001</v>
      </c>
      <c r="B25" s="3364"/>
      <c r="C25" s="3364"/>
      <c r="D25" s="3364"/>
      <c r="E25" s="3364"/>
      <c r="F25" s="3364"/>
      <c r="G25" s="3364"/>
    </row>
    <row r="26" spans="1:7" s="1902" customFormat="1" ht="24" customHeight="1">
      <c r="A26" s="3365" t="s">
        <v>2002</v>
      </c>
      <c r="B26" s="3365"/>
      <c r="C26" s="3365"/>
      <c r="D26" s="1901"/>
      <c r="E26" s="3365" t="s">
        <v>2003</v>
      </c>
      <c r="F26" s="3365"/>
      <c r="G26" s="3365"/>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2017-06-29T08:21:16Z</dcterms:modified>
</cp:coreProperties>
</file>