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35" windowWidth="9630" windowHeight="10455" tabRatio="885" firstSheet="11"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4" r:id="rId38"/>
  </sheets>
  <externalReferences>
    <externalReference r:id="rId39"/>
    <externalReference r:id="rId40"/>
    <externalReference r:id="rId41"/>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V23" i="31" l="1"/>
  <c r="I6" i="11" l="1"/>
  <c r="E5" i="1" l="1"/>
  <c r="D97" i="64"/>
  <c r="C12" i="4" s="1"/>
  <c r="B29" i="31" l="1"/>
  <c r="B30" i="31"/>
  <c r="B31" i="31"/>
  <c r="B32" i="31"/>
  <c r="B33" i="31"/>
  <c r="B34" i="31"/>
  <c r="B35" i="31"/>
  <c r="B36" i="31"/>
  <c r="B28" i="31"/>
  <c r="A28" i="31"/>
  <c r="A29" i="31"/>
  <c r="A30" i="31"/>
  <c r="A31" i="31"/>
  <c r="A32" i="31"/>
  <c r="A33" i="31"/>
  <c r="A34" i="31"/>
  <c r="A35" i="31"/>
  <c r="A36" i="31"/>
  <c r="A27" i="31"/>
  <c r="C87" i="64"/>
  <c r="D87" i="64"/>
  <c r="C88" i="64"/>
  <c r="D88" i="64"/>
  <c r="C89" i="64"/>
  <c r="D89" i="64"/>
  <c r="C90" i="64"/>
  <c r="D90" i="64"/>
  <c r="C91" i="64"/>
  <c r="D91" i="64"/>
  <c r="C92" i="64"/>
  <c r="D92" i="64"/>
  <c r="C93" i="64"/>
  <c r="D93" i="64"/>
  <c r="C94" i="64"/>
  <c r="D94" i="64"/>
  <c r="C95" i="64"/>
  <c r="D95" i="64"/>
  <c r="C96" i="64"/>
  <c r="D96" i="64"/>
  <c r="B93" i="64"/>
  <c r="B94" i="64"/>
  <c r="B95" i="64"/>
  <c r="B96" i="64"/>
  <c r="B92" i="64"/>
  <c r="B91" i="64"/>
  <c r="B88" i="64"/>
  <c r="B89" i="64"/>
  <c r="B90" i="64"/>
  <c r="B87" i="64"/>
  <c r="B16" i="1" l="1"/>
  <c r="E13" i="1" l="1"/>
  <c r="AB31" i="31" l="1"/>
  <c r="D68" i="64"/>
  <c r="D62" i="64"/>
  <c r="E62" i="64"/>
  <c r="F62" i="64"/>
  <c r="D63" i="64"/>
  <c r="E63" i="64"/>
  <c r="F63" i="64"/>
  <c r="D64" i="64"/>
  <c r="E64" i="64"/>
  <c r="F64" i="64"/>
  <c r="D65" i="64"/>
  <c r="E65" i="64"/>
  <c r="F65" i="64"/>
  <c r="D66" i="64"/>
  <c r="E66" i="64"/>
  <c r="F66" i="64"/>
  <c r="C62" i="64"/>
  <c r="C63" i="64"/>
  <c r="C64" i="64"/>
  <c r="C65" i="64"/>
  <c r="C66" i="64"/>
  <c r="B66" i="64"/>
  <c r="B65" i="64"/>
  <c r="B64" i="64"/>
  <c r="B63" i="64"/>
  <c r="B62" i="64"/>
  <c r="D53" i="64" l="1"/>
  <c r="D39" i="64"/>
  <c r="D40" i="64"/>
  <c r="D41" i="64"/>
  <c r="D42" i="64"/>
  <c r="D43" i="64"/>
  <c r="D44" i="64"/>
  <c r="D45" i="64"/>
  <c r="D46" i="64"/>
  <c r="D47" i="64"/>
  <c r="D48" i="64"/>
  <c r="D49" i="64"/>
  <c r="D50" i="64"/>
  <c r="D51" i="64"/>
  <c r="D52" i="64"/>
  <c r="D38" i="64"/>
  <c r="G34" i="64" l="1"/>
  <c r="E20" i="1" l="1"/>
  <c r="N30" i="31" l="1"/>
  <c r="N31" i="31"/>
  <c r="N27" i="31"/>
  <c r="D26" i="64" l="1"/>
  <c r="E26" i="64"/>
  <c r="I26" i="64"/>
  <c r="B18" i="1" l="1"/>
  <c r="B17" i="1" l="1"/>
  <c r="P29" i="31"/>
  <c r="P28" i="31"/>
  <c r="P27" i="31"/>
  <c r="J53" i="15" l="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F116" i="57"/>
  <c r="A133" i="57" s="1"/>
  <c r="A120" i="57"/>
  <c r="A116" i="9"/>
  <c r="D116" i="9" s="1"/>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AB40" i="59"/>
  <c r="Q40" i="59"/>
  <c r="P40" i="59"/>
  <c r="AA40" i="59" s="1"/>
  <c r="O40" i="59"/>
  <c r="Y40" i="59" s="1"/>
  <c r="Z40" i="59" s="1"/>
  <c r="N40" i="59"/>
  <c r="X40" i="59"/>
  <c r="Q39" i="59"/>
  <c r="AB39" i="59" s="1"/>
  <c r="P39" i="59"/>
  <c r="O39" i="59"/>
  <c r="Y39" i="59" s="1"/>
  <c r="Z39" i="59" s="1"/>
  <c r="N39" i="59"/>
  <c r="X39" i="59" s="1"/>
  <c r="Q38" i="59"/>
  <c r="AB38" i="59" s="1"/>
  <c r="P38" i="59"/>
  <c r="E39" i="59"/>
  <c r="E40" i="59" s="1"/>
  <c r="E41" i="59" s="1"/>
  <c r="O38" i="59"/>
  <c r="Y38" i="59" s="1"/>
  <c r="Z38" i="59" s="1"/>
  <c r="N38" i="59"/>
  <c r="D38" i="59"/>
  <c r="Q37" i="59"/>
  <c r="AB37" i="59" s="1"/>
  <c r="P37" i="59"/>
  <c r="O37" i="59"/>
  <c r="Y37" i="59" s="1"/>
  <c r="Z37" i="59" s="1"/>
  <c r="N37" i="59"/>
  <c r="Q36" i="59"/>
  <c r="AB36" i="59" s="1"/>
  <c r="P36" i="59"/>
  <c r="AA36" i="59" s="1"/>
  <c r="O36" i="59"/>
  <c r="Y36" i="59" s="1"/>
  <c r="Z36" i="59" s="1"/>
  <c r="N36" i="59"/>
  <c r="Q35" i="59"/>
  <c r="AB35" i="59" s="1"/>
  <c r="P35" i="59"/>
  <c r="AA35" i="59" s="1"/>
  <c r="O35" i="59"/>
  <c r="Y35" i="59" s="1"/>
  <c r="Z35" i="59" s="1"/>
  <c r="N35" i="59"/>
  <c r="Q34" i="59"/>
  <c r="AB34" i="59" s="1"/>
  <c r="P34" i="59"/>
  <c r="AA34" i="59" s="1"/>
  <c r="E35" i="59"/>
  <c r="E36" i="59" s="1"/>
  <c r="E37" i="59" s="1"/>
  <c r="U37"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P30" i="59"/>
  <c r="AA30" i="59" s="1"/>
  <c r="O30" i="59"/>
  <c r="C31" i="59"/>
  <c r="D31" i="59" s="1"/>
  <c r="N30" i="59"/>
  <c r="B31" i="59"/>
  <c r="B32" i="59" s="1"/>
  <c r="B33" i="59" s="1"/>
  <c r="S33" i="59" s="1"/>
  <c r="D30" i="59"/>
  <c r="O29" i="59"/>
  <c r="N29" i="59"/>
  <c r="B29" i="59" s="1"/>
  <c r="C29" i="59"/>
  <c r="T29" i="59"/>
  <c r="Y27" i="59"/>
  <c r="Z27" i="59"/>
  <c r="Y29" i="59"/>
  <c r="Z29" i="59"/>
  <c r="Y28" i="59"/>
  <c r="Z28" i="59"/>
  <c r="X29" i="59"/>
  <c r="X26" i="59"/>
  <c r="C32" i="59"/>
  <c r="C36" i="59"/>
  <c r="D35" i="59"/>
  <c r="C44" i="59"/>
  <c r="D43" i="59"/>
  <c r="C48" i="59"/>
  <c r="D48" i="59" s="1"/>
  <c r="D47" i="59"/>
  <c r="C52" i="59"/>
  <c r="D51" i="59"/>
  <c r="P29" i="59"/>
  <c r="E56" i="59"/>
  <c r="E57" i="59" s="1"/>
  <c r="U57" i="59" s="1"/>
  <c r="E60" i="59"/>
  <c r="E61" i="59"/>
  <c r="U61" i="59" s="1"/>
  <c r="E64" i="59"/>
  <c r="E65" i="59" s="1"/>
  <c r="U65" i="59" s="1"/>
  <c r="Q66" i="59"/>
  <c r="P67" i="59"/>
  <c r="U73" i="59"/>
  <c r="E72" i="59"/>
  <c r="E71" i="59" s="1"/>
  <c r="Q29" i="59"/>
  <c r="F29" i="59" s="1"/>
  <c r="C56" i="59"/>
  <c r="D55" i="59"/>
  <c r="C60" i="59"/>
  <c r="D59" i="59"/>
  <c r="C64" i="59"/>
  <c r="D63" i="59"/>
  <c r="N68" i="59"/>
  <c r="B67" i="59"/>
  <c r="Q68" i="59"/>
  <c r="T69" i="59"/>
  <c r="O69" i="59"/>
  <c r="D69" i="59"/>
  <c r="C68" i="59"/>
  <c r="T73" i="59"/>
  <c r="D73" i="59"/>
  <c r="C72" i="59"/>
  <c r="C71" i="59" s="1"/>
  <c r="D71" i="59" s="1"/>
  <c r="Q69" i="59"/>
  <c r="C76" i="59"/>
  <c r="C75" i="59" s="1"/>
  <c r="D75" i="59" s="1"/>
  <c r="E76" i="59"/>
  <c r="E75" i="59"/>
  <c r="D77" i="59"/>
  <c r="C80" i="59"/>
  <c r="D80" i="59" s="1"/>
  <c r="E80" i="59"/>
  <c r="E79" i="59"/>
  <c r="D81" i="59"/>
  <c r="C84" i="59"/>
  <c r="D84" i="59" s="1"/>
  <c r="C88" i="59"/>
  <c r="AB3" i="59"/>
  <c r="AB27" i="59"/>
  <c r="AB29" i="59"/>
  <c r="E29" i="59"/>
  <c r="AA27" i="59"/>
  <c r="AA28" i="59"/>
  <c r="AA29" i="59"/>
  <c r="AA3" i="59"/>
  <c r="AA26" i="59"/>
  <c r="C28" i="59"/>
  <c r="D29" i="59"/>
  <c r="C83" i="59"/>
  <c r="D83" i="59" s="1"/>
  <c r="D76" i="59"/>
  <c r="C53" i="59"/>
  <c r="T53" i="59" s="1"/>
  <c r="D52" i="59"/>
  <c r="D88" i="59"/>
  <c r="C87" i="59"/>
  <c r="D87" i="59"/>
  <c r="C79" i="59"/>
  <c r="D79" i="59" s="1"/>
  <c r="C67" i="59"/>
  <c r="D67" i="59" s="1"/>
  <c r="O68" i="59"/>
  <c r="D68" i="59"/>
  <c r="C65" i="59"/>
  <c r="D64" i="59"/>
  <c r="C61" i="59"/>
  <c r="D60" i="59"/>
  <c r="C57" i="59"/>
  <c r="D56" i="59"/>
  <c r="N66" i="59"/>
  <c r="N67" i="59"/>
  <c r="C45" i="59"/>
  <c r="D44" i="59"/>
  <c r="C37" i="59"/>
  <c r="D36" i="59"/>
  <c r="C33" i="59"/>
  <c r="D32" i="59"/>
  <c r="D28" i="59"/>
  <c r="C27" i="59"/>
  <c r="D27" i="59" s="1"/>
  <c r="E28" i="59"/>
  <c r="E27" i="59" s="1"/>
  <c r="U29" i="59"/>
  <c r="O67" i="59"/>
  <c r="O66" i="59"/>
  <c r="D53" i="59"/>
  <c r="T33" i="59"/>
  <c r="D33" i="59"/>
  <c r="T37" i="59"/>
  <c r="D37"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66"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D19"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D3" i="33"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42" i="31"/>
  <c r="T42" i="31" s="1"/>
  <c r="R43" i="31"/>
  <c r="R44" i="31"/>
  <c r="T44" i="31" s="1"/>
  <c r="R45" i="31"/>
  <c r="S45" i="31" s="1"/>
  <c r="R46" i="31"/>
  <c r="T46" i="31" s="1"/>
  <c r="R47" i="31"/>
  <c r="T47" i="31" s="1"/>
  <c r="R48" i="31"/>
  <c r="T48" i="31" s="1"/>
  <c r="R49" i="31"/>
  <c r="R50" i="31"/>
  <c r="T50" i="31" s="1"/>
  <c r="R51" i="31"/>
  <c r="R52" i="31"/>
  <c r="T52" i="31" s="1"/>
  <c r="R53" i="31"/>
  <c r="S53" i="31" s="1"/>
  <c r="R54" i="31"/>
  <c r="T54" i="31" s="1"/>
  <c r="R55" i="31"/>
  <c r="T55" i="31" s="1"/>
  <c r="R56" i="31"/>
  <c r="T56" i="31" s="1"/>
  <c r="R57" i="31"/>
  <c r="R58" i="31"/>
  <c r="T58" i="31" s="1"/>
  <c r="R59" i="31"/>
  <c r="S59" i="31" s="1"/>
  <c r="R60" i="31"/>
  <c r="R61" i="31"/>
  <c r="R62" i="31"/>
  <c r="T62" i="31" s="1"/>
  <c r="R63" i="31"/>
  <c r="S63" i="31" s="1"/>
  <c r="R64" i="31"/>
  <c r="R65" i="31"/>
  <c r="R66" i="31"/>
  <c r="T66" i="31" s="1"/>
  <c r="R67" i="31"/>
  <c r="S67" i="31" s="1"/>
  <c r="R68" i="31"/>
  <c r="R69" i="31"/>
  <c r="R70" i="31"/>
  <c r="T70" i="31" s="1"/>
  <c r="R71" i="31"/>
  <c r="S71" i="31" s="1"/>
  <c r="R72" i="31"/>
  <c r="R73" i="31"/>
  <c r="R74" i="31"/>
  <c r="T74" i="31" s="1"/>
  <c r="R75" i="31"/>
  <c r="S75" i="31" s="1"/>
  <c r="R76" i="31"/>
  <c r="T76" i="31" s="1"/>
  <c r="R77" i="31"/>
  <c r="T77" i="31" s="1"/>
  <c r="R78" i="31"/>
  <c r="T78" i="31" s="1"/>
  <c r="R79" i="31"/>
  <c r="R80" i="31"/>
  <c r="T80" i="31" s="1"/>
  <c r="R81" i="31"/>
  <c r="T81" i="31" s="1"/>
  <c r="R82" i="31"/>
  <c r="T82" i="31" s="1"/>
  <c r="R83" i="31"/>
  <c r="R84" i="31"/>
  <c r="R85" i="31"/>
  <c r="R86" i="31"/>
  <c r="T86" i="31" s="1"/>
  <c r="R87" i="31"/>
  <c r="T87" i="31" s="1"/>
  <c r="R88" i="31"/>
  <c r="R89" i="31"/>
  <c r="R90" i="31"/>
  <c r="T90" i="31" s="1"/>
  <c r="R91" i="31"/>
  <c r="R92" i="31"/>
  <c r="R93" i="31"/>
  <c r="R94" i="31"/>
  <c r="T94" i="31" s="1"/>
  <c r="R95" i="31"/>
  <c r="T95" i="31" s="1"/>
  <c r="R96" i="31"/>
  <c r="R97" i="31"/>
  <c r="T97" i="31" s="1"/>
  <c r="R98" i="31"/>
  <c r="T98" i="31" s="1"/>
  <c r="R99" i="31"/>
  <c r="R100" i="31"/>
  <c r="R101" i="31"/>
  <c r="R102" i="31"/>
  <c r="R103" i="31"/>
  <c r="T103" i="31" s="1"/>
  <c r="R104" i="31"/>
  <c r="T104" i="31" s="1"/>
  <c r="R105" i="31"/>
  <c r="R106" i="31"/>
  <c r="R107" i="3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R134" i="31"/>
  <c r="R135" i="31"/>
  <c r="R136" i="31"/>
  <c r="T136" i="31" s="1"/>
  <c r="R137" i="31"/>
  <c r="T137" i="31" s="1"/>
  <c r="R138" i="31"/>
  <c r="R139" i="31"/>
  <c r="R140" i="31"/>
  <c r="T140" i="31" s="1"/>
  <c r="R141" i="31"/>
  <c r="R142" i="31"/>
  <c r="R143" i="31"/>
  <c r="R144" i="31"/>
  <c r="T144" i="31" s="1"/>
  <c r="R145" i="31"/>
  <c r="R146" i="31"/>
  <c r="R147" i="31"/>
  <c r="T147" i="31" s="1"/>
  <c r="R148" i="31"/>
  <c r="T148" i="31" s="1"/>
  <c r="R149" i="31"/>
  <c r="T149" i="31" s="1"/>
  <c r="R150" i="31"/>
  <c r="R151" i="31"/>
  <c r="R152" i="31"/>
  <c r="T152" i="31" s="1"/>
  <c r="R153" i="31"/>
  <c r="R154" i="31"/>
  <c r="R155" i="31"/>
  <c r="R156" i="31"/>
  <c r="T156" i="31" s="1"/>
  <c r="R157" i="31"/>
  <c r="R158" i="31"/>
  <c r="R159" i="31"/>
  <c r="R160" i="31"/>
  <c r="T160" i="31" s="1"/>
  <c r="R161" i="31"/>
  <c r="R162" i="31"/>
  <c r="R163" i="31"/>
  <c r="T163" i="31" s="1"/>
  <c r="R164" i="31"/>
  <c r="T164" i="31" s="1"/>
  <c r="R165" i="31"/>
  <c r="T165" i="31" s="1"/>
  <c r="R166" i="31"/>
  <c r="R167" i="31"/>
  <c r="R168" i="31"/>
  <c r="T168" i="31" s="1"/>
  <c r="R169" i="31"/>
  <c r="R170" i="31"/>
  <c r="R171" i="31"/>
  <c r="T171" i="31" s="1"/>
  <c r="R172" i="31"/>
  <c r="T172" i="31" s="1"/>
  <c r="R173" i="31"/>
  <c r="T173" i="31" s="1"/>
  <c r="R174" i="31"/>
  <c r="R175" i="31"/>
  <c r="R176" i="31"/>
  <c r="T176" i="31" s="1"/>
  <c r="R177" i="31"/>
  <c r="R178" i="31"/>
  <c r="R179" i="31"/>
  <c r="T179" i="31" s="1"/>
  <c r="R180" i="31"/>
  <c r="T180" i="31" s="1"/>
  <c r="R181" i="31"/>
  <c r="T181" i="31" s="1"/>
  <c r="R182" i="31"/>
  <c r="R183" i="31"/>
  <c r="R184" i="31"/>
  <c r="T184" i="31" s="1"/>
  <c r="R185" i="31"/>
  <c r="R186" i="31"/>
  <c r="R187" i="31"/>
  <c r="T187" i="31" s="1"/>
  <c r="R188" i="31"/>
  <c r="T188" i="31" s="1"/>
  <c r="R189" i="31"/>
  <c r="T189" i="31" s="1"/>
  <c r="R190" i="31"/>
  <c r="R191" i="31"/>
  <c r="R192" i="31"/>
  <c r="T192" i="31" s="1"/>
  <c r="R193" i="31"/>
  <c r="R194" i="31"/>
  <c r="R195" i="31"/>
  <c r="T195" i="31" s="1"/>
  <c r="R196" i="31"/>
  <c r="T196" i="31" s="1"/>
  <c r="R197" i="31"/>
  <c r="T197" i="31" s="1"/>
  <c r="R198" i="31"/>
  <c r="R199" i="31"/>
  <c r="R200" i="31"/>
  <c r="T200" i="31" s="1"/>
  <c r="R201" i="31"/>
  <c r="R202" i="31"/>
  <c r="R203" i="31"/>
  <c r="T203" i="31" s="1"/>
  <c r="R204" i="31"/>
  <c r="T204" i="31" s="1"/>
  <c r="R205" i="31"/>
  <c r="T205" i="31" s="1"/>
  <c r="R206" i="31"/>
  <c r="R207" i="31"/>
  <c r="R208" i="31"/>
  <c r="T208" i="31" s="1"/>
  <c r="R209" i="3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T228" i="31" s="1"/>
  <c r="R229" i="31"/>
  <c r="R230" i="31"/>
  <c r="R231" i="31"/>
  <c r="R232" i="31"/>
  <c r="T232" i="31" s="1"/>
  <c r="R233" i="31"/>
  <c r="R234" i="31"/>
  <c r="R235" i="31"/>
  <c r="R236" i="31"/>
  <c r="T236" i="31" s="1"/>
  <c r="R237" i="31"/>
  <c r="R238" i="31"/>
  <c r="R239" i="31"/>
  <c r="R240" i="31"/>
  <c r="T240" i="31" s="1"/>
  <c r="R241" i="31"/>
  <c r="R242" i="31"/>
  <c r="R243" i="31"/>
  <c r="R244" i="31"/>
  <c r="T244" i="31" s="1"/>
  <c r="R245" i="31"/>
  <c r="R246" i="31"/>
  <c r="R247" i="31"/>
  <c r="R248" i="31"/>
  <c r="T248" i="31" s="1"/>
  <c r="R249" i="31"/>
  <c r="R250" i="31"/>
  <c r="R251" i="31"/>
  <c r="R252" i="31"/>
  <c r="T252" i="31" s="1"/>
  <c r="R253" i="31"/>
  <c r="R254" i="31"/>
  <c r="R255" i="31"/>
  <c r="R256" i="31"/>
  <c r="T256" i="31" s="1"/>
  <c r="R257" i="31"/>
  <c r="R258" i="31"/>
  <c r="R259" i="31"/>
  <c r="S259" i="31" s="1"/>
  <c r="R260" i="31"/>
  <c r="T260" i="31" s="1"/>
  <c r="R261" i="31"/>
  <c r="R262" i="31"/>
  <c r="T262" i="31" s="1"/>
  <c r="R263" i="31"/>
  <c r="R264" i="31"/>
  <c r="R265" i="31"/>
  <c r="S265" i="31" s="1"/>
  <c r="R266" i="31"/>
  <c r="T266" i="31" s="1"/>
  <c r="R267" i="31"/>
  <c r="R268" i="31"/>
  <c r="R269" i="31"/>
  <c r="R270" i="31"/>
  <c r="S270" i="31" s="1"/>
  <c r="R271" i="31"/>
  <c r="R272" i="31"/>
  <c r="T272" i="31" s="1"/>
  <c r="R273" i="31"/>
  <c r="S273" i="31" s="1"/>
  <c r="R274" i="31"/>
  <c r="R275" i="31"/>
  <c r="R276" i="31"/>
  <c r="T276" i="31" s="1"/>
  <c r="R277" i="31"/>
  <c r="R278" i="31"/>
  <c r="T278" i="31" s="1"/>
  <c r="R279" i="31"/>
  <c r="R280" i="31"/>
  <c r="R281" i="31"/>
  <c r="S281" i="31" s="1"/>
  <c r="R282" i="31"/>
  <c r="T282" i="31" s="1"/>
  <c r="R283" i="31"/>
  <c r="R284" i="31"/>
  <c r="R285" i="31"/>
  <c r="R286" i="31"/>
  <c r="S286" i="31" s="1"/>
  <c r="R287" i="31"/>
  <c r="R288" i="31"/>
  <c r="T288" i="31" s="1"/>
  <c r="R289" i="31"/>
  <c r="S289" i="31" s="1"/>
  <c r="R290" i="31"/>
  <c r="R291" i="31"/>
  <c r="R292" i="31"/>
  <c r="T292" i="31" s="1"/>
  <c r="R293" i="31"/>
  <c r="R294" i="31"/>
  <c r="T294" i="31" s="1"/>
  <c r="R295" i="31"/>
  <c r="R296" i="31"/>
  <c r="R297" i="31"/>
  <c r="S297" i="31" s="1"/>
  <c r="R298" i="31"/>
  <c r="T298" i="31" s="1"/>
  <c r="R299" i="31"/>
  <c r="R300" i="31"/>
  <c r="R301" i="31"/>
  <c r="R302" i="31"/>
  <c r="S302" i="31" s="1"/>
  <c r="R303" i="31"/>
  <c r="R304" i="31"/>
  <c r="T304" i="31" s="1"/>
  <c r="R305" i="31"/>
  <c r="S305" i="31" s="1"/>
  <c r="R306" i="31"/>
  <c r="R307" i="31"/>
  <c r="R308" i="31"/>
  <c r="T308" i="31" s="1"/>
  <c r="R309" i="31"/>
  <c r="R310" i="31"/>
  <c r="T310" i="31" s="1"/>
  <c r="R311" i="31"/>
  <c r="R312" i="31"/>
  <c r="R313" i="31"/>
  <c r="S313" i="31" s="1"/>
  <c r="R314" i="31"/>
  <c r="T314" i="31" s="1"/>
  <c r="R315" i="31"/>
  <c r="R316" i="31"/>
  <c r="R317" i="31"/>
  <c r="R318" i="31"/>
  <c r="S318" i="31" s="1"/>
  <c r="R319" i="31"/>
  <c r="R320" i="31"/>
  <c r="T320" i="31" s="1"/>
  <c r="R321" i="31"/>
  <c r="S321" i="31" s="1"/>
  <c r="R322" i="31"/>
  <c r="R323" i="31"/>
  <c r="R324" i="31"/>
  <c r="T324" i="31" s="1"/>
  <c r="R325" i="31"/>
  <c r="R326" i="31"/>
  <c r="R327" i="31"/>
  <c r="R328" i="31"/>
  <c r="T328" i="31" s="1"/>
  <c r="R329" i="31"/>
  <c r="T329" i="31" s="1"/>
  <c r="R330" i="31"/>
  <c r="R331" i="31"/>
  <c r="R332" i="31"/>
  <c r="S332" i="31" s="1"/>
  <c r="R333" i="31"/>
  <c r="R334" i="31"/>
  <c r="T334" i="31" s="1"/>
  <c r="R335" i="31"/>
  <c r="T335" i="31" s="1"/>
  <c r="R336" i="31"/>
  <c r="R337" i="31"/>
  <c r="T337" i="31" s="1"/>
  <c r="R338" i="31"/>
  <c r="T338" i="31" s="1"/>
  <c r="R339" i="31"/>
  <c r="R340" i="31"/>
  <c r="T340" i="31" s="1"/>
  <c r="R341" i="31"/>
  <c r="T341" i="31" s="1"/>
  <c r="R342" i="31"/>
  <c r="R343" i="31"/>
  <c r="R344" i="31"/>
  <c r="T344" i="31" s="1"/>
  <c r="R345" i="31"/>
  <c r="T345" i="31" s="1"/>
  <c r="R346" i="31"/>
  <c r="R347" i="31"/>
  <c r="R348" i="31"/>
  <c r="S348" i="31" s="1"/>
  <c r="R349" i="31"/>
  <c r="T349" i="31" s="1"/>
  <c r="R350" i="31"/>
  <c r="T350" i="31" s="1"/>
  <c r="R351" i="31"/>
  <c r="T351" i="31" s="1"/>
  <c r="R352" i="31"/>
  <c r="R353" i="31"/>
  <c r="T353" i="31" s="1"/>
  <c r="R354" i="31"/>
  <c r="T354" i="31" s="1"/>
  <c r="R355" i="31"/>
  <c r="R356" i="31"/>
  <c r="T356" i="31" s="1"/>
  <c r="R357" i="31"/>
  <c r="T357" i="31" s="1"/>
  <c r="R358" i="31"/>
  <c r="R359" i="31"/>
  <c r="R360" i="31"/>
  <c r="T360" i="31" s="1"/>
  <c r="R361" i="31"/>
  <c r="T361" i="31" s="1"/>
  <c r="R362" i="31"/>
  <c r="R363" i="31"/>
  <c r="R364" i="31"/>
  <c r="S364" i="31" s="1"/>
  <c r="R365" i="31"/>
  <c r="T365" i="31" s="1"/>
  <c r="R366" i="31"/>
  <c r="T366" i="31" s="1"/>
  <c r="R367" i="31"/>
  <c r="T367" i="31" s="1"/>
  <c r="R368" i="31"/>
  <c r="R369" i="31"/>
  <c r="T369" i="31" s="1"/>
  <c r="R370" i="31"/>
  <c r="T370" i="31" s="1"/>
  <c r="R371" i="31"/>
  <c r="R372" i="31"/>
  <c r="T372" i="31" s="1"/>
  <c r="R373" i="31"/>
  <c r="T373" i="31" s="1"/>
  <c r="R374" i="31"/>
  <c r="R375" i="31"/>
  <c r="R376" i="31"/>
  <c r="T376" i="31" s="1"/>
  <c r="R377" i="31"/>
  <c r="T377" i="31" s="1"/>
  <c r="R378" i="31"/>
  <c r="R379" i="31"/>
  <c r="R380" i="31"/>
  <c r="S380" i="31" s="1"/>
  <c r="R381" i="31"/>
  <c r="T381" i="31" s="1"/>
  <c r="R382" i="31"/>
  <c r="T382" i="31" s="1"/>
  <c r="R383" i="31"/>
  <c r="T383" i="31" s="1"/>
  <c r="R384" i="31"/>
  <c r="R385" i="31"/>
  <c r="T385" i="31" s="1"/>
  <c r="R386" i="31"/>
  <c r="T386" i="31" s="1"/>
  <c r="R387" i="31"/>
  <c r="R388" i="31"/>
  <c r="T388" i="31" s="1"/>
  <c r="R389" i="31"/>
  <c r="T389" i="31" s="1"/>
  <c r="R390" i="31"/>
  <c r="R391" i="31"/>
  <c r="R392" i="31"/>
  <c r="T392" i="31" s="1"/>
  <c r="R393" i="31"/>
  <c r="T393" i="31" s="1"/>
  <c r="R394" i="31"/>
  <c r="R395" i="31"/>
  <c r="R396" i="31"/>
  <c r="S396" i="31" s="1"/>
  <c r="R397" i="31"/>
  <c r="T397" i="31" s="1"/>
  <c r="R398" i="31"/>
  <c r="T398" i="31" s="1"/>
  <c r="R399" i="31"/>
  <c r="T399" i="31" s="1"/>
  <c r="R400" i="31"/>
  <c r="R401" i="31"/>
  <c r="T401" i="31" s="1"/>
  <c r="R402" i="31"/>
  <c r="T402" i="31" s="1"/>
  <c r="R403" i="31"/>
  <c r="R404" i="31"/>
  <c r="T404" i="31" s="1"/>
  <c r="R405" i="31"/>
  <c r="T405" i="31" s="1"/>
  <c r="R406" i="31"/>
  <c r="R407" i="31"/>
  <c r="R408" i="31"/>
  <c r="T408" i="31" s="1"/>
  <c r="R409" i="31"/>
  <c r="T409" i="31" s="1"/>
  <c r="R410" i="31"/>
  <c r="R411" i="31"/>
  <c r="R412" i="31"/>
  <c r="S412" i="31" s="1"/>
  <c r="R413" i="31"/>
  <c r="T413" i="31" s="1"/>
  <c r="R414" i="31"/>
  <c r="T414" i="31" s="1"/>
  <c r="R415" i="31"/>
  <c r="T415" i="31" s="1"/>
  <c r="R416" i="31"/>
  <c r="R417" i="31"/>
  <c r="T417" i="31" s="1"/>
  <c r="R418" i="31"/>
  <c r="T418" i="31" s="1"/>
  <c r="R419" i="31"/>
  <c r="R420" i="31"/>
  <c r="T420" i="31" s="1"/>
  <c r="R421" i="31"/>
  <c r="T421" i="31" s="1"/>
  <c r="R422" i="31"/>
  <c r="R423" i="31"/>
  <c r="R424" i="31"/>
  <c r="T424" i="31" s="1"/>
  <c r="R425" i="31"/>
  <c r="T425" i="31" s="1"/>
  <c r="R426" i="31"/>
  <c r="T426" i="31" s="1"/>
  <c r="R427" i="31"/>
  <c r="R428" i="31"/>
  <c r="R429" i="31"/>
  <c r="T429" i="31" s="1"/>
  <c r="R430" i="31"/>
  <c r="S430" i="31" s="1"/>
  <c r="R431" i="31"/>
  <c r="T431" i="31" s="1"/>
  <c r="R432" i="31"/>
  <c r="T432" i="31" s="1"/>
  <c r="R433" i="31"/>
  <c r="R434" i="31"/>
  <c r="S434" i="31" s="1"/>
  <c r="R435" i="31"/>
  <c r="T435" i="31" s="1"/>
  <c r="R436" i="31"/>
  <c r="T436" i="31" s="1"/>
  <c r="R437" i="31"/>
  <c r="T437" i="31" s="1"/>
  <c r="R438" i="31"/>
  <c r="S438" i="31" s="1"/>
  <c r="R439" i="31"/>
  <c r="R440" i="31"/>
  <c r="R441" i="31"/>
  <c r="R442" i="31"/>
  <c r="S442" i="31" s="1"/>
  <c r="R443" i="31"/>
  <c r="T443" i="31" s="1"/>
  <c r="R444" i="31"/>
  <c r="T444" i="31" s="1"/>
  <c r="R445" i="31"/>
  <c r="R446" i="31"/>
  <c r="S446" i="31" s="1"/>
  <c r="R447" i="31"/>
  <c r="R448" i="31"/>
  <c r="T448" i="31" s="1"/>
  <c r="R449" i="31"/>
  <c r="S449" i="31" s="1"/>
  <c r="R450" i="31"/>
  <c r="T450" i="31" s="1"/>
  <c r="R451" i="31"/>
  <c r="R452" i="31"/>
  <c r="T452" i="31" s="1"/>
  <c r="R453" i="31"/>
  <c r="R454" i="31"/>
  <c r="S454" i="31" s="1"/>
  <c r="R455" i="31"/>
  <c r="T455" i="31" s="1"/>
  <c r="R456" i="31"/>
  <c r="R457" i="31"/>
  <c r="R458" i="31"/>
  <c r="S458" i="31" s="1"/>
  <c r="R459" i="31"/>
  <c r="R460" i="31"/>
  <c r="T460" i="31" s="1"/>
  <c r="R461" i="31"/>
  <c r="R462" i="31"/>
  <c r="S462" i="31" s="1"/>
  <c r="R463" i="31"/>
  <c r="T463" i="31" s="1"/>
  <c r="R464" i="31"/>
  <c r="R465" i="31"/>
  <c r="T465" i="31" s="1"/>
  <c r="R466" i="31"/>
  <c r="S466" i="31" s="1"/>
  <c r="R467" i="31"/>
  <c r="R468" i="31"/>
  <c r="T468" i="31" s="1"/>
  <c r="R469" i="31"/>
  <c r="R470" i="31"/>
  <c r="S470" i="31" s="1"/>
  <c r="R471" i="31"/>
  <c r="T471" i="31" s="1"/>
  <c r="R472" i="31"/>
  <c r="S472" i="31" s="1"/>
  <c r="R473" i="31"/>
  <c r="S473" i="31" s="1"/>
  <c r="R474" i="31"/>
  <c r="S474" i="31" s="1"/>
  <c r="R475" i="31"/>
  <c r="T475" i="31" s="1"/>
  <c r="R476" i="31"/>
  <c r="S476" i="31" s="1"/>
  <c r="R477" i="31"/>
  <c r="R478" i="31"/>
  <c r="S478" i="31" s="1"/>
  <c r="R479" i="31"/>
  <c r="T479" i="31" s="1"/>
  <c r="R480" i="31"/>
  <c r="S480" i="31" s="1"/>
  <c r="R481" i="31"/>
  <c r="S481" i="31" s="1"/>
  <c r="R482" i="31"/>
  <c r="S482" i="31" s="1"/>
  <c r="R483" i="31"/>
  <c r="R484" i="31"/>
  <c r="S484" i="31" s="1"/>
  <c r="R485" i="31"/>
  <c r="R486" i="31"/>
  <c r="S486" i="31" s="1"/>
  <c r="R487" i="31"/>
  <c r="T487" i="31" s="1"/>
  <c r="R488" i="31"/>
  <c r="S488" i="31" s="1"/>
  <c r="R489" i="31"/>
  <c r="S489" i="31" s="1"/>
  <c r="R490" i="31"/>
  <c r="S490" i="31" s="1"/>
  <c r="R491" i="31"/>
  <c r="R492" i="31"/>
  <c r="S492" i="31" s="1"/>
  <c r="R493" i="31"/>
  <c r="R494" i="31"/>
  <c r="S494" i="31" s="1"/>
  <c r="R495" i="31"/>
  <c r="T495" i="31" s="1"/>
  <c r="R496" i="31"/>
  <c r="S496" i="31" s="1"/>
  <c r="R497" i="31"/>
  <c r="S497" i="31" s="1"/>
  <c r="R498" i="31"/>
  <c r="S498" i="31" s="1"/>
  <c r="R499" i="31"/>
  <c r="R500" i="31"/>
  <c r="S500" i="31" s="1"/>
  <c r="R501" i="31"/>
  <c r="T501" i="31" s="1"/>
  <c r="R502" i="31"/>
  <c r="T502" i="31" s="1"/>
  <c r="R503" i="31"/>
  <c r="R504" i="31"/>
  <c r="T504" i="31" s="1"/>
  <c r="R505" i="31"/>
  <c r="R506" i="31"/>
  <c r="T506" i="31" s="1"/>
  <c r="R507" i="31"/>
  <c r="R508" i="31"/>
  <c r="T508" i="31" s="1"/>
  <c r="R509" i="31"/>
  <c r="R510" i="31"/>
  <c r="T510" i="31" s="1"/>
  <c r="R511" i="31"/>
  <c r="R512" i="31"/>
  <c r="T512" i="31" s="1"/>
  <c r="R513" i="31"/>
  <c r="R514" i="31"/>
  <c r="T514" i="31" s="1"/>
  <c r="R515" i="31"/>
  <c r="T515" i="31" s="1"/>
  <c r="R516" i="31"/>
  <c r="T516" i="31" s="1"/>
  <c r="R517" i="3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14" i="31"/>
  <c r="S402" i="31"/>
  <c r="S392" i="31"/>
  <c r="S382" i="31"/>
  <c r="S370" i="31"/>
  <c r="S360" i="31"/>
  <c r="S350" i="31"/>
  <c r="S338" i="31"/>
  <c r="S328" i="31"/>
  <c r="S320" i="31"/>
  <c r="S308" i="31"/>
  <c r="S298" i="31"/>
  <c r="S288" i="31"/>
  <c r="S276" i="31"/>
  <c r="S266" i="31"/>
  <c r="S256" i="31"/>
  <c r="S248" i="31"/>
  <c r="S240" i="31"/>
  <c r="S232" i="31"/>
  <c r="S432" i="31"/>
  <c r="S220" i="31"/>
  <c r="S212" i="31"/>
  <c r="S204" i="31"/>
  <c r="S196" i="31"/>
  <c r="S188" i="31"/>
  <c r="S180" i="31"/>
  <c r="S172" i="31"/>
  <c r="S164" i="31"/>
  <c r="S156" i="31"/>
  <c r="S148" i="31"/>
  <c r="S140" i="31"/>
  <c r="S132" i="31"/>
  <c r="S444" i="31"/>
  <c r="S122" i="31"/>
  <c r="S468" i="31"/>
  <c r="S74" i="31"/>
  <c r="S66" i="31"/>
  <c r="S58" i="31"/>
  <c r="S94" i="31"/>
  <c r="S86" i="31"/>
  <c r="S104" i="31"/>
  <c r="S112" i="31"/>
  <c r="S450" i="31"/>
  <c r="S510"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22" i="31"/>
  <c r="S526"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c r="B110" i="37"/>
  <c r="J39" i="37"/>
  <c r="AC39" i="37" s="1"/>
  <c r="B108" i="37"/>
  <c r="C23" i="37"/>
  <c r="C19" i="37"/>
  <c r="C17" i="37"/>
  <c r="C15" i="37"/>
  <c r="B112" i="37"/>
  <c r="H40" i="37"/>
  <c r="D107" i="37"/>
  <c r="E107" i="37"/>
  <c r="F107" i="37" s="1"/>
  <c r="G107" i="37"/>
  <c r="H107" i="37" s="1"/>
  <c r="I107" i="37" s="1"/>
  <c r="J107" i="37" s="1"/>
  <c r="K107" i="37" s="1"/>
  <c r="L107" i="37" s="1"/>
  <c r="M107" i="37" s="1"/>
  <c r="D105" i="37"/>
  <c r="E105" i="37"/>
  <c r="F105" i="37" s="1"/>
  <c r="G105" i="37"/>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c r="G71" i="37" s="1"/>
  <c r="B68" i="37"/>
  <c r="H14" i="37" s="1"/>
  <c r="AB14" i="37"/>
  <c r="B66" i="37"/>
  <c r="B64" i="37"/>
  <c r="H12" i="37" s="1"/>
  <c r="U12" i="37" s="1"/>
  <c r="D63" i="37"/>
  <c r="E63" i="37"/>
  <c r="F63" i="37" s="1"/>
  <c r="G63" i="37"/>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c r="F12" i="33"/>
  <c r="S12" i="33"/>
  <c r="Q11" i="33"/>
  <c r="Z11" i="33"/>
  <c r="Q10" i="33"/>
  <c r="Z10" i="33"/>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s="1"/>
  <c r="AB46" i="21"/>
  <c r="U14" i="21"/>
  <c r="AC14" i="21"/>
  <c r="S46" i="33"/>
  <c r="AC13" i="36"/>
  <c r="AC11" i="36"/>
  <c r="U32" i="36"/>
  <c r="AB45" i="33"/>
  <c r="U31" i="33"/>
  <c r="AC29" i="33"/>
  <c r="W29" i="33"/>
  <c r="AB28" i="33"/>
  <c r="U42" i="21"/>
  <c r="S33" i="21"/>
  <c r="S19" i="21"/>
  <c r="J41" i="39"/>
  <c r="W41" i="39" s="1"/>
  <c r="AC45" i="39"/>
  <c r="U36" i="39"/>
  <c r="S508" i="31"/>
  <c r="S504"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4"/>
  <c r="D78" i="9"/>
  <c r="D95" i="57"/>
  <c r="D80" i="57"/>
  <c r="A16" i="55"/>
  <c r="B46" i="60" s="1"/>
  <c r="D3" i="37"/>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D33" i="50"/>
  <c r="D12" i="50"/>
  <c r="B26" i="60" s="1"/>
  <c r="D34" i="50"/>
  <c r="D13" i="50"/>
  <c r="B27" i="60" s="1"/>
  <c r="D31" i="50"/>
  <c r="D32" i="50" s="1"/>
  <c r="D10" i="50"/>
  <c r="D11" i="50" s="1"/>
  <c r="B25" i="60" s="1"/>
  <c r="D112" i="57"/>
  <c r="D35" i="50"/>
  <c r="D14" i="50"/>
  <c r="B28" i="60" s="1"/>
  <c r="D22" i="15"/>
  <c r="A14" i="52"/>
  <c r="B61" i="60" s="1"/>
  <c r="H102" i="43"/>
  <c r="M6" i="43"/>
  <c r="M5" i="43"/>
  <c r="F81" i="43"/>
  <c r="H85" i="43" s="1"/>
  <c r="H13" i="44"/>
  <c r="H11" i="44"/>
  <c r="C51" i="10"/>
  <c r="A8" i="54"/>
  <c r="B8" i="60" s="1"/>
  <c r="F2" i="21"/>
  <c r="F2" i="34"/>
  <c r="F2" i="35"/>
  <c r="F2" i="33"/>
  <c r="D36" i="57"/>
  <c r="C114" i="9"/>
  <c r="H112" i="9" s="1"/>
  <c r="C120" i="57"/>
  <c r="H116" i="57" s="1"/>
  <c r="A18" i="54"/>
  <c r="B15" i="60" s="1"/>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S420" i="31"/>
  <c r="S404" i="31"/>
  <c r="S388" i="31"/>
  <c r="S372" i="31"/>
  <c r="S356" i="31"/>
  <c r="S340" i="31"/>
  <c r="S324" i="31"/>
  <c r="S310" i="31"/>
  <c r="S294" i="31"/>
  <c r="S278" i="31"/>
  <c r="S262" i="31"/>
  <c r="S80" i="31"/>
  <c r="S78" i="31"/>
  <c r="S76" i="31"/>
  <c r="S56" i="31"/>
  <c r="S54" i="31"/>
  <c r="S52" i="31"/>
  <c r="S50" i="31"/>
  <c r="S48" i="31"/>
  <c r="S46" i="31"/>
  <c r="S44" i="31"/>
  <c r="S42" i="31"/>
  <c r="D32" i="9"/>
  <c r="F117" i="9"/>
  <c r="A132" i="9"/>
  <c r="D24" i="15"/>
  <c r="M20" i="15"/>
  <c r="D9" i="11"/>
  <c r="C9" i="11" s="1"/>
  <c r="D19" i="11"/>
  <c r="C19" i="12"/>
  <c r="G22" i="11"/>
  <c r="G41" i="11"/>
  <c r="E48" i="43"/>
  <c r="H113" i="43"/>
  <c r="X7" i="43"/>
  <c r="E59" i="43"/>
  <c r="B57" i="43" s="1"/>
  <c r="E70" i="43"/>
  <c r="B68" i="43" s="1"/>
  <c r="C24" i="43" s="1"/>
  <c r="AI11" i="43"/>
  <c r="AI13" i="43" s="1"/>
  <c r="AG11" i="43"/>
  <c r="AE11" i="43"/>
  <c r="AE13" i="43" s="1"/>
  <c r="AC11" i="43"/>
  <c r="AA11" i="43"/>
  <c r="AA13" i="43" s="1"/>
  <c r="Y11" i="43"/>
  <c r="Y13" i="43" s="1"/>
  <c r="AJ11" i="43"/>
  <c r="AJ13" i="43" s="1"/>
  <c r="AH11" i="43"/>
  <c r="AF11" i="43"/>
  <c r="AF13" i="43" s="1"/>
  <c r="AD11" i="43"/>
  <c r="AB11" i="43"/>
  <c r="AB13" i="43" s="1"/>
  <c r="Z11" i="43"/>
  <c r="Z7" i="43"/>
  <c r="B46" i="43"/>
  <c r="C7" i="39"/>
  <c r="C67" i="39" s="1"/>
  <c r="C69" i="39" s="1"/>
  <c r="D123" i="9"/>
  <c r="D6" i="52" s="1"/>
  <c r="D124" i="9"/>
  <c r="D7" i="52"/>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D120" i="57"/>
  <c r="I112" i="9"/>
  <c r="D39" i="50" s="1"/>
  <c r="D40" i="50" s="1"/>
  <c r="D114" i="9"/>
  <c r="D115" i="9"/>
  <c r="I113" i="9" s="1"/>
  <c r="D5" i="61"/>
  <c r="E2" i="36"/>
  <c r="D7" i="61"/>
  <c r="F3" i="61"/>
  <c r="E2" i="33"/>
  <c r="H23" i="31"/>
  <c r="F5" i="61"/>
  <c r="E2" i="37"/>
  <c r="D3" i="61"/>
  <c r="E2" i="35"/>
  <c r="E2" i="34"/>
  <c r="E2" i="11"/>
  <c r="F4" i="61"/>
  <c r="D6" i="61"/>
  <c r="F6" i="61"/>
  <c r="F7" i="61"/>
  <c r="D4" i="61"/>
  <c r="E2" i="21"/>
  <c r="J52" i="15" l="1"/>
  <c r="C7" i="36"/>
  <c r="C46" i="36" s="1"/>
  <c r="G19" i="43"/>
  <c r="O19" i="43" s="1"/>
  <c r="C7" i="37"/>
  <c r="C52" i="37" s="1"/>
  <c r="D52" i="37" s="1"/>
  <c r="E52" i="37" s="1"/>
  <c r="F52" i="37" s="1"/>
  <c r="G52" i="37" s="1"/>
  <c r="H52" i="37" s="1"/>
  <c r="I52" i="37" s="1"/>
  <c r="J52" i="37" s="1"/>
  <c r="K52" i="37" s="1"/>
  <c r="L52" i="37" s="1"/>
  <c r="M52" i="37" s="1"/>
  <c r="N52" i="37" s="1"/>
  <c r="O52" i="37" s="1"/>
  <c r="C7" i="21"/>
  <c r="C58" i="21" s="1"/>
  <c r="D58" i="21" s="1"/>
  <c r="N49" i="57"/>
  <c r="C53" i="10"/>
  <c r="C7" i="40"/>
  <c r="C62" i="40" s="1"/>
  <c r="D62" i="40" s="1"/>
  <c r="D3" i="36"/>
  <c r="D3" i="35"/>
  <c r="D3" i="21"/>
  <c r="F7" i="15"/>
  <c r="F51" i="15" s="1"/>
  <c r="C8" i="11"/>
  <c r="E18" i="1"/>
  <c r="C27" i="15"/>
  <c r="S399" i="31"/>
  <c r="T464" i="31"/>
  <c r="S464" i="31"/>
  <c r="T456" i="31"/>
  <c r="S456" i="31"/>
  <c r="T440" i="31"/>
  <c r="S440" i="31"/>
  <c r="T428" i="31"/>
  <c r="S428" i="31"/>
  <c r="T422" i="31"/>
  <c r="S422" i="31"/>
  <c r="T416" i="31"/>
  <c r="S416" i="31"/>
  <c r="T410" i="31"/>
  <c r="S410" i="31"/>
  <c r="T406" i="31"/>
  <c r="S406" i="31"/>
  <c r="T400" i="31"/>
  <c r="S400" i="31"/>
  <c r="T394" i="31"/>
  <c r="S394" i="31"/>
  <c r="T390" i="31"/>
  <c r="S390" i="31"/>
  <c r="T384" i="31"/>
  <c r="S384" i="31"/>
  <c r="T378" i="31"/>
  <c r="S378" i="31"/>
  <c r="T374" i="31"/>
  <c r="S374" i="31"/>
  <c r="T368" i="31"/>
  <c r="S368" i="31"/>
  <c r="T362" i="31"/>
  <c r="S362" i="31"/>
  <c r="T358" i="31"/>
  <c r="S358" i="31"/>
  <c r="T352" i="31"/>
  <c r="S352" i="31"/>
  <c r="T346" i="31"/>
  <c r="S346" i="31"/>
  <c r="T342" i="31"/>
  <c r="S342" i="31"/>
  <c r="T336" i="31"/>
  <c r="S336" i="31"/>
  <c r="T330" i="31"/>
  <c r="S330" i="31"/>
  <c r="T326" i="31"/>
  <c r="S326" i="31"/>
  <c r="T322" i="31"/>
  <c r="S322" i="31"/>
  <c r="T316" i="31"/>
  <c r="S316" i="31"/>
  <c r="T312" i="31"/>
  <c r="S312" i="31"/>
  <c r="T306" i="31"/>
  <c r="S306" i="31"/>
  <c r="T300" i="31"/>
  <c r="S300" i="31"/>
  <c r="T296" i="31"/>
  <c r="S296" i="31"/>
  <c r="T290" i="31"/>
  <c r="S290" i="31"/>
  <c r="T284" i="31"/>
  <c r="S284" i="31"/>
  <c r="T280" i="31"/>
  <c r="S280" i="31"/>
  <c r="T274" i="31"/>
  <c r="S274" i="31"/>
  <c r="T268" i="31"/>
  <c r="S268" i="31"/>
  <c r="T264" i="31"/>
  <c r="S264" i="31"/>
  <c r="T258" i="31"/>
  <c r="S258" i="31"/>
  <c r="T254" i="31"/>
  <c r="S254" i="31"/>
  <c r="T250" i="31"/>
  <c r="S250" i="31"/>
  <c r="T246" i="31"/>
  <c r="S246" i="31"/>
  <c r="T242" i="31"/>
  <c r="S242" i="31"/>
  <c r="T238" i="31"/>
  <c r="S238" i="31"/>
  <c r="T234" i="31"/>
  <c r="S234" i="31"/>
  <c r="T230" i="31"/>
  <c r="S230"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S502" i="31"/>
  <c r="S506" i="31"/>
  <c r="S524" i="31"/>
  <c r="S520" i="31"/>
  <c r="S516" i="31"/>
  <c r="S512" i="31"/>
  <c r="S452" i="31"/>
  <c r="S448" i="31"/>
  <c r="S108" i="31"/>
  <c r="S82" i="31"/>
  <c r="S90" i="31"/>
  <c r="S98" i="31"/>
  <c r="S62" i="31"/>
  <c r="S70" i="31"/>
  <c r="S460" i="31"/>
  <c r="S118" i="31"/>
  <c r="S436" i="31"/>
  <c r="S128" i="31"/>
  <c r="S136" i="31"/>
  <c r="S144" i="31"/>
  <c r="S152" i="31"/>
  <c r="S160" i="31"/>
  <c r="S168" i="31"/>
  <c r="S176" i="31"/>
  <c r="S184" i="31"/>
  <c r="S192" i="31"/>
  <c r="S200" i="31"/>
  <c r="S208" i="31"/>
  <c r="S216" i="31"/>
  <c r="S224" i="31"/>
  <c r="S228" i="31"/>
  <c r="S236" i="31"/>
  <c r="S244" i="31"/>
  <c r="S252" i="31"/>
  <c r="S260" i="31"/>
  <c r="S272" i="31"/>
  <c r="S282" i="31"/>
  <c r="S292" i="31"/>
  <c r="S304" i="31"/>
  <c r="S314" i="31"/>
  <c r="S426" i="31"/>
  <c r="S334" i="31"/>
  <c r="S344" i="31"/>
  <c r="S354" i="31"/>
  <c r="S366" i="31"/>
  <c r="S376" i="31"/>
  <c r="S386" i="31"/>
  <c r="S398" i="31"/>
  <c r="S408" i="31"/>
  <c r="S418" i="31"/>
  <c r="C18" i="9"/>
  <c r="D18" i="9" s="1"/>
  <c r="D20" i="1"/>
  <c r="F50" i="11"/>
  <c r="F34" i="11"/>
  <c r="D19" i="1"/>
  <c r="F19" i="1"/>
  <c r="D18" i="1"/>
  <c r="E19" i="1"/>
  <c r="S77" i="31"/>
  <c r="S501" i="31"/>
  <c r="S365" i="31"/>
  <c r="S97" i="31"/>
  <c r="S125" i="31"/>
  <c r="S397" i="31"/>
  <c r="S329" i="31"/>
  <c r="S181" i="31"/>
  <c r="T75" i="31"/>
  <c r="S187" i="31"/>
  <c r="T297" i="31"/>
  <c r="S495" i="31"/>
  <c r="S117" i="31"/>
  <c r="S413" i="31"/>
  <c r="S381" i="31"/>
  <c r="S349" i="31"/>
  <c r="S87" i="31"/>
  <c r="S137" i="31"/>
  <c r="S213" i="31"/>
  <c r="T59" i="31"/>
  <c r="T489" i="31"/>
  <c r="S219" i="31"/>
  <c r="S147" i="31"/>
  <c r="T265" i="31"/>
  <c r="S335" i="31"/>
  <c r="S479" i="31"/>
  <c r="S121" i="31"/>
  <c r="S55" i="31"/>
  <c r="S421" i="31"/>
  <c r="S405" i="31"/>
  <c r="S389" i="31"/>
  <c r="S373" i="31"/>
  <c r="S357" i="31"/>
  <c r="S341" i="31"/>
  <c r="S111" i="31"/>
  <c r="S455" i="31"/>
  <c r="S443" i="31"/>
  <c r="S165" i="31"/>
  <c r="S197" i="31"/>
  <c r="S431" i="31"/>
  <c r="T45" i="31"/>
  <c r="T67" i="31"/>
  <c r="T473" i="31"/>
  <c r="S203" i="31"/>
  <c r="S171" i="31"/>
  <c r="S437" i="31"/>
  <c r="S113" i="31"/>
  <c r="T281" i="31"/>
  <c r="T313" i="31"/>
  <c r="S367" i="31"/>
  <c r="T517" i="31"/>
  <c r="S517" i="31"/>
  <c r="T511" i="31"/>
  <c r="S511" i="31"/>
  <c r="T509" i="31"/>
  <c r="S509" i="31"/>
  <c r="S507" i="31"/>
  <c r="T507" i="31"/>
  <c r="T505" i="31"/>
  <c r="S505" i="31"/>
  <c r="S493" i="31"/>
  <c r="T493" i="31"/>
  <c r="T491" i="31"/>
  <c r="S491" i="31"/>
  <c r="S485" i="31"/>
  <c r="T485" i="31"/>
  <c r="S477" i="31"/>
  <c r="T477" i="31"/>
  <c r="T467" i="31"/>
  <c r="S467" i="31"/>
  <c r="T459" i="31"/>
  <c r="S459" i="31"/>
  <c r="T457" i="31"/>
  <c r="S457" i="31"/>
  <c r="S451" i="31"/>
  <c r="T451" i="31"/>
  <c r="T447" i="31"/>
  <c r="S447" i="31"/>
  <c r="T445" i="31"/>
  <c r="S445" i="31"/>
  <c r="T439" i="31"/>
  <c r="S439" i="31"/>
  <c r="T423" i="31"/>
  <c r="S423" i="31"/>
  <c r="T407" i="31"/>
  <c r="S407" i="31"/>
  <c r="T391" i="31"/>
  <c r="S391" i="31"/>
  <c r="T375" i="31"/>
  <c r="S375" i="31"/>
  <c r="T359" i="31"/>
  <c r="S359" i="31"/>
  <c r="T343" i="31"/>
  <c r="S343" i="31"/>
  <c r="T333" i="31"/>
  <c r="S333" i="31"/>
  <c r="T327" i="31"/>
  <c r="S327" i="31"/>
  <c r="T325" i="31"/>
  <c r="S325" i="31"/>
  <c r="S317" i="31"/>
  <c r="T317" i="31"/>
  <c r="S309" i="31"/>
  <c r="T309" i="31"/>
  <c r="S301" i="31"/>
  <c r="T301" i="31"/>
  <c r="S293" i="31"/>
  <c r="T293" i="31"/>
  <c r="S285" i="31"/>
  <c r="T285" i="31"/>
  <c r="S277" i="31"/>
  <c r="T277" i="31"/>
  <c r="S269" i="31"/>
  <c r="T269" i="31"/>
  <c r="S261" i="31"/>
  <c r="T261" i="31"/>
  <c r="T257" i="31"/>
  <c r="S257" i="31"/>
  <c r="T255" i="31"/>
  <c r="S255" i="31"/>
  <c r="T253" i="31"/>
  <c r="S253" i="31"/>
  <c r="T251" i="31"/>
  <c r="S251" i="31"/>
  <c r="T249" i="31"/>
  <c r="S249" i="31"/>
  <c r="T247" i="31"/>
  <c r="S247" i="31"/>
  <c r="T245" i="31"/>
  <c r="S245" i="31"/>
  <c r="T243" i="31"/>
  <c r="S243" i="31"/>
  <c r="T241" i="31"/>
  <c r="S241" i="31"/>
  <c r="T239" i="31"/>
  <c r="S239" i="31"/>
  <c r="T237" i="31"/>
  <c r="S237" i="31"/>
  <c r="T235" i="31"/>
  <c r="S235" i="31"/>
  <c r="T233" i="31"/>
  <c r="S233" i="31"/>
  <c r="T231" i="31"/>
  <c r="S231" i="31"/>
  <c r="T229" i="31"/>
  <c r="S229" i="31"/>
  <c r="T227" i="31"/>
  <c r="S227" i="31"/>
  <c r="T225" i="31"/>
  <c r="S225" i="31"/>
  <c r="T223" i="31"/>
  <c r="S223" i="31"/>
  <c r="T217" i="31"/>
  <c r="S217" i="31"/>
  <c r="T215" i="31"/>
  <c r="S215" i="31"/>
  <c r="T209" i="31"/>
  <c r="S209" i="31"/>
  <c r="T207" i="31"/>
  <c r="S207" i="31"/>
  <c r="T201" i="31"/>
  <c r="S201" i="31"/>
  <c r="T199" i="31"/>
  <c r="S199" i="31"/>
  <c r="T193" i="31"/>
  <c r="S193" i="31"/>
  <c r="T191" i="31"/>
  <c r="S191" i="31"/>
  <c r="T185" i="31"/>
  <c r="S185" i="31"/>
  <c r="T183" i="31"/>
  <c r="S183" i="31"/>
  <c r="T177" i="31"/>
  <c r="S177" i="31"/>
  <c r="T175" i="31"/>
  <c r="S175" i="31"/>
  <c r="T169" i="31"/>
  <c r="S169" i="31"/>
  <c r="T167" i="31"/>
  <c r="S167" i="31"/>
  <c r="T157" i="31"/>
  <c r="S157" i="31"/>
  <c r="T155" i="31"/>
  <c r="S155" i="31"/>
  <c r="T141" i="31"/>
  <c r="S141" i="31"/>
  <c r="T139" i="31"/>
  <c r="S139" i="31"/>
  <c r="T133" i="31"/>
  <c r="S133" i="31"/>
  <c r="T107" i="31"/>
  <c r="S107" i="31"/>
  <c r="T105" i="31"/>
  <c r="S105" i="31"/>
  <c r="T99" i="31"/>
  <c r="S99" i="31"/>
  <c r="T91" i="31"/>
  <c r="S91" i="31"/>
  <c r="T89" i="31"/>
  <c r="S89" i="31"/>
  <c r="T83" i="31"/>
  <c r="S83" i="31"/>
  <c r="S79" i="31"/>
  <c r="T79" i="31"/>
  <c r="S73" i="31"/>
  <c r="T73" i="31"/>
  <c r="S69" i="31"/>
  <c r="T69" i="31"/>
  <c r="S65" i="31"/>
  <c r="T65" i="31"/>
  <c r="S61" i="31"/>
  <c r="T61" i="31"/>
  <c r="S57" i="31"/>
  <c r="T57" i="31"/>
  <c r="T51" i="31"/>
  <c r="S51" i="31"/>
  <c r="S49" i="31"/>
  <c r="T49" i="31"/>
  <c r="S487" i="31"/>
  <c r="S471" i="31"/>
  <c r="S123" i="31"/>
  <c r="S119" i="31"/>
  <c r="S115" i="31"/>
  <c r="S47" i="31"/>
  <c r="S425" i="31"/>
  <c r="S417" i="31"/>
  <c r="S409" i="31"/>
  <c r="S401" i="31"/>
  <c r="S393" i="31"/>
  <c r="S385" i="31"/>
  <c r="S377" i="31"/>
  <c r="S369" i="31"/>
  <c r="S361" i="31"/>
  <c r="S353" i="31"/>
  <c r="S345" i="31"/>
  <c r="S337" i="31"/>
  <c r="S515" i="31"/>
  <c r="S103" i="31"/>
  <c r="S95" i="31"/>
  <c r="S463" i="31"/>
  <c r="S435" i="31"/>
  <c r="S129" i="31"/>
  <c r="S149" i="31"/>
  <c r="S173" i="31"/>
  <c r="S189" i="31"/>
  <c r="S205" i="31"/>
  <c r="S221" i="31"/>
  <c r="T53" i="31"/>
  <c r="T63" i="31"/>
  <c r="T71" i="31"/>
  <c r="T449" i="31"/>
  <c r="T481" i="31"/>
  <c r="T497" i="31"/>
  <c r="S429" i="31"/>
  <c r="S211" i="31"/>
  <c r="S195" i="31"/>
  <c r="S179" i="31"/>
  <c r="S163" i="31"/>
  <c r="S131" i="31"/>
  <c r="S465" i="31"/>
  <c r="S81" i="31"/>
  <c r="T259" i="31"/>
  <c r="T273" i="31"/>
  <c r="T289" i="31"/>
  <c r="T305" i="31"/>
  <c r="T321" i="31"/>
  <c r="S351" i="31"/>
  <c r="S383" i="31"/>
  <c r="S415" i="31"/>
  <c r="S475" i="31"/>
  <c r="T527" i="31"/>
  <c r="S527" i="31"/>
  <c r="T525" i="31"/>
  <c r="S525" i="31"/>
  <c r="T523" i="31"/>
  <c r="S523" i="31"/>
  <c r="T521" i="31"/>
  <c r="S521" i="31"/>
  <c r="T519" i="31"/>
  <c r="S519" i="31"/>
  <c r="T513" i="31"/>
  <c r="S513" i="31"/>
  <c r="T503" i="31"/>
  <c r="S503" i="31"/>
  <c r="T499" i="31"/>
  <c r="S499" i="31"/>
  <c r="T483" i="31"/>
  <c r="S483" i="31"/>
  <c r="T469" i="31"/>
  <c r="S469" i="31"/>
  <c r="T461" i="31"/>
  <c r="S461" i="31"/>
  <c r="T453" i="31"/>
  <c r="S453" i="31"/>
  <c r="T441" i="31"/>
  <c r="S441" i="31"/>
  <c r="T433" i="31"/>
  <c r="S433" i="31"/>
  <c r="T427" i="31"/>
  <c r="S427" i="31"/>
  <c r="T419" i="31"/>
  <c r="S419" i="31"/>
  <c r="T411" i="31"/>
  <c r="S411" i="31"/>
  <c r="T403" i="31"/>
  <c r="S403" i="31"/>
  <c r="T395" i="31"/>
  <c r="S395" i="31"/>
  <c r="T387" i="31"/>
  <c r="S387" i="31"/>
  <c r="T379" i="31"/>
  <c r="S379" i="31"/>
  <c r="T371" i="31"/>
  <c r="S371" i="31"/>
  <c r="T363" i="31"/>
  <c r="S363" i="31"/>
  <c r="T355" i="31"/>
  <c r="S355" i="31"/>
  <c r="T347" i="31"/>
  <c r="S347" i="31"/>
  <c r="T339" i="31"/>
  <c r="S339" i="31"/>
  <c r="T331" i="31"/>
  <c r="S331" i="31"/>
  <c r="S323" i="31"/>
  <c r="T323" i="31"/>
  <c r="S319" i="31"/>
  <c r="T319" i="31"/>
  <c r="S315" i="31"/>
  <c r="T315" i="31"/>
  <c r="S311" i="31"/>
  <c r="T311" i="31"/>
  <c r="S307" i="31"/>
  <c r="T307" i="31"/>
  <c r="S303" i="31"/>
  <c r="T303" i="31"/>
  <c r="S299" i="31"/>
  <c r="T299" i="31"/>
  <c r="S295" i="31"/>
  <c r="T295" i="31"/>
  <c r="S291" i="31"/>
  <c r="T291" i="31"/>
  <c r="S287" i="31"/>
  <c r="T287" i="31"/>
  <c r="S283" i="31"/>
  <c r="T283" i="31"/>
  <c r="S279" i="31"/>
  <c r="T279" i="31"/>
  <c r="S275" i="31"/>
  <c r="T275" i="31"/>
  <c r="S271" i="31"/>
  <c r="T271" i="31"/>
  <c r="S267" i="31"/>
  <c r="T267" i="31"/>
  <c r="S263" i="31"/>
  <c r="T263" i="31"/>
  <c r="T161" i="31"/>
  <c r="S161" i="31"/>
  <c r="T159" i="31"/>
  <c r="S159" i="31"/>
  <c r="T153" i="31"/>
  <c r="S153" i="31"/>
  <c r="T151" i="31"/>
  <c r="S151" i="31"/>
  <c r="T145" i="31"/>
  <c r="S145" i="31"/>
  <c r="T143" i="31"/>
  <c r="S143" i="31"/>
  <c r="T135" i="31"/>
  <c r="S135" i="31"/>
  <c r="T127" i="31"/>
  <c r="S127" i="31"/>
  <c r="T109" i="31"/>
  <c r="S109" i="31"/>
  <c r="T101" i="31"/>
  <c r="S101" i="31"/>
  <c r="T93" i="31"/>
  <c r="S93" i="31"/>
  <c r="T85" i="31"/>
  <c r="S85" i="31"/>
  <c r="T43" i="31"/>
  <c r="S43" i="31"/>
  <c r="M60" i="15"/>
  <c r="I114" i="9"/>
  <c r="D129" i="9" s="1"/>
  <c r="I116" i="57"/>
  <c r="D118" i="57"/>
  <c r="B58" i="60"/>
  <c r="B15" i="50"/>
  <c r="C20" i="59"/>
  <c r="T21" i="59"/>
  <c r="D21" i="59"/>
  <c r="B20" i="59"/>
  <c r="B19" i="59" s="1"/>
  <c r="B18" i="59" s="1"/>
  <c r="B17" i="59" s="1"/>
  <c r="S21" i="59"/>
  <c r="F20" i="59"/>
  <c r="F19" i="59" s="1"/>
  <c r="F18" i="59" s="1"/>
  <c r="F17" i="59" s="1"/>
  <c r="V21" i="59"/>
  <c r="U23" i="39"/>
  <c r="S27" i="36"/>
  <c r="W17" i="21"/>
  <c r="D22" i="59"/>
  <c r="B28" i="59"/>
  <c r="B27" i="59" s="1"/>
  <c r="S29" i="59"/>
  <c r="F9" i="35"/>
  <c r="H9" i="35"/>
  <c r="F12" i="35"/>
  <c r="H12" i="35"/>
  <c r="J36" i="35"/>
  <c r="H23" i="36"/>
  <c r="H44" i="39"/>
  <c r="F44" i="39"/>
  <c r="J39" i="40"/>
  <c r="F28" i="59"/>
  <c r="F27" i="59" s="1"/>
  <c r="V29" i="59"/>
  <c r="D4" i="47"/>
  <c r="F4" i="47" s="1"/>
  <c r="B2" i="47" s="1"/>
  <c r="B55" i="43"/>
  <c r="B75" i="43"/>
  <c r="F35" i="59"/>
  <c r="F36" i="59" s="1"/>
  <c r="F37" i="59" s="1"/>
  <c r="V37" i="59" s="1"/>
  <c r="X38" i="59"/>
  <c r="B39" i="59"/>
  <c r="B40" i="59" s="1"/>
  <c r="B41" i="59" s="1"/>
  <c r="S41" i="59" s="1"/>
  <c r="M19" i="43"/>
  <c r="U41" i="59"/>
  <c r="S21" i="21"/>
  <c r="S21" i="37"/>
  <c r="C29" i="39"/>
  <c r="C25" i="40"/>
  <c r="D72" i="59"/>
  <c r="AB28" i="59"/>
  <c r="AB26" i="59"/>
  <c r="X27" i="59"/>
  <c r="X28" i="59"/>
  <c r="Y26" i="59"/>
  <c r="Z26" i="59" s="1"/>
  <c r="X30" i="59"/>
  <c r="Y30" i="59"/>
  <c r="Z30" i="59" s="1"/>
  <c r="E31" i="59"/>
  <c r="E32" i="59" s="1"/>
  <c r="E33" i="59" s="1"/>
  <c r="U33" i="59" s="1"/>
  <c r="AB30" i="59"/>
  <c r="F31" i="59"/>
  <c r="F32" i="59" s="1"/>
  <c r="F33" i="59" s="1"/>
  <c r="V33" i="59" s="1"/>
  <c r="Y31" i="59"/>
  <c r="Z31" i="59" s="1"/>
  <c r="AB31" i="59"/>
  <c r="Y32" i="59"/>
  <c r="Z32" i="59" s="1"/>
  <c r="AB32" i="59"/>
  <c r="Y33" i="59"/>
  <c r="Z33" i="59" s="1"/>
  <c r="AB33" i="59"/>
  <c r="X34" i="59"/>
  <c r="Y34" i="59"/>
  <c r="Z34" i="59" s="1"/>
  <c r="X35" i="59"/>
  <c r="X36" i="59"/>
  <c r="X37" i="59"/>
  <c r="AA37" i="59"/>
  <c r="C39" i="59"/>
  <c r="AA38" i="59"/>
  <c r="AA39" i="59"/>
  <c r="X5" i="59"/>
  <c r="X9" i="59"/>
  <c r="X7" i="59"/>
  <c r="X6" i="59"/>
  <c r="X8" i="59"/>
  <c r="X11" i="59"/>
  <c r="X10" i="59"/>
  <c r="X12" i="59"/>
  <c r="AB6" i="59"/>
  <c r="AB5" i="59"/>
  <c r="AB8" i="59"/>
  <c r="AB7" i="59"/>
  <c r="AB10" i="59"/>
  <c r="AB9" i="59"/>
  <c r="AB11" i="59"/>
  <c r="P69" i="59"/>
  <c r="B76" i="59"/>
  <c r="B75" i="59" s="1"/>
  <c r="F76" i="59"/>
  <c r="F75" i="59" s="1"/>
  <c r="Z12" i="43"/>
  <c r="Z13" i="43" s="1"/>
  <c r="Z10" i="43"/>
  <c r="AD12" i="43"/>
  <c r="AD13" i="43" s="1"/>
  <c r="AD10" i="43"/>
  <c r="AH12" i="43"/>
  <c r="AH13" i="43" s="1"/>
  <c r="AH10" i="43"/>
  <c r="AA22" i="59"/>
  <c r="AA25" i="59"/>
  <c r="E16" i="59"/>
  <c r="E15" i="59" s="1"/>
  <c r="E14" i="59" s="1"/>
  <c r="E13" i="59" s="1"/>
  <c r="U17" i="59"/>
  <c r="Y24" i="59"/>
  <c r="Z24" i="59" s="1"/>
  <c r="AB23" i="59"/>
  <c r="AB22" i="59"/>
  <c r="Y22" i="59"/>
  <c r="Z22" i="59" s="1"/>
  <c r="Y20" i="59"/>
  <c r="Z20" i="59" s="1"/>
  <c r="AB18" i="59"/>
  <c r="AA18" i="59"/>
  <c r="X15" i="59"/>
  <c r="F39" i="59"/>
  <c r="F40" i="59" s="1"/>
  <c r="F41" i="59" s="1"/>
  <c r="V41" i="59" s="1"/>
  <c r="Y8" i="59"/>
  <c r="Z8" i="59" s="1"/>
  <c r="Y5" i="59"/>
  <c r="Z5" i="59" s="1"/>
  <c r="Y7" i="59"/>
  <c r="Z7" i="59" s="1"/>
  <c r="Y6" i="59"/>
  <c r="Z6" i="59" s="1"/>
  <c r="Y10" i="59"/>
  <c r="Z10" i="59" s="1"/>
  <c r="Y9" i="59"/>
  <c r="Z9" i="59" s="1"/>
  <c r="AA7" i="59"/>
  <c r="AA5" i="59"/>
  <c r="AA6" i="59"/>
  <c r="AA8" i="59"/>
  <c r="AA9" i="59"/>
  <c r="AA11" i="59"/>
  <c r="AA10" i="59"/>
  <c r="AF10" i="43"/>
  <c r="AC12" i="43"/>
  <c r="AC13" i="43" s="1"/>
  <c r="AC10" i="43"/>
  <c r="AG12" i="43"/>
  <c r="AG13" i="43" s="1"/>
  <c r="AG10" i="43"/>
  <c r="X23" i="59"/>
  <c r="AA20" i="59"/>
  <c r="X22" i="59"/>
  <c r="X18" i="59"/>
  <c r="AA17" i="59"/>
  <c r="AB17" i="59"/>
  <c r="Y19" i="59"/>
  <c r="Z19" i="59" s="1"/>
  <c r="AA13" i="59"/>
  <c r="V25" i="59"/>
  <c r="X25" i="59"/>
  <c r="Y25" i="59"/>
  <c r="Z25" i="59" s="1"/>
  <c r="Y18" i="59"/>
  <c r="Z18" i="59" s="1"/>
  <c r="Y16" i="59"/>
  <c r="Z16" i="59" s="1"/>
  <c r="AB16" i="59"/>
  <c r="AA12" i="59"/>
  <c r="X13" i="59"/>
  <c r="AB14" i="59"/>
  <c r="AB15" i="59"/>
  <c r="Y12" i="59"/>
  <c r="Z12" i="59" s="1"/>
  <c r="Y14" i="59"/>
  <c r="Z14" i="59" s="1"/>
  <c r="A8" i="52"/>
  <c r="B65" i="60" s="1"/>
  <c r="X16" i="59"/>
  <c r="AA16" i="59"/>
  <c r="AA14" i="59"/>
  <c r="AA15" i="59"/>
  <c r="X14" i="59"/>
  <c r="AB12" i="59"/>
  <c r="AB13" i="59"/>
  <c r="Y13" i="59"/>
  <c r="Z13" i="59" s="1"/>
  <c r="Y11" i="59"/>
  <c r="Z11"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M17" i="15"/>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N60" i="15"/>
  <c r="G17" i="43"/>
  <c r="C16" i="43" s="1"/>
  <c r="C5" i="43" s="1"/>
  <c r="J20" i="15"/>
  <c r="C6" i="15"/>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79" i="57"/>
  <c r="C76" i="57" s="1"/>
  <c r="C24" i="12"/>
  <c r="C29" i="12" s="1"/>
  <c r="D28" i="12" s="1"/>
  <c r="C77" i="9"/>
  <c r="C74" i="9" s="1"/>
  <c r="F31" i="15"/>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F7" i="37" l="1"/>
  <c r="S7" i="37" s="1"/>
  <c r="C64" i="40"/>
  <c r="D69" i="39"/>
  <c r="J7" i="37"/>
  <c r="AC7" i="37" s="1"/>
  <c r="V42" i="37" s="1"/>
  <c r="I42" i="37" s="1"/>
  <c r="F67" i="39"/>
  <c r="G67" i="39" s="1"/>
  <c r="C7" i="12"/>
  <c r="C8" i="12" s="1"/>
  <c r="C4" i="12" s="1"/>
  <c r="D14" i="12"/>
  <c r="C14" i="12" s="1"/>
  <c r="B27" i="31"/>
  <c r="F18" i="1"/>
  <c r="D20" i="12"/>
  <c r="C20" i="12" s="1"/>
  <c r="C18" i="12" s="1"/>
  <c r="D17" i="12"/>
  <c r="C17" i="12" s="1"/>
  <c r="H7" i="37"/>
  <c r="AB7" i="37" s="1"/>
  <c r="T42" i="37" s="1"/>
  <c r="G42" i="37" s="1"/>
  <c r="G46" i="37" s="1"/>
  <c r="H46" i="37" s="1"/>
  <c r="F7" i="35"/>
  <c r="AA7" i="35" s="1"/>
  <c r="R38" i="35" s="1"/>
  <c r="D19" i="50"/>
  <c r="B32" i="60" s="1"/>
  <c r="D133" i="57"/>
  <c r="D42" i="50"/>
  <c r="D43" i="50" s="1"/>
  <c r="AA44" i="39"/>
  <c r="S44" i="39"/>
  <c r="U23" i="36"/>
  <c r="AB23" i="36"/>
  <c r="U12" i="35"/>
  <c r="AB12" i="35"/>
  <c r="AB9" i="35"/>
  <c r="U9" i="35"/>
  <c r="F16" i="59"/>
  <c r="F15" i="59" s="1"/>
  <c r="F14" i="59" s="1"/>
  <c r="F13" i="59" s="1"/>
  <c r="V17" i="59"/>
  <c r="B16" i="59"/>
  <c r="B15" i="59" s="1"/>
  <c r="B14" i="59" s="1"/>
  <c r="B13" i="59" s="1"/>
  <c r="S17" i="59"/>
  <c r="D39" i="59"/>
  <c r="C40" i="59"/>
  <c r="AC39" i="40"/>
  <c r="W39" i="40"/>
  <c r="AB44" i="39"/>
  <c r="U44" i="39"/>
  <c r="AC36" i="35"/>
  <c r="W36" i="35"/>
  <c r="S12" i="35"/>
  <c r="AA12" i="35"/>
  <c r="AA9" i="35"/>
  <c r="S9" i="35"/>
  <c r="C19" i="59"/>
  <c r="D20" i="59"/>
  <c r="C7" i="43"/>
  <c r="U9" i="59"/>
  <c r="E8" i="59"/>
  <c r="J7" i="35"/>
  <c r="AC7" i="35" s="1"/>
  <c r="V38" i="35" s="1"/>
  <c r="I38" i="35" s="1"/>
  <c r="C30" i="11"/>
  <c r="C48" i="11"/>
  <c r="C32" i="15"/>
  <c r="E27" i="1"/>
  <c r="D5" i="43"/>
  <c r="Q59" i="15"/>
  <c r="D9" i="48"/>
  <c r="E3" i="4"/>
  <c r="D7" i="62"/>
  <c r="C7" i="62"/>
  <c r="U7" i="37"/>
  <c r="C50" i="15"/>
  <c r="F60" i="15"/>
  <c r="AC7" i="33"/>
  <c r="V48" i="33" s="1"/>
  <c r="I48" i="33" s="1"/>
  <c r="I52" i="33" s="1"/>
  <c r="J52" i="33" s="1"/>
  <c r="D113" i="43"/>
  <c r="D64" i="40"/>
  <c r="E62" i="40"/>
  <c r="AA7" i="37"/>
  <c r="R42" i="37" s="1"/>
  <c r="R43" i="37" s="1"/>
  <c r="L49" i="15"/>
  <c r="I20" i="43"/>
  <c r="B14" i="1"/>
  <c r="W7" i="37"/>
  <c r="AB7" i="33"/>
  <c r="T48" i="33" s="1"/>
  <c r="G48" i="33" s="1"/>
  <c r="U7" i="33"/>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W7" i="35"/>
  <c r="D22" i="50"/>
  <c r="B35" i="60" s="1"/>
  <c r="B33" i="60"/>
  <c r="C19" i="43"/>
  <c r="P24" i="43"/>
  <c r="B65" i="40" s="1"/>
  <c r="P21" i="43"/>
  <c r="B70" i="39" s="1"/>
  <c r="P23" i="43"/>
  <c r="P22" i="43"/>
  <c r="P28" i="43"/>
  <c r="N28" i="43"/>
  <c r="M28" i="43"/>
  <c r="O28" i="43"/>
  <c r="G20" i="43" s="1"/>
  <c r="E41" i="43" s="1"/>
  <c r="C41" i="43" s="1"/>
  <c r="F11" i="15"/>
  <c r="M11" i="15"/>
  <c r="J10" i="15" s="1"/>
  <c r="J5" i="15" s="1"/>
  <c r="S7" i="35" l="1"/>
  <c r="F69" i="39"/>
  <c r="G69" i="39"/>
  <c r="H67" i="39"/>
  <c r="C11" i="12"/>
  <c r="C15" i="12" s="1"/>
  <c r="C14" i="15"/>
  <c r="C34" i="11"/>
  <c r="C12" i="12"/>
  <c r="B25" i="31"/>
  <c r="X27" i="31"/>
  <c r="X25" i="31" s="1"/>
  <c r="V27" i="31"/>
  <c r="V25" i="31" s="1"/>
  <c r="C36" i="57" s="1"/>
  <c r="D125" i="57" s="1"/>
  <c r="C31" i="31"/>
  <c r="C30" i="31"/>
  <c r="C33" i="31"/>
  <c r="C35" i="31"/>
  <c r="C37" i="31"/>
  <c r="C39" i="31"/>
  <c r="C41" i="31"/>
  <c r="Y27" i="31"/>
  <c r="Y25" i="31" s="1"/>
  <c r="C37" i="57" s="1"/>
  <c r="F125" i="57" s="1"/>
  <c r="U27" i="31"/>
  <c r="U25" i="31" s="1"/>
  <c r="C28" i="31"/>
  <c r="C29" i="31"/>
  <c r="C32" i="31"/>
  <c r="C34" i="31"/>
  <c r="C36" i="31"/>
  <c r="C38" i="31"/>
  <c r="C40" i="31"/>
  <c r="C23" i="12"/>
  <c r="C31" i="12"/>
  <c r="C6" i="11"/>
  <c r="C7" i="11" s="1"/>
  <c r="C5" i="11" s="1"/>
  <c r="C20" i="11" s="1"/>
  <c r="C28" i="11" s="1"/>
  <c r="C27" i="11" s="1"/>
  <c r="E42" i="37"/>
  <c r="I14" i="62"/>
  <c r="B8" i="62" s="1"/>
  <c r="D12" i="52"/>
  <c r="C41" i="59"/>
  <c r="D40" i="59"/>
  <c r="J7" i="36"/>
  <c r="W7" i="36" s="1"/>
  <c r="C18" i="59"/>
  <c r="D19" i="59"/>
  <c r="S13" i="59"/>
  <c r="B12" i="59"/>
  <c r="B11" i="59" s="1"/>
  <c r="B10" i="59" s="1"/>
  <c r="B9" i="59" s="1"/>
  <c r="V13" i="59"/>
  <c r="F12" i="59"/>
  <c r="F11" i="59" s="1"/>
  <c r="F10" i="59" s="1"/>
  <c r="F9" i="59" s="1"/>
  <c r="E7" i="59"/>
  <c r="H7" i="36"/>
  <c r="U7" i="36" s="1"/>
  <c r="C20" i="43"/>
  <c r="C29" i="43" s="1"/>
  <c r="B5" i="55"/>
  <c r="B55" i="60" s="1"/>
  <c r="B18" i="49"/>
  <c r="B4" i="60"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I67" i="39" l="1"/>
  <c r="H69" i="39"/>
  <c r="AB7" i="36"/>
  <c r="T36" i="36" s="1"/>
  <c r="G36" i="36" s="1"/>
  <c r="C15" i="15"/>
  <c r="C18" i="15"/>
  <c r="C16" i="15"/>
  <c r="C38" i="11"/>
  <c r="C35" i="11"/>
  <c r="C16" i="12"/>
  <c r="C21" i="12" s="1"/>
  <c r="C22" i="12" s="1"/>
  <c r="C30" i="12" s="1"/>
  <c r="C28" i="12" s="1"/>
  <c r="F126" i="57"/>
  <c r="L108" i="57"/>
  <c r="D126" i="57"/>
  <c r="B125" i="57"/>
  <c r="G125" i="57" s="1"/>
  <c r="H103" i="57"/>
  <c r="C8" i="62"/>
  <c r="D8" i="62"/>
  <c r="AC7" i="36"/>
  <c r="V36" i="36" s="1"/>
  <c r="I36" i="36" s="1"/>
  <c r="G41" i="36" s="1"/>
  <c r="H41" i="36" s="1"/>
  <c r="V9" i="59"/>
  <c r="F8" i="59"/>
  <c r="F7" i="59" s="1"/>
  <c r="S9" i="59"/>
  <c r="B8" i="59"/>
  <c r="B7" i="59" s="1"/>
  <c r="B6" i="59" s="1"/>
  <c r="T41" i="59"/>
  <c r="D41" i="59"/>
  <c r="D18" i="59"/>
  <c r="C17"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0" i="36"/>
  <c r="H40" i="36" s="1"/>
  <c r="C48" i="33"/>
  <c r="C49" i="33"/>
  <c r="B2" i="33" s="1"/>
  <c r="B3" i="33" s="1"/>
  <c r="E39" i="43"/>
  <c r="E38" i="43"/>
  <c r="G38" i="43"/>
  <c r="I38" i="43" s="1"/>
  <c r="C26" i="12"/>
  <c r="D25" i="12" s="1"/>
  <c r="C24" i="15"/>
  <c r="C23" i="11"/>
  <c r="C44" i="11"/>
  <c r="D41" i="11" s="1"/>
  <c r="C25" i="11"/>
  <c r="C26" i="11"/>
  <c r="D22" i="11" s="1"/>
  <c r="C24" i="11"/>
  <c r="C61" i="15"/>
  <c r="C67" i="15"/>
  <c r="C38" i="15"/>
  <c r="I69" i="39" l="1"/>
  <c r="J67" i="39"/>
  <c r="C33" i="11"/>
  <c r="C39" i="11" s="1"/>
  <c r="C42" i="11"/>
  <c r="C19" i="15"/>
  <c r="C27" i="12"/>
  <c r="C25" i="12" s="1"/>
  <c r="C32" i="12" s="1"/>
  <c r="E125" i="57"/>
  <c r="C16" i="59"/>
  <c r="T17" i="59"/>
  <c r="D17" i="59"/>
  <c r="F5" i="59"/>
  <c r="V5" i="59" s="1"/>
  <c r="E5" i="59"/>
  <c r="U5" i="59" s="1"/>
  <c r="B5" i="59"/>
  <c r="S5" i="59" s="1"/>
  <c r="E33" i="43"/>
  <c r="G36" i="43"/>
  <c r="I36" i="43" s="1"/>
  <c r="E35" i="43"/>
  <c r="E34" i="43"/>
  <c r="G37" i="43"/>
  <c r="I37" i="43" s="1"/>
  <c r="G64" i="40"/>
  <c r="H62" i="40"/>
  <c r="J29" i="15"/>
  <c r="B3" i="35"/>
  <c r="B2" i="35"/>
  <c r="H59" i="34"/>
  <c r="R37" i="36"/>
  <c r="E36" i="36"/>
  <c r="I58" i="21"/>
  <c r="C22" i="11"/>
  <c r="C31" i="11" s="1"/>
  <c r="K67" i="39" l="1"/>
  <c r="J69" i="39"/>
  <c r="C46" i="11"/>
  <c r="C45" i="11" s="1"/>
  <c r="C43" i="11"/>
  <c r="C41" i="11" s="1"/>
  <c r="C20" i="15"/>
  <c r="C23" i="15" s="1"/>
  <c r="D16" i="59"/>
  <c r="C15" i="59"/>
  <c r="C27" i="43"/>
  <c r="C26" i="43"/>
  <c r="B2" i="43" s="1"/>
  <c r="B3" i="43" s="1"/>
  <c r="I62" i="40"/>
  <c r="H64" i="40"/>
  <c r="J58" i="21"/>
  <c r="K58" i="21" s="1"/>
  <c r="L58" i="21" s="1"/>
  <c r="M58" i="21" s="1"/>
  <c r="N58" i="21" s="1"/>
  <c r="O58" i="21" s="1"/>
  <c r="J7" i="21"/>
  <c r="F7" i="21"/>
  <c r="E40" i="36"/>
  <c r="F40" i="36" s="1"/>
  <c r="E41" i="36"/>
  <c r="F41" i="36" s="1"/>
  <c r="I41" i="36"/>
  <c r="J41" i="36" s="1"/>
  <c r="I59" i="34"/>
  <c r="H7" i="21"/>
  <c r="C36" i="36"/>
  <c r="C37" i="36"/>
  <c r="B2" i="36" s="1"/>
  <c r="B3" i="36" s="1"/>
  <c r="C33" i="15"/>
  <c r="C31" i="15" s="1"/>
  <c r="B2" i="12"/>
  <c r="B3" i="12"/>
  <c r="K69" i="39" l="1"/>
  <c r="L67" i="39"/>
  <c r="C49" i="11"/>
  <c r="C51" i="11" s="1"/>
  <c r="C52" i="11" s="1"/>
  <c r="B3" i="11" s="1"/>
  <c r="C26" i="15"/>
  <c r="C29" i="15" s="1"/>
  <c r="C14" i="59"/>
  <c r="D15" i="59"/>
  <c r="J62" i="40"/>
  <c r="I64" i="40"/>
  <c r="AB7" i="21"/>
  <c r="T48" i="21" s="1"/>
  <c r="G48" i="21" s="1"/>
  <c r="U7" i="21"/>
  <c r="AC7" i="21"/>
  <c r="V48" i="21" s="1"/>
  <c r="I48" i="21" s="1"/>
  <c r="W7" i="21"/>
  <c r="J59" i="34"/>
  <c r="S7" i="21"/>
  <c r="AA7" i="21"/>
  <c r="R48" i="21" s="1"/>
  <c r="C20" i="9"/>
  <c r="C20" i="57"/>
  <c r="L69" i="39" l="1"/>
  <c r="M67" i="39"/>
  <c r="B2" i="11"/>
  <c r="C56" i="11"/>
  <c r="C57" i="11" s="1"/>
  <c r="J14" i="15"/>
  <c r="J60" i="15"/>
  <c r="J61" i="15" s="1"/>
  <c r="Q46" i="15" s="1"/>
  <c r="C13" i="15"/>
  <c r="J19" i="15"/>
  <c r="J17" i="15" s="1"/>
  <c r="C58" i="15"/>
  <c r="Q47" i="15"/>
  <c r="C36" i="15"/>
  <c r="C104" i="57"/>
  <c r="C102" i="9"/>
  <c r="C13" i="59"/>
  <c r="D14" i="59"/>
  <c r="J64" i="40"/>
  <c r="K62" i="40"/>
  <c r="G53" i="21"/>
  <c r="H53" i="21" s="1"/>
  <c r="G52" i="21"/>
  <c r="H52" i="21" s="1"/>
  <c r="K59" i="34"/>
  <c r="R49" i="21"/>
  <c r="E48" i="21"/>
  <c r="I52" i="21"/>
  <c r="J52" i="21" s="1"/>
  <c r="I53" i="21"/>
  <c r="J53" i="21" s="1"/>
  <c r="C19" i="57"/>
  <c r="C19" i="9"/>
  <c r="M69" i="39" l="1"/>
  <c r="N67" i="39"/>
  <c r="C103" i="57"/>
  <c r="C101" i="9"/>
  <c r="C62" i="15"/>
  <c r="C60" i="15" s="1"/>
  <c r="C65" i="15"/>
  <c r="J34" i="15"/>
  <c r="C57" i="15"/>
  <c r="C66" i="15" s="1"/>
  <c r="Q68" i="15"/>
  <c r="C37" i="15"/>
  <c r="C30" i="15" s="1"/>
  <c r="C39" i="15" s="1"/>
  <c r="J22" i="15"/>
  <c r="J13" i="15"/>
  <c r="J23" i="15" s="1"/>
  <c r="C12" i="59"/>
  <c r="T13" i="59"/>
  <c r="D13" i="59"/>
  <c r="L62" i="40"/>
  <c r="K64" i="40"/>
  <c r="E52" i="21"/>
  <c r="F52" i="21" s="1"/>
  <c r="E53" i="21"/>
  <c r="F53" i="21" s="1"/>
  <c r="C48" i="21"/>
  <c r="C49" i="21"/>
  <c r="B2" i="21" s="1"/>
  <c r="B3" i="21" s="1"/>
  <c r="L59" i="34"/>
  <c r="O67" i="39" l="1"/>
  <c r="O69" i="39" s="1"/>
  <c r="N69" i="39"/>
  <c r="J16" i="15"/>
  <c r="J25" i="15" s="1"/>
  <c r="C59" i="15"/>
  <c r="C68" i="15" s="1"/>
  <c r="C69" i="15" s="1"/>
  <c r="C72" i="15" s="1"/>
  <c r="J38" i="15"/>
  <c r="J39" i="15" s="1"/>
  <c r="C40" i="15"/>
  <c r="Q67" i="15"/>
  <c r="Q66" i="15" s="1"/>
  <c r="C11" i="59"/>
  <c r="D12" i="59"/>
  <c r="L64" i="40"/>
  <c r="M62" i="40"/>
  <c r="M59" i="34"/>
  <c r="N59" i="34" s="1"/>
  <c r="O59" i="34" s="1"/>
  <c r="H7" i="34" s="1"/>
  <c r="L58" i="15"/>
  <c r="L61" i="15" s="1"/>
  <c r="J7" i="39" l="1"/>
  <c r="H7" i="39"/>
  <c r="F7" i="39"/>
  <c r="L52" i="15"/>
  <c r="Q65" i="15" s="1"/>
  <c r="Q54" i="15"/>
  <c r="Q63" i="15"/>
  <c r="J41" i="15"/>
  <c r="C43" i="15"/>
  <c r="Q45" i="15"/>
  <c r="Q51" i="15" s="1"/>
  <c r="C47" i="15"/>
  <c r="D11" i="59"/>
  <c r="C10" i="59"/>
  <c r="Q64" i="15"/>
  <c r="L47" i="15"/>
  <c r="F7" i="34"/>
  <c r="S7" i="34" s="1"/>
  <c r="J7" i="34"/>
  <c r="W7" i="34" s="1"/>
  <c r="M64" i="40"/>
  <c r="N62" i="40"/>
  <c r="AB7" i="34"/>
  <c r="T49" i="34" s="1"/>
  <c r="G49" i="34" s="1"/>
  <c r="U7" i="34"/>
  <c r="Q55" i="15"/>
  <c r="D55" i="9"/>
  <c r="N53" i="9" s="1"/>
  <c r="D56" i="9"/>
  <c r="N54" i="9" s="1"/>
  <c r="D59" i="9"/>
  <c r="N55" i="9" s="1"/>
  <c r="S7" i="39" l="1"/>
  <c r="AA7" i="39"/>
  <c r="R47" i="39" s="1"/>
  <c r="AB7" i="39"/>
  <c r="T47" i="39" s="1"/>
  <c r="G47" i="39" s="1"/>
  <c r="U7" i="39"/>
  <c r="AC7" i="39"/>
  <c r="V47" i="39" s="1"/>
  <c r="I47" i="39" s="1"/>
  <c r="I51" i="39" s="1"/>
  <c r="J51" i="39" s="1"/>
  <c r="W7" i="39"/>
  <c r="Q60" i="15"/>
  <c r="Q73" i="15"/>
  <c r="J42" i="15"/>
  <c r="D35" i="9"/>
  <c r="D34" i="9" s="1"/>
  <c r="D10" i="59"/>
  <c r="C9" i="59"/>
  <c r="AA7" i="34"/>
  <c r="R49" i="34" s="1"/>
  <c r="R50" i="34" s="1"/>
  <c r="B2" i="15"/>
  <c r="B3" i="15"/>
  <c r="AC7" i="34"/>
  <c r="V49" i="34" s="1"/>
  <c r="I49" i="34" s="1"/>
  <c r="G54" i="34" s="1"/>
  <c r="H54" i="34" s="1"/>
  <c r="E49" i="34"/>
  <c r="E53" i="34" s="1"/>
  <c r="F53" i="34" s="1"/>
  <c r="O62" i="40"/>
  <c r="O64" i="40" s="1"/>
  <c r="N64" i="40"/>
  <c r="G51" i="39"/>
  <c r="H51" i="39" s="1"/>
  <c r="G52" i="39"/>
  <c r="H52" i="39" s="1"/>
  <c r="G53" i="34"/>
  <c r="H53" i="34" s="1"/>
  <c r="E54" i="34"/>
  <c r="F54" i="34" s="1"/>
  <c r="D19" i="57"/>
  <c r="D19" i="9"/>
  <c r="D20" i="9"/>
  <c r="D20" i="57"/>
  <c r="R48" i="39" l="1"/>
  <c r="E47" i="39"/>
  <c r="D103" i="57"/>
  <c r="G19" i="57"/>
  <c r="D22" i="57"/>
  <c r="D104" i="57"/>
  <c r="G20" i="57"/>
  <c r="D101" i="9"/>
  <c r="G19" i="9"/>
  <c r="D22" i="9"/>
  <c r="D102" i="9"/>
  <c r="G20" i="9"/>
  <c r="C8" i="59"/>
  <c r="D9" i="59"/>
  <c r="T9" i="59"/>
  <c r="I53" i="34"/>
  <c r="J53" i="34" s="1"/>
  <c r="I54" i="34"/>
  <c r="J54" i="34" s="1"/>
  <c r="C50" i="34"/>
  <c r="B2" i="34" s="1"/>
  <c r="B3" i="34" s="1"/>
  <c r="C49" i="34"/>
  <c r="H7" i="40"/>
  <c r="J7" i="40"/>
  <c r="F7" i="40"/>
  <c r="E51" i="39" l="1"/>
  <c r="F51" i="39" s="1"/>
  <c r="E52" i="39"/>
  <c r="F52" i="39" s="1"/>
  <c r="I52" i="39"/>
  <c r="J52" i="39" s="1"/>
  <c r="C47" i="39"/>
  <c r="C48" i="39"/>
  <c r="C105" i="57"/>
  <c r="C106" i="57"/>
  <c r="C32" i="9"/>
  <c r="C35" i="9" s="1"/>
  <c r="C34" i="9" s="1"/>
  <c r="R27" i="31"/>
  <c r="C7" i="59"/>
  <c r="D8" i="59"/>
  <c r="AC7" i="40"/>
  <c r="V42" i="40" s="1"/>
  <c r="I42" i="40" s="1"/>
  <c r="I46" i="40" s="1"/>
  <c r="J46" i="40" s="1"/>
  <c r="W7" i="40"/>
  <c r="S7" i="40"/>
  <c r="AA7" i="40"/>
  <c r="R42" i="40" s="1"/>
  <c r="R43" i="40" s="1"/>
  <c r="AB7" i="40"/>
  <c r="T42" i="40" s="1"/>
  <c r="G42" i="40" s="1"/>
  <c r="G46" i="40" s="1"/>
  <c r="H46" i="40" s="1"/>
  <c r="U7" i="40"/>
  <c r="B62" i="39" l="1"/>
  <c r="F62" i="39" s="1"/>
  <c r="B63" i="39"/>
  <c r="F63" i="39" s="1"/>
  <c r="B59" i="39"/>
  <c r="F59" i="39" s="1"/>
  <c r="B61" i="39"/>
  <c r="F61" i="39" s="1"/>
  <c r="B60" i="39"/>
  <c r="F60" i="39" s="1"/>
  <c r="B56" i="39"/>
  <c r="F56" i="39" s="1"/>
  <c r="F65" i="39" s="1"/>
  <c r="B2" i="39" s="1"/>
  <c r="B3" i="39" s="1"/>
  <c r="B57" i="39"/>
  <c r="F57" i="39" s="1"/>
  <c r="B58" i="39"/>
  <c r="F58" i="39" s="1"/>
  <c r="B64" i="39"/>
  <c r="F64" i="39" s="1"/>
  <c r="H62" i="64"/>
  <c r="T27" i="31"/>
  <c r="C33" i="57"/>
  <c r="S27" i="31"/>
  <c r="R40" i="31"/>
  <c r="R36" i="31"/>
  <c r="R32" i="31"/>
  <c r="R28" i="31"/>
  <c r="R39" i="31"/>
  <c r="R35" i="31"/>
  <c r="R30" i="31"/>
  <c r="R38" i="31"/>
  <c r="R34" i="31"/>
  <c r="R29" i="31"/>
  <c r="R41" i="31"/>
  <c r="R37" i="31"/>
  <c r="R33" i="31"/>
  <c r="R31" i="31"/>
  <c r="D7" i="59"/>
  <c r="C6" i="59"/>
  <c r="G47" i="40"/>
  <c r="H47" i="40" s="1"/>
  <c r="E42" i="40"/>
  <c r="H66" i="64" l="1"/>
  <c r="H65" i="64"/>
  <c r="H64" i="64"/>
  <c r="H63" i="64"/>
  <c r="G62" i="64"/>
  <c r="T33" i="31"/>
  <c r="S33" i="31"/>
  <c r="S41" i="31"/>
  <c r="T41" i="31"/>
  <c r="S34" i="31"/>
  <c r="T34" i="31"/>
  <c r="T30" i="31"/>
  <c r="S30" i="31"/>
  <c r="T39" i="31"/>
  <c r="S39" i="31"/>
  <c r="T32" i="31"/>
  <c r="S32" i="31"/>
  <c r="S40" i="31"/>
  <c r="T40" i="31"/>
  <c r="T31" i="31"/>
  <c r="S31" i="31"/>
  <c r="S37" i="31"/>
  <c r="T37" i="31"/>
  <c r="T29" i="31"/>
  <c r="S29" i="31"/>
  <c r="S38" i="31"/>
  <c r="T38" i="31"/>
  <c r="T35" i="31"/>
  <c r="S35" i="31"/>
  <c r="S28" i="31"/>
  <c r="T28" i="31"/>
  <c r="G63" i="64" s="1"/>
  <c r="S36" i="31"/>
  <c r="T36" i="31"/>
  <c r="D6" i="59"/>
  <c r="C5" i="59"/>
  <c r="I47" i="40"/>
  <c r="J47" i="40" s="1"/>
  <c r="E47" i="40"/>
  <c r="F47" i="40" s="1"/>
  <c r="E46" i="40"/>
  <c r="F46" i="40" s="1"/>
  <c r="C43" i="40"/>
  <c r="C42" i="40"/>
  <c r="G64" i="64" l="1"/>
  <c r="G66" i="64"/>
  <c r="G65" i="64"/>
  <c r="AB30" i="31"/>
  <c r="AB32" i="31" s="1"/>
  <c r="T25" i="31"/>
  <c r="S25" i="31"/>
  <c r="T5" i="59"/>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B23" i="31" l="1"/>
  <c r="B24" i="31" s="1"/>
  <c r="B3" i="31" s="1"/>
  <c r="C35" i="57" s="1"/>
  <c r="I125" i="57" s="1"/>
  <c r="U23" i="31"/>
  <c r="W23" i="31" s="1"/>
  <c r="G26" i="64"/>
  <c r="G33" i="64" s="1"/>
  <c r="R25" i="31"/>
  <c r="B2" i="31" l="1"/>
  <c r="C34" i="57" s="1"/>
  <c r="H125" i="57" s="1"/>
  <c r="D111" i="57"/>
  <c r="C108" i="57"/>
  <c r="I105" i="57"/>
  <c r="C107" i="57"/>
  <c r="I104" i="57"/>
  <c r="D110" i="57"/>
  <c r="H126" i="57"/>
  <c r="D116" i="57" l="1"/>
  <c r="D117" i="57" s="1"/>
  <c r="I113" i="57" s="1"/>
  <c r="D130" i="57" s="1"/>
  <c r="D10" i="52" s="1"/>
  <c r="D121" i="57"/>
  <c r="I117" i="57" s="1"/>
  <c r="D47" i="57"/>
  <c r="N50" i="57"/>
  <c r="I112" i="57"/>
  <c r="N51" i="57" l="1"/>
  <c r="D129" i="57"/>
  <c r="D55" i="57"/>
  <c r="D50" i="57" s="1"/>
  <c r="N54" i="57" s="1"/>
  <c r="C66" i="57"/>
  <c r="C65" i="57" s="1"/>
  <c r="C69" i="57" s="1"/>
  <c r="C70" i="57" s="1"/>
  <c r="D56" i="57" s="1"/>
  <c r="D61" i="57"/>
  <c r="N57" i="57" s="1"/>
  <c r="C95" i="57"/>
  <c r="C88" i="57" s="1"/>
  <c r="C87" i="57"/>
  <c r="C80" i="57"/>
  <c r="C75" i="57" s="1"/>
  <c r="C74" i="57"/>
  <c r="D57" i="57"/>
  <c r="N55" i="57" s="1"/>
  <c r="D54" i="57"/>
  <c r="C81" i="57" l="1"/>
  <c r="C97" i="57"/>
  <c r="M69" i="57"/>
  <c r="N69" i="57" s="1"/>
  <c r="M66" i="57"/>
  <c r="N66" i="57" s="1"/>
  <c r="M68" i="57"/>
  <c r="N68" i="57" s="1"/>
  <c r="M67" i="57"/>
  <c r="N67" i="57" s="1"/>
  <c r="M70" i="57"/>
  <c r="N70" i="57" s="1"/>
  <c r="M65" i="57"/>
  <c r="N65" i="57" s="1"/>
  <c r="C98" i="57" l="1"/>
  <c r="E98" i="57" s="1"/>
  <c r="E99" i="57" s="1"/>
  <c r="N71" i="57"/>
  <c r="O71" i="57" s="1"/>
  <c r="C82" i="57"/>
  <c r="E82" i="57" s="1"/>
  <c r="E83" i="57" s="1"/>
  <c r="C83" i="57" l="1"/>
  <c r="C99" i="57"/>
  <c r="D60" i="57" s="1"/>
  <c r="D58" i="57" s="1"/>
  <c r="N56" i="57" s="1"/>
  <c r="O59" i="57" s="1"/>
  <c r="O61" i="57" l="1"/>
  <c r="Q59" i="57"/>
  <c r="O60" i="57"/>
  <c r="O62" i="57" l="1"/>
  <c r="O63" i="57"/>
  <c r="E121" i="9" l="1"/>
  <c r="E4" i="52" s="1"/>
  <c r="B38" i="60" s="1"/>
  <c r="G121" i="9"/>
  <c r="G4" i="52" s="1"/>
  <c r="B41" i="60" s="1"/>
  <c r="I121" i="9"/>
  <c r="D121" i="9" l="1"/>
  <c r="D4" i="52" s="1"/>
  <c r="B37" i="60" s="1"/>
  <c r="D107" i="9"/>
  <c r="I4" i="52"/>
  <c r="F121" i="9"/>
  <c r="H121" i="9"/>
  <c r="C104" i="9"/>
  <c r="I103" i="9"/>
  <c r="D122" i="9" l="1"/>
  <c r="D5" i="52" s="1"/>
  <c r="B39" i="60" s="1"/>
  <c r="C103" i="9"/>
  <c r="H4" i="52"/>
  <c r="D9" i="50"/>
  <c r="B21" i="60" s="1"/>
  <c r="D30" i="50"/>
  <c r="I102" i="9"/>
  <c r="D45" i="9" s="1"/>
  <c r="D14" i="62"/>
  <c r="E14" i="62" s="1"/>
  <c r="F122" i="9"/>
  <c r="F5" i="52" s="1"/>
  <c r="B42" i="60" s="1"/>
  <c r="F4" i="52"/>
  <c r="B40" i="60" s="1"/>
  <c r="D106" i="9"/>
  <c r="D112" i="9" s="1"/>
  <c r="D117" i="9" s="1"/>
  <c r="H122" i="9"/>
  <c r="H5" i="52" s="1"/>
  <c r="N48" i="9" l="1"/>
  <c r="I110" i="9"/>
  <c r="D15" i="50" s="1"/>
  <c r="F14" i="62"/>
  <c r="D113" i="9"/>
  <c r="D38" i="50" s="1"/>
  <c r="B62" i="60" s="1"/>
  <c r="I115" i="9"/>
  <c r="D23" i="50" s="1"/>
  <c r="B34" i="60" s="1"/>
  <c r="D44" i="50"/>
  <c r="D28" i="50"/>
  <c r="D29" i="50" s="1"/>
  <c r="D7" i="50"/>
  <c r="C93" i="9"/>
  <c r="C86" i="9" s="1"/>
  <c r="D52" i="9"/>
  <c r="C85" i="9"/>
  <c r="C78" i="9"/>
  <c r="C73" i="9" s="1"/>
  <c r="C64" i="9"/>
  <c r="C63" i="9" s="1"/>
  <c r="C67" i="9" s="1"/>
  <c r="C68" i="9" s="1"/>
  <c r="D54" i="9" s="1"/>
  <c r="C72" i="9"/>
  <c r="D53" i="9"/>
  <c r="D48" i="9" s="1"/>
  <c r="N52" i="9" s="1"/>
  <c r="O57" i="9" s="1"/>
  <c r="D36" i="50" l="1"/>
  <c r="D37" i="50" s="1"/>
  <c r="D125" i="9"/>
  <c r="D8" i="52" s="1"/>
  <c r="I111" i="9"/>
  <c r="D126" i="9" s="1"/>
  <c r="D9" i="52" s="1"/>
  <c r="N49" i="9"/>
  <c r="O59" i="9" s="1"/>
  <c r="C79" i="9"/>
  <c r="C80" i="9" s="1"/>
  <c r="E80" i="9" s="1"/>
  <c r="E81" i="9" s="1"/>
  <c r="C95" i="9"/>
  <c r="C96" i="9" s="1"/>
  <c r="E96" i="9" s="1"/>
  <c r="E97" i="9" s="1"/>
  <c r="G14" i="62"/>
  <c r="B19" i="60"/>
  <c r="D8" i="50"/>
  <c r="B22" i="60" s="1"/>
  <c r="B29" i="60"/>
  <c r="D16" i="50"/>
  <c r="B30" i="60" s="1"/>
  <c r="O58" i="9"/>
  <c r="Q57" i="9" l="1"/>
  <c r="D17" i="50"/>
  <c r="M68" i="9"/>
  <c r="N68" i="9" s="1"/>
  <c r="M63" i="9"/>
  <c r="N63" i="9" s="1"/>
  <c r="M65" i="9"/>
  <c r="N65" i="9" s="1"/>
  <c r="M66" i="9"/>
  <c r="N66" i="9" s="1"/>
  <c r="M67" i="9"/>
  <c r="N67" i="9" s="1"/>
  <c r="M64" i="9"/>
  <c r="N64" i="9" s="1"/>
  <c r="C81" i="9"/>
  <c r="C97" i="9"/>
  <c r="D58" i="9" s="1"/>
  <c r="O61" i="9"/>
  <c r="O60" i="9"/>
  <c r="N69" i="9" l="1"/>
  <c r="O69" i="9" s="1"/>
  <c r="G67" i="64" l="1"/>
  <c r="G68" i="64" s="1"/>
  <c r="H68" i="64" s="1"/>
  <c r="H67" i="64"/>
  <c r="B6" i="62" l="1"/>
  <c r="E15" i="62"/>
  <c r="F15" i="62"/>
  <c r="B5" i="62"/>
  <c r="C5" i="62" l="1"/>
  <c r="D5" i="62"/>
  <c r="C6" i="62"/>
  <c r="D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<sst xmlns="http://schemas.openxmlformats.org/spreadsheetml/2006/main" count="7048" uniqueCount="3158">
  <si>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</si>
  <si>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</si>
  <si>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</si>
  <si>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</si>
  <si>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</si>
  <si>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</si>
  <si>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</si>
  <si>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</si>
  <si>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</si>
  <si>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</si>
  <si>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</si>
  <si>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</si>
  <si>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</si>
  <si>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</si>
  <si>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</si>
  <si>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</si>
  <si>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</si>
  <si>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</si>
  <si>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</si>
  <si>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</si>
  <si>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</si>
  <si>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</si>
  <si>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</si>
  <si>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</si>
  <si>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</si>
  <si>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</si>
  <si>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</si>
  <si>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</si>
  <si>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</si>
  <si>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</si>
  <si>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</si>
  <si>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</si>
  <si>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</si>
  <si>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</si>
  <si>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</si>
  <si>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</si>
  <si>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</si>
  <si>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</si>
  <si>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</si>
  <si>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</si>
  <si>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</si>
  <si>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</si>
  <si>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</si>
  <si>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</si>
  <si>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</si>
  <si>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</si>
  <si>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</si>
  <si>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</si>
  <si>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</si>
  <si>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</si>
  <si>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</si>
  <si>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</si>
  <si>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</si>
  <si>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</si>
  <si>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</si>
  <si>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</si>
  <si>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</si>
  <si>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</si>
  <si>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</si>
  <si>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</si>
  <si>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</si>
  <si>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</si>
  <si>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</si>
  <si>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</si>
  <si>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</si>
  <si>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</si>
  <si>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</si>
  <si>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</si>
  <si>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</si>
  <si>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</si>
  <si>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</si>
  <si>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</si>
  <si>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</si>
  <si>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</si>
  <si>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</si>
  <si>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</si>
  <si>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</si>
  <si>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</si>
  <si>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</si>
  <si>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</si>
  <si>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</si>
  <si>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</si>
  <si>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</si>
  <si>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</si>
  <si>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</si>
  <si>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</si>
  <si>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</si>
  <si>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</si>
  <si>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</si>
  <si>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</si>
  <si>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</si>
  <si>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</si>
  <si>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</si>
  <si>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</si>
  <si>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</si>
  <si>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</si>
  <si>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</si>
  <si>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</si>
  <si>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</si>
  <si>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</si>
  <si>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</si>
  <si>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</si>
  <si>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</si>
  <si>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</si>
  <si>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</si>
  <si>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</si>
  <si>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</si>
  <si>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</si>
  <si>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</si>
  <si>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</si>
  <si>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</si>
  <si>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</si>
  <si>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</si>
  <si>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</si>
  <si>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</si>
  <si>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</si>
  <si>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</si>
  <si>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</si>
  <si>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</si>
  <si>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</si>
  <si>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</si>
  <si>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</si>
  <si>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</si>
  <si>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</si>
  <si>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</si>
  <si>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</si>
  <si>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</si>
  <si>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</si>
  <si>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</si>
  <si>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</si>
  <si>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</si>
  <si>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</si>
  <si>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</si>
  <si>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</si>
  <si>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</si>
  <si>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</si>
  <si>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</si>
  <si>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</si>
  <si>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</si>
  <si>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</si>
  <si>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</si>
  <si>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</si>
  <si>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</si>
  <si>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</si>
  <si>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</si>
  <si>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</si>
  <si>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</si>
  <si>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</si>
  <si>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</si>
  <si>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</si>
  <si>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</si>
  <si>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</si>
  <si>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</si>
  <si>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</si>
  <si>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</si>
  <si>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</si>
  <si>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</si>
  <si>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</si>
  <si>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</si>
  <si>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</si>
  <si>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</si>
  <si>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</si>
  <si>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</si>
  <si>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</si>
  <si>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</si>
  <si>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</si>
  <si>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</si>
  <si>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</si>
  <si>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</si>
  <si>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</si>
  <si>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</si>
  <si>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</si>
  <si>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</si>
  <si>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</si>
  <si>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</si>
  <si>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</si>
  <si>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</si>
  <si>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</si>
  <si>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</si>
  <si>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</si>
  <si>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</si>
  <si>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</si>
  <si>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</si>
  <si>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</si>
  <si>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</si>
  <si>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</si>
  <si>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</si>
  <si>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</si>
  <si>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</si>
  <si>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</si>
  <si>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</si>
  <si>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</si>
  <si>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</si>
  <si>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</si>
  <si>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</si>
  <si>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</si>
  <si>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</si>
  <si>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</si>
  <si>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</si>
  <si>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</si>
  <si>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</si>
  <si>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</si>
  <si>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</si>
  <si>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</si>
  <si>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</si>
  <si>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</si>
  <si>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</si>
  <si>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</si>
  <si>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</si>
  <si>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</si>
  <si>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</si>
  <si>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</si>
  <si>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</si>
  <si>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</si>
  <si>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</si>
  <si>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</si>
  <si>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</si>
  <si>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</si>
  <si>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</si>
  <si>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</si>
  <si>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</si>
  <si>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</si>
  <si>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</si>
  <si>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</si>
  <si>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</si>
  <si>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</si>
  <si>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</si>
  <si>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</si>
  <si>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</si>
  <si>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</si>
  <si>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</si>
  <si>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</si>
  <si>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</si>
  <si>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</si>
  <si>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</si>
  <si>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</si>
  <si>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</si>
  <si>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</si>
  <si>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</si>
  <si>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</si>
  <si>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</si>
  <si>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</si>
  <si>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</si>
  <si>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</si>
  <si>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</si>
  <si>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</si>
  <si>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</si>
  <si>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</si>
  <si>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</si>
  <si>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</si>
  <si>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</si>
  <si>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</si>
  <si>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</si>
  <si>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</si>
  <si>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</si>
  <si>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</si>
  <si>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</si>
  <si>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</si>
  <si>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</si>
  <si>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</si>
  <si>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</si>
  <si>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</si>
  <si>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</si>
  <si>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</si>
  <si>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</si>
  <si>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</si>
  <si>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</si>
  <si>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</si>
  <si>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</si>
  <si>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</si>
  <si>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</si>
  <si>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</si>
  <si>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</si>
  <si>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</si>
  <si>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</si>
  <si>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</si>
  <si>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</si>
  <si>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</si>
  <si>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</si>
  <si>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</si>
  <si>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</si>
  <si>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</si>
  <si>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</si>
  <si>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</si>
  <si>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</si>
  <si>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</si>
  <si>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</si>
  <si>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</si>
  <si>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</si>
  <si>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</si>
  <si>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</si>
  <si>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</si>
  <si>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</si>
  <si>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</si>
  <si>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</si>
  <si>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</si>
  <si>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</si>
  <si>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</si>
  <si>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</si>
  <si>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</si>
  <si>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</si>
  <si>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</si>
  <si>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</si>
  <si>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</si>
  <si>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</si>
  <si>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</si>
  <si>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</si>
  <si>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</si>
  <si>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</si>
  <si>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</si>
  <si>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</si>
  <si>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</si>
  <si>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</si>
  <si>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</si>
  <si>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</si>
  <si>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</si>
  <si>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</si>
  <si>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</si>
  <si>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</si>
  <si>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</si>
  <si>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</si>
  <si>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</si>
  <si>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</si>
  <si>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</si>
  <si>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</si>
  <si>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</si>
  <si>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</si>
  <si>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</si>
  <si>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</si>
  <si>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</si>
  <si>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</si>
  <si>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</si>
  <si>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</si>
  <si>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</si>
  <si>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</si>
  <si>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</si>
  <si>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</si>
  <si>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</si>
  <si>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</si>
  <si>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</si>
  <si>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</si>
  <si>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</si>
  <si>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</si>
  <si>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</si>
  <si>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</si>
  <si>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</si>
  <si>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</si>
  <si>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</si>
  <si>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</si>
  <si>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</si>
  <si>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</si>
  <si>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</si>
  <si>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</si>
  <si>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</si>
  <si>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</si>
  <si>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</si>
  <si>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</si>
  <si>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</si>
  <si>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</si>
  <si>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</si>
  <si>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</si>
  <si>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</si>
  <si>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</si>
  <si>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</si>
  <si>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</si>
  <si>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</si>
  <si>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</si>
  <si>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</si>
  <si>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</si>
  <si>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</si>
  <si>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</si>
  <si>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</si>
  <si>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</si>
  <si>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</si>
  <si>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</si>
  <si>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</si>
  <si>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</si>
  <si>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</si>
  <si>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</si>
  <si>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</si>
  <si>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</si>
  <si>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</si>
  <si>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</si>
  <si>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</si>
  <si>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</si>
  <si>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</si>
  <si>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</si>
  <si>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</si>
  <si>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</si>
  <si>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</si>
  <si>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</si>
  <si>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</si>
  <si>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</si>
  <si>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</si>
  <si>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</si>
  <si>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</si>
  <si>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</si>
  <si>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</si>
  <si>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</si>
  <si>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</si>
  <si>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</si>
  <si>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</si>
  <si>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</si>
  <si>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</si>
  <si>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</si>
  <si>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</si>
  <si>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</si>
  <si>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</si>
  <si>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</si>
  <si>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</si>
  <si>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</si>
  <si>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</si>
  <si>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</si>
  <si>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</si>
  <si>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</si>
  <si>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</si>
  <si>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</si>
  <si>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</si>
  <si>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</si>
  <si>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</si>
  <si>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</si>
  <si>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</si>
  <si>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</si>
  <si>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</si>
  <si>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</si>
  <si>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</si>
  <si>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</si>
  <si>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</si>
  <si>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</si>
  <si>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</si>
  <si>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</si>
  <si>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</si>
  <si>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</si>
  <si>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</si>
  <si>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</si>
  <si>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</si>
  <si>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</si>
  <si>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</si>
  <si>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</si>
  <si>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</si>
  <si>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</si>
  <si>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</si>
  <si>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</si>
  <si>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</si>
  <si>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</si>
  <si>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</si>
  <si>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</si>
  <si>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</si>
  <si>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</si>
  <si>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</si>
  <si>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</si>
  <si>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</si>
  <si>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</si>
  <si>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</si>
  <si>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</si>
  <si>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</si>
  <si>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</si>
  <si>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</si>
  <si>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</si>
  <si>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</si>
  <si>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</si>
  <si>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</si>
  <si>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</si>
  <si>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</si>
  <si>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</si>
  <si>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</si>
  <si>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</si>
  <si>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</si>
  <si>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</si>
  <si>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</si>
  <si>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</si>
  <si>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</si>
  <si>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</si>
  <si>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</si>
  <si>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</si>
  <si>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</si>
  <si>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</si>
  <si>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</si>
  <si>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</si>
  <si>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</si>
  <si>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</si>
  <si>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</si>
  <si>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</si>
  <si>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</si>
  <si>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</si>
  <si>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</si>
  <si>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</si>
  <si>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</si>
  <si>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</si>
  <si>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</si>
  <si>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</si>
  <si>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</si>
  <si>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</si>
  <si>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</si>
  <si>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</si>
  <si>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</si>
  <si>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</si>
  <si>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</si>
  <si>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</si>
  <si>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</si>
  <si>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</si>
  <si>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</si>
  <si>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</si>
  <si>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</si>
  <si>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</si>
  <si>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</si>
  <si>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</si>
  <si>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</si>
  <si>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</si>
  <si>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</si>
  <si>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</si>
  <si>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</si>
  <si>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</si>
  <si>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</si>
  <si>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</si>
  <si>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</si>
  <si>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</si>
  <si>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</si>
  <si>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</si>
  <si>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</si>
  <si>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</si>
  <si>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</si>
  <si>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</si>
  <si>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</si>
  <si>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</si>
  <si>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</si>
  <si>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</si>
  <si>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</si>
  <si>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</si>
  <si>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</si>
  <si>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</si>
  <si>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</si>
  <si>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</si>
  <si>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</si>
  <si>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</si>
  <si>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</si>
  <si>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</si>
  <si>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</si>
  <si>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</si>
  <si>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</si>
  <si>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</si>
  <si>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</si>
  <si>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</si>
  <si>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</si>
  <si>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</si>
  <si>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</si>
  <si>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</si>
  <si>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</si>
  <si>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</si>
  <si>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</si>
  <si>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</si>
  <si>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</si>
  <si>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</si>
  <si>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</si>
  <si>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</si>
  <si>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</si>
  <si>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</si>
  <si>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</si>
  <si>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</si>
  <si>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</si>
  <si>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</si>
  <si>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</si>
  <si>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</si>
  <si>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</si>
  <si>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</si>
  <si>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</si>
  <si>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</si>
  <si>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</si>
  <si>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</si>
  <si>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</si>
  <si>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</si>
  <si>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</si>
  <si>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</si>
  <si>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</si>
  <si>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</si>
  <si>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</si>
  <si>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</si>
  <si>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</si>
  <si>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</si>
  <si>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</si>
  <si>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</si>
  <si>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</si>
  <si>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</si>
  <si>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</si>
  <si>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</si>
  <si>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</si>
  <si>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</si>
  <si>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</si>
  <si>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</si>
  <si>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</si>
  <si>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</si>
  <si>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</si>
  <si>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</si>
  <si>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</si>
  <si>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</si>
  <si>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</si>
  <si>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</si>
  <si>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</si>
  <si>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</si>
  <si>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</si>
  <si>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</si>
  <si>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</si>
  <si>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</si>
  <si>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</si>
  <si>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</si>
  <si>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</si>
  <si>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</si>
  <si>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</si>
  <si>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</si>
  <si>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</si>
  <si>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</si>
  <si>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</si>
  <si>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</si>
  <si>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</si>
  <si>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</si>
  <si>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</si>
  <si>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</si>
  <si>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</si>
  <si>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</si>
  <si>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</si>
  <si>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</si>
  <si>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</si>
  <si>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</si>
  <si>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</si>
  <si>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</si>
  <si>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</si>
  <si>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</si>
  <si>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</si>
  <si>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</si>
  <si>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</si>
  <si>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</si>
  <si>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</si>
  <si>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</si>
  <si>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</si>
  <si>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</si>
  <si>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</si>
  <si>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</si>
  <si>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</si>
  <si>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</si>
  <si>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</si>
  <si>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</si>
  <si>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</si>
  <si>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</si>
  <si>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</si>
  <si>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</si>
  <si>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</si>
  <si>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</si>
  <si>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</si>
  <si>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</si>
  <si>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</si>
  <si>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</si>
  <si>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</si>
  <si>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</si>
  <si>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</si>
  <si>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</si>
  <si>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</si>
  <si>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</si>
  <si>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</si>
  <si>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</si>
  <si>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</si>
  <si>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</si>
  <si>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</si>
  <si>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</si>
  <si>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</si>
  <si>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</si>
  <si>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</si>
  <si>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</si>
  <si>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</si>
  <si>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</si>
  <si>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</si>
  <si>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</si>
  <si>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</si>
  <si>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</si>
  <si>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</si>
  <si>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</si>
  <si>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</si>
  <si>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</si>
  <si>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</si>
  <si>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</si>
  <si>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</si>
  <si>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</si>
  <si>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</si>
  <si>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</si>
  <si>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</si>
  <si>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</si>
  <si>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</si>
  <si>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</si>
  <si>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</si>
  <si>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</si>
  <si>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</si>
  <si>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</si>
  <si>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</si>
  <si>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</si>
  <si>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</si>
  <si>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</si>
  <si>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</si>
  <si>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</si>
  <si>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</si>
  <si>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</si>
  <si>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</si>
  <si>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</si>
  <si>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</si>
  <si>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</si>
  <si>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</si>
  <si>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</si>
  <si>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</si>
  <si>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</si>
  <si>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</si>
  <si>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</si>
  <si>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</si>
  <si>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</si>
  <si>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</si>
  <si>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</si>
  <si>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</si>
  <si>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</si>
  <si>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</si>
  <si>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</si>
  <si>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</si>
  <si>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</si>
  <si>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</si>
  <si>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</si>
  <si>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</si>
  <si>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</si>
  <si>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</si>
  <si>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</si>
  <si>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</si>
  <si>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</si>
  <si>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</si>
  <si>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</si>
  <si>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</si>
  <si>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</si>
  <si>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</si>
  <si>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</si>
  <si>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</si>
  <si>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</si>
  <si>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</si>
  <si>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</si>
  <si>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</si>
  <si>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</si>
  <si>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</si>
  <si>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</si>
  <si>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</si>
  <si>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</si>
  <si>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</si>
  <si>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</si>
  <si>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</si>
  <si>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</si>
  <si>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</si>
  <si>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</si>
  <si>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</si>
  <si>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</si>
  <si>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</si>
  <si>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</si>
  <si>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</si>
  <si>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</si>
  <si>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</si>
  <si>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</si>
  <si>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</si>
  <si>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</si>
  <si>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</si>
  <si>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</si>
  <si>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</si>
  <si>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</si>
  <si>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</si>
  <si>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</si>
  <si>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</si>
  <si>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</si>
  <si>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</si>
  <si>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</si>
  <si>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</si>
  <si>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</si>
  <si>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</si>
  <si>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</si>
  <si>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</si>
  <si>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</si>
  <si>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</si>
  <si>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</si>
  <si>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</si>
  <si>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</si>
  <si>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</si>
  <si>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</si>
  <si>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</si>
  <si>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</si>
  <si>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</si>
  <si>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</si>
  <si>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</si>
  <si>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</si>
  <si>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</si>
  <si>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</si>
  <si>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</si>
  <si>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</si>
  <si>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</si>
  <si>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</si>
  <si>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</si>
  <si>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</si>
  <si>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</si>
  <si>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</si>
  <si>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</si>
  <si>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</si>
  <si>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</si>
  <si>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</si>
  <si>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</si>
  <si>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</si>
  <si>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</si>
  <si>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</si>
  <si>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</si>
  <si>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</si>
  <si>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</si>
  <si>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</si>
  <si>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</si>
  <si>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</si>
  <si>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</si>
  <si>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</si>
  <si>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</si>
  <si>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</si>
  <si>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</si>
  <si>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</si>
  <si>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</si>
  <si>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</si>
  <si>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</si>
  <si>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</si>
  <si>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</si>
  <si>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</si>
  <si>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</si>
  <si>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</si>
  <si>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</si>
  <si>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</si>
  <si>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</si>
  <si>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</si>
  <si>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</si>
  <si>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</si>
  <si>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</si>
  <si>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</si>
  <si>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</si>
  <si>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</si>
  <si>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</si>
  <si>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</si>
  <si>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</si>
  <si>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</si>
  <si>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</si>
  <si>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</si>
  <si>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</si>
  <si>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</si>
  <si>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</si>
  <si>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</si>
  <si>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</si>
  <si>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</si>
  <si>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</si>
  <si>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</si>
  <si>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</si>
  <si>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</si>
  <si>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</si>
  <si>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</si>
  <si>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</si>
  <si>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</si>
  <si>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</si>
  <si>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</si>
  <si>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</si>
  <si>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</si>
  <si>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</si>
  <si>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</si>
  <si>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</si>
  <si>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</si>
  <si>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</si>
  <si>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</si>
  <si>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</si>
  <si>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</si>
  <si>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</si>
  <si>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</si>
  <si>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</si>
  <si>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</si>
  <si>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</si>
  <si>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</si>
  <si>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</si>
  <si>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</si>
  <si>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</si>
  <si>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</si>
  <si>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</si>
  <si>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</si>
  <si>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</si>
  <si>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</si>
  <si>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</si>
  <si>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</si>
  <si>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</si>
  <si>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</si>
  <si>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</si>
  <si>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</si>
  <si>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</si>
  <si>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</si>
  <si>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</si>
  <si>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</si>
  <si>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</si>
  <si>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</si>
  <si>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</si>
  <si>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</si>
  <si>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</si>
  <si>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</si>
  <si>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</si>
  <si>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</si>
  <si>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</si>
  <si>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</si>
  <si>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</si>
  <si>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</si>
  <si>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</si>
  <si>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</si>
  <si>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</si>
  <si>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</si>
  <si>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</si>
  <si>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</si>
  <si>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</si>
  <si>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</si>
  <si>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</si>
  <si>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</si>
  <si>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</si>
  <si>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</si>
  <si>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</si>
  <si>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</si>
  <si>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</si>
  <si>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</si>
  <si>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</si>
  <si>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</si>
  <si>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</si>
  <si>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</si>
  <si>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</si>
  <si>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</si>
  <si>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</si>
  <si>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</si>
  <si>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</si>
  <si>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</si>
  <si>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</si>
  <si>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</si>
  <si>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</si>
  <si>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</si>
  <si>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</si>
  <si>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</si>
  <si>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</si>
  <si>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</si>
  <si>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</si>
  <si>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</si>
  <si>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</si>
  <si>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</si>
  <si>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</si>
  <si>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</si>
  <si>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</si>
  <si>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</si>
  <si>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</si>
  <si>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</si>
  <si>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</si>
  <si>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</si>
  <si>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</si>
  <si>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</si>
  <si>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</si>
  <si>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</si>
  <si>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</si>
  <si>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</si>
  <si>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</si>
  <si>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</si>
  <si>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</si>
  <si>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</si>
  <si>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</si>
  <si>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</si>
  <si>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</si>
  <si>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</si>
  <si>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</si>
  <si>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</si>
  <si>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</si>
  <si>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</si>
  <si>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</si>
  <si>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</si>
  <si>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</si>
  <si>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</si>
  <si>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</si>
  <si>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</si>
  <si>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</si>
  <si>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</si>
  <si>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</si>
  <si>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</si>
  <si>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</si>
  <si>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</si>
  <si>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</si>
  <si>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</si>
  <si>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</si>
  <si>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</si>
  <si>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</si>
  <si>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</si>
  <si>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</si>
  <si>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</si>
  <si>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</si>
  <si>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</si>
  <si>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</si>
  <si>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</si>
  <si>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</si>
  <si>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</si>
  <si>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</si>
  <si>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</si>
  <si>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</si>
  <si>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</si>
  <si>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</si>
  <si>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</si>
  <si>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</si>
  <si>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</si>
  <si>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</si>
  <si>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</si>
  <si>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</si>
  <si>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</si>
  <si>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</si>
  <si>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</si>
  <si>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</si>
  <si>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</si>
  <si>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</si>
  <si>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</si>
  <si>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</si>
  <si>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</si>
  <si>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</si>
  <si>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</si>
  <si>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</si>
  <si>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</si>
  <si>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</si>
  <si>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</si>
  <si>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</si>
  <si>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</si>
  <si>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</si>
  <si>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</si>
  <si>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</si>
  <si>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</si>
  <si>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</si>
  <si>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</si>
  <si>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</si>
  <si>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</si>
  <si>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</si>
  <si>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</si>
  <si>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</si>
  <si>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</si>
  <si>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</si>
  <si>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</si>
  <si>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</si>
  <si>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</si>
  <si>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</si>
  <si>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</si>
  <si>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</si>
  <si>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</si>
  <si>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</si>
  <si>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</si>
  <si>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</si>
  <si>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</si>
  <si>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</si>
  <si>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</si>
  <si>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</si>
  <si>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</si>
  <si>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</si>
  <si>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</si>
  <si>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</si>
  <si>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</si>
  <si>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</si>
  <si>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</si>
  <si>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</si>
  <si>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</si>
  <si>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</si>
  <si>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</si>
  <si>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</si>
  <si>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</si>
  <si>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</si>
  <si>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</si>
  <si>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</si>
  <si>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</si>
  <si>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</si>
  <si>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</si>
  <si>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</si>
  <si>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</si>
  <si>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</si>
  <si>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</si>
  <si>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</si>
  <si>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</si>
  <si>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</si>
  <si>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</si>
  <si>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</si>
  <si>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</si>
  <si>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</si>
  <si>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</si>
  <si>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</si>
  <si>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</si>
  <si>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</si>
  <si>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</si>
  <si>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</si>
  <si>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</si>
  <si>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</si>
  <si>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</si>
  <si>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</si>
  <si>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</si>
  <si>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</si>
  <si>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</si>
  <si>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</si>
  <si>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</si>
  <si>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</si>
  <si>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</si>
  <si>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</si>
  <si>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</si>
  <si>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</si>
  <si>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</si>
  <si>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</si>
  <si>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</si>
  <si>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</si>
  <si>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</si>
  <si>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</si>
  <si>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</si>
  <si>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</si>
  <si>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</si>
  <si>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</si>
  <si>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</si>
  <si>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</si>
  <si>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</si>
  <si>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</si>
  <si>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</si>
  <si>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</si>
  <si>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</si>
  <si>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</si>
  <si>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</si>
  <si>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</si>
  <si>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</si>
  <si>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</si>
  <si>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</si>
  <si>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</si>
  <si>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</si>
  <si>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</si>
  <si>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</si>
  <si>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</si>
  <si>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</si>
  <si>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</si>
  <si>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</si>
  <si>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</si>
  <si>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</si>
  <si>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</si>
  <si>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</si>
  <si>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</si>
  <si>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</si>
  <si>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</si>
  <si>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</si>
  <si>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</si>
  <si>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</si>
  <si>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</si>
  <si>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</si>
  <si>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</si>
  <si>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</si>
  <si>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</si>
  <si>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</si>
  <si>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</si>
  <si>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</si>
  <si>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</si>
  <si>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</si>
  <si>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</si>
  <si>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</si>
  <si>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</si>
  <si>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</si>
  <si>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</si>
  <si>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</si>
  <si>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</si>
  <si>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</si>
  <si>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</si>
  <si>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</si>
  <si>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</si>
  <si>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</si>
  <si>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</si>
  <si>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</si>
  <si>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</si>
  <si>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</si>
  <si>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</si>
  <si>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</si>
  <si>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</si>
  <si>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</si>
  <si>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</si>
  <si>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</si>
  <si>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</si>
  <si>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</si>
  <si>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</si>
  <si>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</si>
  <si>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</si>
  <si>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</si>
  <si>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</si>
  <si>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</si>
  <si>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</si>
  <si>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</si>
  <si>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</si>
  <si>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</si>
  <si>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</si>
  <si>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</si>
  <si>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</si>
  <si>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</si>
  <si>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</si>
  <si>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</si>
  <si>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</si>
  <si>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</si>
  <si>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</si>
  <si>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</si>
  <si>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</si>
  <si>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</si>
  <si>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</si>
  <si>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</si>
  <si>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</si>
  <si>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</si>
  <si>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</si>
  <si>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</si>
  <si>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</si>
  <si>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</si>
  <si>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</si>
  <si>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</si>
  <si>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</si>
  <si>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</si>
  <si>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</si>
  <si>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</si>
  <si>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</si>
  <si>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</si>
  <si>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</si>
  <si>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</si>
  <si>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</si>
  <si>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</si>
  <si>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</si>
  <si>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</si>
  <si>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</si>
  <si>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</si>
  <si>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</si>
  <si>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</si>
  <si>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</si>
  <si>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</si>
  <si>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</si>
  <si>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</si>
  <si>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</si>
  <si>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</si>
  <si>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</si>
  <si>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</si>
  <si>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</si>
  <si>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</si>
  <si>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</si>
  <si>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</si>
  <si>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</si>
  <si>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</si>
  <si>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</si>
  <si>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</si>
  <si>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</si>
  <si>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</si>
  <si>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</si>
  <si>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</si>
  <si>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</si>
  <si>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</si>
  <si>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</si>
  <si>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</si>
  <si>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</si>
  <si>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</si>
  <si>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</si>
  <si>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</si>
  <si>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</si>
  <si>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</si>
  <si>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</si>
  <si>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</si>
  <si>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</si>
  <si>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</si>
  <si>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</si>
  <si>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</si>
  <si>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</si>
  <si>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</si>
  <si>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</si>
  <si>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</si>
  <si>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</si>
  <si>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</si>
  <si>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</si>
  <si>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</si>
  <si>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</si>
  <si>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</si>
  <si>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</si>
  <si>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</si>
  <si>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</si>
  <si>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</si>
  <si>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</si>
  <si>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</si>
  <si>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</si>
  <si>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</si>
  <si>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</si>
  <si>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</si>
  <si>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</si>
  <si>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</si>
  <si>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</si>
  <si>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</si>
  <si>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</si>
  <si>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</si>
  <si>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</si>
  <si>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</si>
  <si>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</si>
  <si>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</si>
  <si>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</si>
  <si>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</si>
  <si>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</si>
  <si>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</si>
  <si>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</si>
  <si>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</si>
  <si>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</si>
  <si>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</si>
  <si>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</si>
  <si>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</si>
  <si>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</si>
  <si>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</si>
  <si>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</si>
  <si>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</si>
  <si>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</si>
  <si>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</si>
  <si>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</si>
  <si>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</si>
  <si>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</si>
  <si>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</si>
  <si>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</si>
  <si>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</si>
  <si>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</si>
  <si>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</si>
  <si>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</si>
  <si>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</si>
  <si>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</si>
  <si>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</si>
  <si>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</si>
  <si>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</si>
  <si>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</si>
  <si>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</si>
  <si>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</si>
  <si>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</si>
  <si>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</si>
  <si>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</si>
  <si>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</si>
  <si>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</si>
  <si>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</si>
  <si>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</si>
  <si>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</si>
  <si>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</si>
  <si>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</si>
  <si>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</si>
  <si>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</si>
  <si>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</si>
  <si>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</si>
  <si>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</si>
  <si>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</si>
  <si>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</si>
  <si>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</si>
  <si>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</si>
  <si>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</si>
  <si>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</si>
  <si>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</si>
  <si>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</si>
  <si>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</si>
  <si>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</si>
  <si>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</si>
  <si>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</si>
  <si>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</si>
  <si>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</si>
  <si>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</si>
  <si>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</si>
  <si>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</si>
  <si>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</si>
  <si>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</si>
  <si>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</si>
  <si>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</si>
  <si>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</si>
  <si>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</si>
  <si>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</si>
  <si>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</si>
  <si>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</si>
  <si>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</si>
  <si>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</si>
  <si>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</si>
  <si>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</si>
  <si>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</si>
  <si>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</si>
  <si>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</si>
  <si>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</si>
  <si>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</si>
  <si>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</si>
  <si>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</si>
  <si>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</si>
  <si>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</si>
  <si>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</si>
  <si>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</si>
  <si>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</si>
  <si>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</si>
  <si>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</si>
  <si>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</si>
  <si>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</si>
  <si>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</si>
  <si>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</si>
  <si>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</si>
  <si>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</si>
  <si>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</si>
  <si>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</si>
  <si>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</si>
  <si>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</si>
  <si>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</si>
  <si>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</si>
  <si>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</si>
  <si>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</si>
  <si>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</si>
  <si>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</si>
  <si>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</si>
  <si>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</si>
  <si>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</si>
  <si>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</si>
  <si>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</si>
  <si>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</si>
  <si>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</si>
  <si>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</si>
  <si>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</si>
  <si>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</si>
  <si>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</si>
  <si>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</si>
  <si>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</si>
  <si>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</si>
  <si>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</si>
  <si>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</si>
  <si>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</si>
  <si>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</si>
  <si>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</si>
  <si>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</si>
  <si>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</si>
  <si>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</si>
  <si>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</si>
  <si>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</si>
  <si>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</si>
  <si>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</si>
  <si>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</si>
  <si>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</si>
  <si>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</si>
  <si>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</si>
  <si>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</si>
  <si>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</si>
  <si>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</si>
  <si>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</si>
  <si>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</si>
  <si>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</si>
  <si>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</si>
  <si>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</si>
  <si>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</si>
  <si>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</si>
  <si>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</si>
  <si>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</si>
  <si>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</si>
  <si>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</si>
  <si>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</si>
  <si>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</si>
  <si>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</si>
  <si>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</si>
  <si>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</si>
  <si>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</si>
  <si>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</si>
  <si>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</si>
  <si>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</si>
  <si>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</si>
  <si>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</si>
  <si>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</si>
  <si>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</si>
  <si>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</si>
  <si>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</si>
  <si>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</si>
  <si>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</si>
  <si>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</si>
  <si>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</si>
  <si>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</si>
  <si>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</si>
  <si>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</si>
  <si>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</si>
  <si>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</si>
  <si>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</si>
  <si>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</si>
  <si>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</si>
  <si>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</si>
  <si>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</si>
  <si>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</si>
  <si>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</si>
  <si>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</si>
  <si>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</si>
  <si>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</si>
  <si>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</si>
  <si>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</si>
  <si>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</si>
  <si>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</si>
  <si>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</si>
  <si>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</si>
  <si>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</si>
  <si>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</si>
  <si>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</si>
  <si>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</si>
  <si>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</si>
  <si>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</si>
  <si>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</si>
  <si>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</si>
  <si>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</si>
  <si>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</si>
  <si>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</si>
  <si>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</si>
  <si>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</si>
  <si>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</si>
  <si>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</si>
  <si>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</si>
  <si>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</si>
  <si>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</si>
  <si>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</si>
  <si>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</si>
  <si>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</si>
  <si>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</si>
  <si>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</si>
  <si>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</si>
  <si>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</si>
  <si>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</si>
  <si>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</si>
  <si>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</si>
  <si>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</si>
  <si>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</si>
  <si>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</si>
  <si>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</si>
  <si>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</si>
  <si>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</si>
  <si>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</si>
  <si>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</si>
  <si>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</si>
  <si>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</si>
  <si>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</si>
  <si>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</si>
  <si>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</si>
  <si>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</si>
  <si>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</si>
  <si>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</si>
  <si>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</si>
  <si>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</si>
  <si>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</si>
  <si>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</si>
  <si>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</si>
  <si>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</si>
  <si>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</si>
  <si>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</si>
  <si>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</si>
  <si>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</si>
  <si>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</si>
  <si>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</si>
  <si>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</si>
  <si>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</si>
  <si>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</si>
  <si>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</si>
  <si>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</si>
  <si>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</si>
  <si>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</si>
  <si>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</si>
  <si>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</si>
  <si>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</si>
  <si>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</si>
  <si>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</si>
  <si>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</si>
  <si>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</si>
  <si>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</si>
  <si>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</si>
  <si>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</si>
  <si>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</si>
  <si>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</si>
  <si>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</si>
  <si>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</si>
  <si>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</si>
  <si>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</si>
  <si>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</si>
  <si>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</si>
  <si>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</si>
  <si>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</si>
  <si>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</si>
  <si>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</si>
  <si>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</si>
  <si>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</si>
  <si>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</si>
  <si>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</si>
  <si>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</si>
  <si>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</si>
  <si>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</si>
  <si>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</si>
  <si>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</si>
  <si>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</si>
  <si>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</si>
  <si>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</si>
  <si>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</si>
  <si>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</si>
  <si>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</si>
  <si>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</si>
  <si>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</si>
  <si>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</si>
  <si>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</si>
  <si>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</si>
  <si>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</si>
  <si>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</si>
  <si>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</si>
  <si>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</si>
  <si>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</si>
  <si>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</si>
  <si>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</si>
  <si>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</si>
  <si>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</si>
  <si>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</si>
  <si>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</si>
  <si>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</si>
  <si>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</si>
  <si>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</si>
  <si>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</si>
  <si>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</si>
  <si>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</si>
  <si>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</si>
  <si>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</si>
  <si>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</si>
  <si>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</si>
  <si>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</si>
  <si>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</si>
  <si>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</si>
  <si>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</si>
  <si>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</si>
  <si>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</si>
  <si>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</si>
  <si>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</si>
  <si>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</si>
  <si>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</si>
  <si>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</si>
  <si>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</si>
  <si>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</si>
  <si>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</si>
  <si>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</si>
  <si>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</si>
  <si>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</si>
  <si>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</si>
  <si>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</si>
  <si>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</si>
  <si>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</si>
  <si>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</si>
  <si>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</si>
  <si>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</si>
  <si>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</si>
  <si>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</si>
  <si>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</si>
  <si>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</si>
  <si>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</si>
  <si>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</si>
  <si>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</si>
  <si>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</si>
  <si>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</si>
  <si>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</si>
  <si>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</si>
  <si>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</si>
  <si>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</si>
  <si>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</si>
  <si>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</si>
  <si>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</si>
  <si>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</si>
  <si>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</si>
  <si>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</si>
  <si>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</si>
  <si>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</si>
  <si>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</si>
  <si>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</si>
  <si>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</si>
  <si>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</si>
  <si>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</si>
  <si>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</si>
  <si>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</si>
  <si>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</si>
  <si>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</si>
  <si>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</si>
  <si>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</si>
  <si>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</si>
  <si>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</si>
  <si>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</si>
  <si>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</si>
  <si>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</si>
  <si>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</si>
  <si>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</si>
  <si>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</si>
  <si>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</si>
  <si>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</si>
  <si>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</si>
  <si>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</si>
  <si>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</si>
  <si>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</si>
  <si>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</si>
  <si>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</si>
  <si>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</si>
  <si>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</si>
  <si>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</si>
  <si>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</si>
  <si>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</si>
  <si>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</si>
  <si>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</si>
  <si>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</si>
  <si>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</si>
  <si>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</si>
  <si>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</si>
  <si>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</si>
  <si>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</si>
  <si>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</si>
  <si>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</si>
  <si>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</si>
  <si>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</si>
  <si>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</si>
  <si>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</si>
  <si>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</si>
  <si>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</si>
  <si>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</si>
  <si>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</si>
  <si>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</si>
  <si>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</si>
  <si>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</si>
  <si>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</si>
  <si>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</si>
  <si>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</si>
  <si>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</si>
  <si>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</si>
  <si>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</si>
  <si>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</si>
  <si>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</si>
  <si>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</si>
  <si>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</si>
  <si>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</si>
  <si>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</si>
  <si>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</si>
  <si>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</si>
  <si>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</si>
  <si>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</si>
  <si>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</si>
  <si>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</si>
  <si>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</si>
  <si>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</si>
  <si>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</si>
  <si>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</si>
  <si>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</si>
  <si>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</si>
  <si>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</si>
  <si>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</si>
  <si>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</si>
  <si>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</si>
  <si>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</si>
  <si>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</si>
  <si>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</si>
  <si>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</si>
  <si>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</si>
  <si>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</si>
  <si>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</si>
  <si>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</si>
  <si>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</si>
  <si>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</si>
  <si>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</si>
  <si>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</si>
  <si>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</si>
  <si>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</si>
  <si>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</si>
  <si>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</si>
  <si>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</si>
  <si>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</si>
  <si>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</si>
  <si>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</si>
  <si>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</si>
  <si>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</si>
  <si>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</si>
  <si>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</si>
  <si>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</si>
  <si>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</si>
  <si>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</si>
  <si>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</si>
  <si>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</si>
  <si>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</si>
  <si>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</si>
  <si>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</si>
  <si>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</si>
  <si>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</si>
  <si>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</si>
  <si>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</si>
  <si>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</si>
  <si>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</si>
  <si>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</si>
  <si>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</si>
  <si>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</si>
  <si>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</si>
  <si>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</si>
  <si>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</si>
  <si>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</si>
  <si>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</si>
  <si>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</si>
  <si>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</si>
  <si>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</si>
  <si>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</si>
  <si>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</si>
  <si>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</si>
  <si>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</si>
  <si>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</si>
  <si>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</si>
  <si>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</si>
  <si>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</si>
  <si>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</si>
  <si>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</si>
  <si>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</si>
  <si>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</si>
  <si>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</si>
  <si>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</si>
  <si>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</si>
  <si>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</si>
  <si>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</si>
  <si>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</si>
  <si>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</si>
  <si>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</si>
  <si>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</si>
  <si>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</si>
  <si>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</si>
  <si>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</si>
  <si>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</si>
  <si>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</si>
  <si>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</si>
  <si>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</si>
  <si>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</si>
  <si>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</si>
  <si>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</si>
  <si>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</si>
  <si>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</si>
  <si>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</si>
  <si>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</si>
  <si>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</si>
  <si>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</si>
  <si>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</si>
  <si>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</si>
  <si>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</si>
  <si>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</si>
  <si>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</si>
  <si>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</si>
  <si>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</si>
  <si>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</si>
  <si>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</si>
  <si>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</si>
  <si>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</si>
  <si>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</si>
  <si>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</si>
  <si>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</si>
  <si>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</si>
  <si>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</si>
  <si>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</si>
  <si>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</si>
  <si>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</si>
  <si>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</si>
  <si>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</si>
  <si>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</si>
  <si>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</si>
  <si>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</si>
  <si>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</si>
  <si>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</si>
  <si>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</si>
  <si>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</si>
  <si>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</si>
  <si>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</si>
  <si>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</si>
  <si>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</si>
  <si>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</si>
  <si>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</si>
  <si>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</si>
  <si>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</si>
  <si>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</si>
  <si>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</si>
  <si>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</si>
  <si>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</si>
  <si>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</si>
  <si>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</si>
  <si>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</si>
  <si>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</si>
  <si>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</si>
  <si>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</si>
  <si>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</si>
  <si>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</si>
  <si>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</si>
  <si>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</si>
  <si>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</si>
  <si>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</si>
  <si>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</si>
  <si>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</si>
  <si>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</si>
  <si>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</si>
  <si>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</si>
  <si>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</si>
  <si>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</si>
  <si>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</si>
  <si>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</si>
  <si>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</si>
  <si>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</si>
  <si>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</si>
  <si>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</si>
  <si>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</si>
  <si>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</si>
  <si>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</si>
  <si>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</si>
  <si>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</si>
  <si>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</si>
  <si>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</si>
  <si>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</si>
  <si>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</si>
  <si>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</si>
  <si>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</si>
  <si>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</si>
  <si>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</si>
  <si>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</si>
  <si>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</si>
  <si>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</si>
  <si>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</si>
  <si>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</si>
  <si>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</si>
  <si>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</si>
  <si>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</si>
  <si>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</si>
  <si>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</si>
  <si>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</si>
  <si>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</si>
  <si>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</si>
  <si>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</si>
  <si>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</si>
  <si>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</si>
  <si>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</si>
  <si>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</si>
  <si>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</si>
  <si>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</si>
  <si>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</si>
  <si>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</si>
  <si>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</si>
  <si>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</si>
  <si>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</si>
  <si>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</si>
  <si>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</si>
  <si>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</si>
  <si>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</si>
  <si>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</si>
  <si>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</si>
  <si>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</si>
  <si>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</si>
  <si>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</si>
  <si>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</si>
  <si>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</si>
  <si>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</si>
  <si>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</si>
  <si>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</si>
  <si>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</si>
  <si>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</si>
  <si>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</si>
  <si>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</si>
  <si>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</si>
  <si>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</si>
  <si>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</si>
  <si>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</si>
  <si>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</si>
  <si>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</si>
  <si>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</si>
  <si>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</si>
  <si>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</si>
  <si>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</si>
  <si>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</si>
  <si>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</si>
  <si>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</si>
  <si>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</si>
  <si>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</si>
  <si>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</si>
  <si>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</si>
  <si>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</si>
  <si>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</si>
  <si>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</si>
  <si>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</si>
  <si>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</si>
  <si>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</si>
  <si>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</si>
  <si>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</si>
  <si>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</si>
  <si>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</si>
  <si>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</si>
  <si>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</si>
  <si>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</si>
  <si>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</si>
  <si>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</si>
  <si>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</si>
  <si>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</si>
  <si>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</si>
  <si>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</si>
  <si>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</si>
  <si>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</si>
  <si>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</si>
  <si>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</si>
  <si>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</si>
  <si>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</si>
  <si>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</si>
  <si>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</si>
  <si>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</si>
  <si>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</si>
  <si>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</si>
  <si>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</si>
  <si>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</si>
  <si>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</si>
  <si>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</si>
  <si>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</si>
  <si>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</si>
  <si>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</si>
  <si>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</si>
  <si>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</si>
  <si>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</si>
  <si>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</si>
  <si>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</si>
  <si>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</si>
  <si>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</si>
  <si>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</si>
  <si>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</si>
  <si>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</si>
  <si>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</si>
  <si>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</si>
  <si>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</si>
  <si>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</si>
  <si>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</si>
  <si>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</si>
  <si>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</si>
  <si>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</si>
  <si>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</si>
  <si>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</si>
  <si>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</si>
  <si>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</si>
  <si>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</si>
  <si>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</si>
  <si>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</si>
  <si>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</si>
  <si>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</si>
  <si>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</si>
  <si>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</si>
  <si>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</si>
  <si>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</si>
  <si>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</si>
  <si>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</si>
  <si>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</si>
  <si>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</si>
  <si>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</si>
  <si>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</si>
  <si>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</si>
  <si>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</si>
  <si>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</si>
  <si>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</si>
  <si>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</si>
  <si>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</si>
  <si>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</si>
  <si>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</si>
  <si>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</si>
  <si>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</si>
  <si>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</si>
  <si>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</si>
  <si>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</si>
  <si>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</si>
  <si>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</si>
  <si>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</si>
  <si>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</si>
  <si>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</si>
  <si>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</si>
  <si>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</si>
  <si>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</si>
  <si>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</si>
  <si>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</si>
  <si>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</si>
  <si>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</si>
  <si>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</si>
  <si>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</si>
  <si>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</si>
  <si>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</si>
  <si>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</si>
  <si>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</si>
  <si>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</si>
  <si>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</si>
  <si>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</si>
  <si>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</si>
  <si>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</si>
  <si>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</si>
  <si>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</si>
  <si>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</si>
  <si>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</si>
  <si>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</si>
  <si>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</si>
  <si>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</si>
  <si>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</si>
  <si>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</si>
  <si>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</si>
  <si>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</si>
  <si>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</si>
  <si>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</si>
  <si>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</si>
  <si>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</si>
  <si>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</si>
  <si>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</si>
  <si>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</si>
  <si>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</si>
  <si>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</si>
  <si>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</si>
  <si>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</si>
  <si>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</si>
  <si>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</si>
  <si>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</si>
  <si>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</si>
  <si>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</si>
  <si>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</si>
  <si>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</si>
  <si>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</si>
  <si>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</si>
  <si>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</si>
  <si>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</si>
  <si>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</si>
  <si>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</si>
  <si>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</si>
  <si>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</si>
  <si>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</si>
  <si>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</si>
  <si>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</si>
  <si>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</si>
  <si>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</si>
  <si>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</si>
  <si>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</si>
  <si>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</si>
  <si>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</si>
  <si>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</si>
  <si>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</si>
  <si>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</si>
  <si>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</si>
  <si>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</si>
  <si>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</si>
  <si>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</si>
  <si>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</si>
  <si>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</si>
  <si>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</si>
  <si>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</si>
  <si>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</si>
  <si>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</si>
  <si>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</si>
  <si>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</si>
  <si>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</si>
  <si>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</si>
  <si>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</si>
  <si>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</si>
  <si>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</si>
  <si>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</si>
  <si>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</si>
  <si>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</si>
  <si>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</si>
  <si>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</si>
  <si>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</si>
  <si>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</si>
  <si>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</si>
  <si>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</si>
  <si>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</si>
  <si>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</si>
  <si>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</si>
  <si>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</si>
  <si>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</si>
  <si>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</si>
  <si>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</si>
  <si>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</si>
  <si>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</si>
  <si>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</si>
  <si>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</si>
  <si>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</si>
  <si>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</si>
  <si>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</si>
  <si>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</si>
  <si>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</si>
  <si>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</si>
  <si>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</si>
  <si>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</si>
  <si>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</si>
  <si>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</si>
  <si>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</si>
  <si>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</si>
  <si>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</si>
  <si>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</si>
  <si>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</si>
  <si>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</si>
  <si>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</si>
  <si>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</si>
  <si>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</si>
  <si>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</si>
  <si>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</si>
  <si>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</si>
  <si>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</si>
  <si>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</si>
  <si>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</si>
  <si>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</si>
  <si>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</si>
  <si>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</si>
  <si>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</si>
  <si>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</si>
  <si>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</si>
  <si>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</si>
  <si>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</si>
  <si>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</si>
  <si>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</si>
  <si>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</si>
  <si>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</si>
  <si>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</si>
  <si>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</si>
  <si>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</si>
  <si>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</si>
  <si>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</si>
  <si>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</si>
  <si>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</si>
  <si>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</si>
  <si>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</si>
  <si>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</si>
  <si>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</si>
  <si>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</si>
  <si>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</si>
  <si>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</si>
  <si>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</si>
  <si>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</si>
  <si>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</si>
  <si>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</si>
  <si>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</si>
  <si>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</si>
  <si>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</si>
  <si>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</si>
  <si>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</si>
  <si>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</si>
  <si>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</si>
  <si>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</si>
  <si>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</si>
  <si>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</si>
  <si>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</si>
  <si>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</si>
  <si>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</si>
  <si>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</si>
  <si>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</si>
  <si>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</si>
  <si>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</si>
  <si>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</si>
  <si>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</si>
  <si>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</si>
  <si>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</si>
  <si>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</si>
  <si>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</si>
  <si>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</si>
  <si>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</si>
  <si>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</si>
  <si>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</si>
  <si>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</si>
  <si>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</si>
  <si>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</si>
  <si>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</si>
  <si>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</si>
  <si>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</si>
  <si>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</si>
  <si>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</si>
  <si>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</si>
  <si>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</si>
  <si>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</si>
  <si>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</si>
  <si>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</si>
  <si>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</si>
  <si>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</si>
  <si>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</si>
  <si>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</si>
  <si>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</si>
  <si>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</si>
  <si>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</si>
  <si>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</si>
  <si>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</si>
  <si>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</si>
  <si>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</si>
  <si>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</si>
  <si>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</si>
  <si>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</si>
  <si>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</si>
  <si>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</si>
  <si>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</si>
  <si>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</si>
  <si>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</si>
  <si>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</si>
  <si>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</si>
  <si>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</si>
  <si>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</si>
  <si>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</si>
  <si>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</si>
  <si>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</si>
  <si>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</si>
  <si>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</si>
  <si>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</si>
  <si>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</si>
  <si>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</si>
  <si>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</si>
  <si>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</si>
  <si>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</si>
  <si>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</si>
  <si>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</si>
  <si>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</si>
  <si>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</si>
  <si>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</si>
  <si>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</si>
  <si>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</si>
  <si>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</si>
  <si>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</si>
  <si>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</si>
  <si>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</si>
  <si>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</si>
  <si>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</si>
  <si>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</si>
  <si>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</si>
  <si>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</si>
  <si>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</si>
  <si>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</si>
  <si>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</si>
  <si>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</si>
  <si>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</si>
  <si>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</si>
  <si>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</si>
  <si>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</si>
  <si>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</si>
  <si>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</si>
  <si>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</si>
  <si>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</si>
  <si>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</si>
  <si>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</si>
  <si>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</si>
  <si>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</si>
  <si>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</si>
  <si>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</si>
  <si>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</si>
  <si>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</si>
  <si>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</si>
  <si>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</si>
  <si>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</si>
  <si>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</si>
  <si>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</si>
  <si>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</si>
  <si>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</si>
  <si>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</si>
  <si>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</si>
  <si>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</si>
  <si>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</si>
  <si>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</si>
  <si>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</si>
  <si>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</si>
  <si>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</si>
  <si>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</si>
  <si>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</si>
  <si>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</si>
  <si>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</si>
  <si>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</si>
  <si>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</si>
  <si>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</si>
  <si>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</si>
  <si>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</si>
  <si>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</si>
  <si>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</si>
  <si>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</si>
  <si>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</si>
  <si>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</si>
  <si>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</si>
  <si>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</si>
  <si>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</si>
  <si>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</si>
  <si>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</si>
  <si>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</si>
  <si>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</si>
  <si>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</si>
  <si>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</si>
  <si>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</si>
  <si>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</si>
  <si>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</si>
  <si>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</si>
  <si>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</si>
  <si>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</si>
  <si>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</si>
  <si>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</si>
  <si>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</si>
  <si>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</si>
  <si>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</si>
  <si>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</si>
  <si>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</si>
  <si>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</si>
  <si>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</si>
  <si>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</si>
  <si>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</si>
  <si>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</si>
  <si>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</si>
  <si>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</si>
  <si>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</si>
  <si>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</si>
  <si>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</si>
  <si>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</si>
  <si>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</si>
  <si>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</si>
  <si>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</si>
  <si>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</si>
  <si>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</si>
  <si>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</si>
  <si>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</si>
  <si>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</si>
  <si>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</si>
  <si>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</si>
  <si>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</si>
  <si>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</si>
  <si>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</si>
  <si>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</si>
  <si>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</si>
  <si>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</si>
  <si>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</si>
  <si>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</si>
  <si>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</si>
  <si>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</si>
  <si>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</si>
  <si>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</si>
  <si>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</si>
  <si>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</si>
  <si>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</si>
  <si>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</si>
  <si>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</si>
  <si>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</si>
  <si>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</si>
  <si>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</si>
  <si>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</si>
  <si>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</si>
  <si>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</si>
  <si>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</si>
  <si>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</si>
  <si>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</si>
  <si>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</si>
  <si>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</si>
  <si>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</si>
  <si>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</si>
  <si>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</si>
  <si>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</si>
  <si>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</si>
  <si>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</si>
  <si>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</si>
  <si>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</si>
  <si>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</si>
  <si>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</si>
  <si>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</si>
  <si>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</si>
  <si>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</si>
  <si>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</si>
  <si>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</si>
  <si>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</si>
  <si>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</si>
  <si>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</si>
  <si>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</si>
  <si>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</si>
  <si>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</si>
  <si>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</si>
  <si>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</si>
  <si>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</si>
  <si>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</si>
  <si>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</si>
  <si>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</si>
  <si>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</si>
  <si>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</si>
  <si>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</si>
  <si>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</si>
  <si>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</si>
  <si>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</si>
  <si>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</si>
  <si>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</si>
  <si>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</si>
  <si>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</si>
  <si>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</si>
  <si>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</si>
  <si>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</si>
  <si>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</si>
  <si>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</si>
  <si>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</si>
  <si>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</si>
  <si>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</si>
  <si>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</si>
  <si>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</si>
  <si>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</si>
  <si>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</si>
  <si>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</si>
  <si>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</si>
  <si>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</si>
  <si>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</si>
  <si>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</si>
  <si>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</si>
  <si>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</si>
  <si>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</si>
  <si>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</si>
  <si>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</si>
  <si>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</si>
  <si>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</si>
  <si>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</si>
  <si>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</si>
  <si>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</si>
  <si>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</si>
  <si>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</si>
  <si>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</si>
  <si>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</si>
  <si>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</si>
  <si>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</si>
  <si>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</si>
  <si>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</si>
  <si>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</si>
  <si>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</si>
  <si>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</si>
  <si>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</si>
  <si>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</si>
  <si>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</si>
  <si>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</si>
  <si>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</si>
  <si>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</si>
  <si>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</si>
  <si>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</si>
  <si>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</si>
  <si>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</si>
  <si>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</si>
  <si>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</si>
  <si>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</si>
  <si>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</si>
  <si>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</si>
  <si>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</si>
  <si>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</si>
  <si>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</si>
  <si>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</si>
  <si>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</si>
  <si>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</si>
  <si>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</si>
  <si>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</si>
  <si>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</si>
  <si>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</si>
  <si>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</si>
  <si>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</si>
  <si>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</si>
  <si>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</si>
  <si>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</si>
  <si>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</si>
  <si>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</si>
  <si>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</si>
  <si>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</si>
  <si>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</si>
  <si>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</si>
  <si>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</si>
  <si>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</si>
  <si>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</si>
  <si>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</si>
  <si>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</si>
  <si>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</si>
  <si>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</si>
  <si>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</si>
  <si>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</si>
  <si>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</si>
  <si>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</si>
  <si>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</si>
  <si>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</si>
  <si>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</si>
  <si>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</si>
  <si>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</si>
  <si>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</si>
  <si>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</si>
  <si>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</si>
  <si>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</si>
  <si>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</si>
  <si>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</si>
  <si>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</si>
  <si>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</si>
  <si>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</si>
  <si>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</si>
  <si>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</si>
  <si>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</si>
  <si>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</si>
  <si>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</si>
  <si>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</si>
  <si>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</si>
  <si>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</si>
  <si>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</si>
  <si>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</si>
  <si>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</si>
  <si>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</si>
  <si>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</si>
  <si>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</si>
  <si>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</si>
  <si>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</si>
  <si>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</si>
  <si>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</si>
  <si>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</si>
  <si>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</si>
  <si>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</si>
  <si>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</si>
  <si>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</si>
  <si>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</si>
  <si>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</si>
  <si>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</si>
  <si>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</si>
  <si>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</si>
  <si>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</si>
  <si>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</si>
  <si>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</si>
  <si>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</si>
  <si>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</si>
  <si>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</si>
  <si>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</si>
  <si>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</si>
  <si>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</si>
  <si>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</si>
  <si>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</si>
  <si>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</si>
  <si>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</si>
  <si>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</si>
  <si>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</si>
  <si>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</si>
  <si>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</si>
  <si>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</si>
  <si>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</si>
  <si>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</si>
  <si>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</si>
  <si>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</si>
  <si>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</si>
  <si>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</si>
  <si>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</si>
  <si>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</si>
  <si>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</si>
  <si>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</si>
  <si>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</si>
  <si>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</si>
  <si>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</si>
  <si>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</si>
  <si>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</si>
  <si>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</si>
  <si>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</si>
  <si>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</si>
  <si>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</si>
  <si>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</si>
  <si>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</si>
  <si>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</si>
  <si>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</si>
  <si>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</si>
  <si>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</si>
  <si>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</si>
  <si>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</si>
  <si>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</si>
  <si>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</si>
  <si>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</si>
  <si>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</si>
  <si>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</si>
  <si>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</si>
  <si>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</si>
  <si>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</si>
  <si>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</si>
  <si>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</si>
  <si>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</si>
  <si>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</si>
  <si>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</si>
  <si>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</si>
  <si>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</si>
  <si>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</si>
  <si>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</si>
  <si>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</si>
  <si>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</si>
  <si>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</si>
  <si>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</si>
  <si>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</si>
  <si>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</si>
  <si>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</si>
  <si>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</si>
  <si>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</si>
  <si>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</si>
  <si>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</si>
  <si>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</si>
  <si>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</si>
  <si>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</si>
  <si>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</si>
  <si>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</si>
  <si>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</si>
  <si>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</si>
  <si>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</si>
  <si>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</si>
  <si>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</si>
  <si>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</si>
  <si>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</si>
  <si>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</si>
  <si>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</si>
  <si>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</si>
  <si>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</si>
  <si>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</si>
  <si>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</si>
  <si>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</si>
  <si>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</si>
  <si>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</si>
  <si>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</si>
  <si>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</si>
  <si>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</si>
  <si>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</si>
  <si>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</si>
  <si>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</si>
  <si>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</si>
  <si>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</si>
  <si>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</si>
  <si>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</si>
  <si>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</si>
  <si>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</si>
  <si>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</si>
  <si>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</si>
  <si>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</si>
  <si>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</si>
  <si>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</si>
  <si>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</si>
  <si>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</si>
  <si>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</si>
  <si>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</si>
  <si>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</si>
  <si>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</si>
  <si>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</si>
  <si>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</si>
  <si>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</si>
  <si>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</si>
  <si>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</si>
  <si>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</si>
  <si>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</si>
  <si>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</si>
  <si>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</si>
  <si>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</si>
  <si>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</si>
  <si>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</si>
  <si>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</si>
  <si>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</si>
  <si>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</si>
  <si>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</si>
  <si>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</si>
  <si>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</si>
  <si>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</si>
  <si>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</si>
  <si>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</si>
  <si>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</si>
  <si>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</si>
  <si>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</si>
  <si>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</si>
  <si>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</si>
  <si>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</si>
  <si>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</si>
  <si>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</si>
  <si>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</si>
  <si>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</si>
  <si>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</si>
  <si>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</si>
  <si>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</si>
  <si>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</si>
  <si>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</si>
  <si>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</si>
  <si>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</si>
  <si>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</si>
  <si>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</si>
  <si>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</si>
  <si>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</si>
  <si>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</si>
  <si>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</si>
  <si>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</si>
  <si>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</si>
  <si>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</si>
  <si>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</si>
  <si>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</si>
  <si>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</si>
  <si>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</si>
  <si>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</si>
  <si>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</si>
  <si>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</si>
  <si>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</si>
  <si>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</si>
  <si>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</si>
  <si>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</si>
  <si>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</si>
  <si>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</si>
  <si>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</si>
  <si>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</si>
  <si>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</si>
  <si>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</si>
  <si>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</si>
  <si>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</si>
  <si>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</si>
  <si>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</si>
  <si>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</si>
  <si>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</si>
  <si>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</si>
  <si>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</si>
  <si>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</si>
  <si>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</si>
  <si>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</si>
  <si>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</si>
  <si>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</si>
  <si>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</si>
  <si>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</si>
  <si>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</si>
  <si>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</si>
  <si>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</si>
  <si>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</si>
  <si>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</si>
  <si>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</si>
  <si>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</si>
  <si>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</si>
  <si>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</si>
  <si>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</si>
  <si>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</si>
  <si>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</si>
  <si>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</si>
  <si>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</si>
  <si>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</si>
  <si>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</si>
  <si>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</si>
  <si>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</si>
  <si>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</si>
  <si>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</si>
  <si>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</si>
  <si>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</si>
  <si>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</si>
  <si>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</si>
  <si>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</si>
  <si>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</si>
  <si>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</si>
  <si>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</si>
  <si>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</si>
  <si>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</si>
  <si>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</si>
  <si>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</si>
  <si>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</si>
  <si>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</si>
  <si>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</si>
  <si>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</si>
  <si>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</si>
  <si>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</si>
  <si>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</si>
  <si>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</si>
  <si>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</si>
  <si>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</si>
  <si>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</si>
  <si>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</si>
  <si>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</si>
  <si>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</si>
  <si>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</si>
  <si>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</si>
  <si>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</si>
  <si>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</si>
  <si>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</si>
  <si>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</si>
  <si>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</si>
  <si>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</si>
  <si>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</si>
  <si>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</si>
  <si>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</si>
  <si>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</si>
  <si>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</si>
  <si>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</si>
  <si>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</si>
  <si>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</si>
  <si>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</si>
  <si>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</si>
  <si>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</si>
  <si>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</si>
  <si>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</si>
  <si>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</si>
  <si>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</si>
  <si>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</si>
  <si>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</si>
  <si>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</si>
  <si>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</si>
  <si>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</si>
  <si>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</si>
  <si>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</si>
  <si>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</si>
  <si>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</si>
  <si>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</si>
  <si>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</si>
  <si>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</si>
  <si>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</si>
  <si>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</si>
  <si>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</si>
  <si>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</si>
  <si>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</si>
  <si>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</si>
  <si>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</si>
  <si>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</si>
  <si>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</si>
  <si>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</si>
  <si>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</si>
  <si>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</si>
  <si>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</si>
  <si>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</si>
  <si>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</si>
  <si>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</si>
  <si>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</si>
  <si>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</si>
  <si>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</si>
  <si>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</si>
  <si>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</si>
  <si>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</si>
  <si>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</si>
  <si>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</si>
  <si>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</si>
  <si>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</si>
  <si>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</si>
  <si>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</si>
  <si>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</si>
  <si>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</si>
  <si>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</si>
  <si>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</si>
  <si>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</si>
  <si>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</si>
  <si>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</si>
  <si>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</si>
  <si>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</si>
  <si>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</si>
  <si>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</si>
  <si>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</si>
  <si>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</si>
  <si>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</si>
  <si>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</si>
  <si>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</si>
  <si>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</si>
  <si>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</si>
  <si>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</si>
  <si>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</si>
  <si>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</si>
  <si>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</si>
  <si>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</si>
  <si>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</si>
  <si>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</si>
  <si>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</si>
  <si>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</si>
  <si>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</si>
  <si>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</si>
  <si>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</si>
  <si>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</si>
  <si>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</si>
  <si>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</si>
  <si>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</si>
  <si>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</si>
  <si>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</si>
  <si>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</si>
  <si>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</si>
  <si>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</si>
  <si>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</si>
  <si>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</si>
  <si>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</si>
  <si>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</si>
  <si>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</si>
  <si>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</si>
  <si>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</si>
  <si>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</si>
  <si>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</si>
  <si>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</si>
  <si>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</si>
  <si>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</si>
  <si>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</si>
  <si>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</si>
  <si>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</si>
  <si>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</si>
  <si>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</si>
  <si>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</si>
  <si>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</si>
  <si>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</si>
  <si>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</si>
  <si>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</si>
  <si>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</si>
  <si>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</si>
  <si>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</si>
  <si>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</si>
  <si>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</si>
  <si>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</si>
  <si>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</si>
  <si>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</si>
  <si>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</si>
  <si>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</si>
  <si>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</si>
  <si>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</si>
  <si>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</si>
  <si>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</si>
  <si>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</si>
  <si>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</si>
  <si>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</si>
  <si>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</si>
  <si>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</si>
  <si>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</si>
  <si>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</si>
  <si>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</si>
  <si>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</si>
  <si>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</si>
  <si>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</si>
  <si>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</si>
  <si>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</si>
  <si>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</si>
  <si>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</si>
  <si>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</si>
  <si>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</si>
  <si>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</si>
  <si>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</si>
  <si>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</si>
  <si>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</si>
  <si>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</si>
  <si>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</si>
  <si>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</si>
  <si>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</si>
  <si>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</si>
  <si>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</si>
  <si>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</si>
  <si>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</si>
  <si>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</si>
  <si>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</si>
  <si>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</si>
  <si>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</si>
  <si>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</si>
  <si>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</si>
  <si>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</si>
  <si>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</si>
  <si>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</si>
  <si>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</si>
  <si>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</si>
  <si>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</si>
  <si>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</si>
  <si>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</si>
  <si>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</si>
  <si>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</si>
  <si>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</si>
  <si>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</si>
  <si>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</si>
  <si>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</si>
  <si>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</si>
  <si>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</si>
  <si>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</si>
  <si>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</si>
  <si>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</si>
  <si>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</si>
  <si>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</si>
  <si>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</si>
  <si>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</si>
  <si>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</si>
  <si>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</si>
  <si>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</si>
  <si>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</si>
  <si>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</si>
  <si>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</si>
  <si>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</si>
  <si>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</si>
  <si>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</si>
  <si>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</si>
  <si>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北京市</t>
  </si>
  <si>
    <t>企业</t>
  </si>
  <si>
    <t>抵押</t>
  </si>
  <si>
    <t>房地产抵押价值</t>
  </si>
  <si>
    <t>万元</t>
  </si>
  <si>
    <t>楼面单价</t>
  </si>
  <si>
    <t>办公</t>
  </si>
  <si>
    <t>无租约</t>
  </si>
  <si>
    <t>否</t>
  </si>
  <si>
    <t>利息：取LPR加浮动点数</t>
  </si>
  <si>
    <t>钢混</t>
  </si>
  <si>
    <t>非生产用房</t>
  </si>
  <si>
    <t>未包含在土地购买价格中</t>
  </si>
  <si>
    <t>已包含在土地取得成本中</t>
  </si>
  <si>
    <t>成本法</t>
  </si>
  <si>
    <t>收益法</t>
  </si>
  <si>
    <t>证号</t>
    <phoneticPr fontId="146" type="noConversion"/>
  </si>
  <si>
    <t>房号</t>
    <phoneticPr fontId="146" type="noConversion"/>
  </si>
  <si>
    <t>楼层</t>
    <phoneticPr fontId="146" type="noConversion"/>
  </si>
  <si>
    <t>中区</t>
    <phoneticPr fontId="146" type="noConversion"/>
  </si>
  <si>
    <t>2-809</t>
    <phoneticPr fontId="146" type="noConversion"/>
  </si>
  <si>
    <t>京（2021）平不动产权第0001110号</t>
    <phoneticPr fontId="146" type="noConversion"/>
  </si>
  <si>
    <t>1-202</t>
    <phoneticPr fontId="146" type="noConversion"/>
  </si>
  <si>
    <t>京（2021）平不动产权第0001101号</t>
    <phoneticPr fontId="146" type="noConversion"/>
  </si>
  <si>
    <t>低区</t>
    <phoneticPr fontId="146" type="noConversion"/>
  </si>
  <si>
    <t>1-402</t>
    <phoneticPr fontId="146" type="noConversion"/>
  </si>
  <si>
    <t>京（2021）平不动产权第0001109号</t>
    <phoneticPr fontId="146" type="noConversion"/>
  </si>
  <si>
    <t>1-403</t>
  </si>
  <si>
    <t>京（2021）平不动产权第0001102号</t>
    <phoneticPr fontId="146" type="noConversion"/>
  </si>
  <si>
    <t>低区</t>
    <phoneticPr fontId="146" type="noConversion"/>
  </si>
  <si>
    <t>2-201</t>
    <phoneticPr fontId="146" type="noConversion"/>
  </si>
  <si>
    <t>京（2021）平不动产权第0001098号</t>
    <phoneticPr fontId="146" type="noConversion"/>
  </si>
  <si>
    <t>2-207</t>
    <phoneticPr fontId="146" type="noConversion"/>
  </si>
  <si>
    <t>京（2021）平不动产权第0001106号</t>
    <phoneticPr fontId="146" type="noConversion"/>
  </si>
  <si>
    <t>2-301</t>
    <phoneticPr fontId="146" type="noConversion"/>
  </si>
  <si>
    <t>京（2021）平不动产权第0001111号</t>
    <phoneticPr fontId="146" type="noConversion"/>
  </si>
  <si>
    <t>2-307</t>
    <phoneticPr fontId="146" type="noConversion"/>
  </si>
  <si>
    <t>京（2021）平不动产权第0001103号</t>
    <phoneticPr fontId="146" type="noConversion"/>
  </si>
  <si>
    <t>2-308</t>
    <phoneticPr fontId="146" type="noConversion"/>
  </si>
  <si>
    <t>京（2021）平不动产权第0001099号</t>
    <phoneticPr fontId="146" type="noConversion"/>
  </si>
  <si>
    <t>2-401</t>
    <phoneticPr fontId="146" type="noConversion"/>
  </si>
  <si>
    <t>京（2021）平不动产权第0001105号</t>
    <phoneticPr fontId="146" type="noConversion"/>
  </si>
  <si>
    <t>低区</t>
    <phoneticPr fontId="146" type="noConversion"/>
  </si>
  <si>
    <t>2-408</t>
    <phoneticPr fontId="146" type="noConversion"/>
  </si>
  <si>
    <t>京（2021）平不动产权第0001112号</t>
    <phoneticPr fontId="146" type="noConversion"/>
  </si>
  <si>
    <t>2-508</t>
    <phoneticPr fontId="146" type="noConversion"/>
  </si>
  <si>
    <t>京（2021）平不动产权第0001100号</t>
    <phoneticPr fontId="146" type="noConversion"/>
  </si>
  <si>
    <t>2-1009</t>
    <phoneticPr fontId="146" type="noConversion"/>
  </si>
  <si>
    <t>中区</t>
    <phoneticPr fontId="146" type="noConversion"/>
  </si>
  <si>
    <t>2-1309</t>
    <phoneticPr fontId="146" type="noConversion"/>
  </si>
  <si>
    <t>京（2021）平不动产权第0001107号</t>
    <phoneticPr fontId="146" type="noConversion"/>
  </si>
  <si>
    <t>2-1409</t>
    <phoneticPr fontId="146" type="noConversion"/>
  </si>
  <si>
    <t>京（2021）平不动产权第0001108号</t>
  </si>
  <si>
    <t>高区</t>
    <phoneticPr fontId="146" type="noConversion"/>
  </si>
  <si>
    <t>高区</t>
    <phoneticPr fontId="20" type="noConversion"/>
  </si>
  <si>
    <t>中区</t>
    <phoneticPr fontId="20" type="noConversion"/>
  </si>
  <si>
    <t>低区</t>
    <phoneticPr fontId="20" type="noConversion"/>
  </si>
  <si>
    <t>合计</t>
    <phoneticPr fontId="146" type="noConversion"/>
  </si>
  <si>
    <t>收费（元）</t>
    <phoneticPr fontId="146" type="noConversion"/>
  </si>
  <si>
    <t>评估值（万元）</t>
    <phoneticPr fontId="146" type="noConversion"/>
  </si>
  <si>
    <t>面积（㎡）</t>
    <phoneticPr fontId="146" type="noConversion"/>
  </si>
  <si>
    <t>楼面单价</t>
    <phoneticPr fontId="146" type="noConversion"/>
  </si>
  <si>
    <t>装修标准</t>
    <phoneticPr fontId="146" type="noConversion"/>
  </si>
  <si>
    <t>毛坯</t>
    <phoneticPr fontId="146" type="noConversion"/>
  </si>
  <si>
    <t>普装</t>
    <phoneticPr fontId="146" type="noConversion"/>
  </si>
  <si>
    <t>内部装修</t>
    <phoneticPr fontId="20" type="noConversion"/>
  </si>
  <si>
    <t>精装</t>
    <phoneticPr fontId="20" type="noConversion"/>
  </si>
  <si>
    <t>普装</t>
    <phoneticPr fontId="20" type="noConversion"/>
  </si>
  <si>
    <t>简装</t>
    <phoneticPr fontId="20" type="noConversion"/>
  </si>
  <si>
    <t>毛坯</t>
    <phoneticPr fontId="20" type="noConversion"/>
  </si>
  <si>
    <t>简装</t>
    <phoneticPr fontId="146" type="noConversion"/>
  </si>
  <si>
    <t>1-5</t>
    <phoneticPr fontId="146" type="noConversion"/>
  </si>
  <si>
    <t>6-11</t>
    <phoneticPr fontId="146" type="noConversion"/>
  </si>
  <si>
    <t>12-16</t>
    <phoneticPr fontId="146" type="noConversion"/>
  </si>
  <si>
    <t>高区</t>
    <phoneticPr fontId="146" type="noConversion"/>
  </si>
  <si>
    <t>P16</t>
    <phoneticPr fontId="146" type="noConversion"/>
  </si>
  <si>
    <t>P2</t>
    <phoneticPr fontId="146" type="noConversion"/>
  </si>
  <si>
    <t>P3</t>
  </si>
  <si>
    <t>P4</t>
  </si>
  <si>
    <t>P5</t>
  </si>
  <si>
    <t>P6</t>
  </si>
  <si>
    <t>P7</t>
  </si>
  <si>
    <t>P8</t>
  </si>
  <si>
    <t>P9</t>
  </si>
  <si>
    <t>P10</t>
  </si>
  <si>
    <t>P11</t>
  </si>
  <si>
    <t>P12</t>
  </si>
  <si>
    <t>P13</t>
  </si>
  <si>
    <t>P14</t>
  </si>
  <si>
    <t>P15</t>
  </si>
  <si>
    <t>评估费</t>
    <phoneticPr fontId="146" type="noConversion"/>
  </si>
  <si>
    <t>备注</t>
    <phoneticPr fontId="146" type="noConversion"/>
  </si>
  <si>
    <t>P16平谷区府前西街18号院1号楼8层2单元809</t>
    <phoneticPr fontId="146" type="noConversion"/>
  </si>
  <si>
    <t>P02平谷区府前西街18号院1号楼2层1单元202</t>
    <phoneticPr fontId="146" type="noConversion"/>
  </si>
  <si>
    <t>P03平谷区府前西街18号院1号楼4层1单元402</t>
    <phoneticPr fontId="146" type="noConversion"/>
  </si>
  <si>
    <t>P04平谷区府前西街18号院1号楼4层1单元403</t>
    <phoneticPr fontId="146" type="noConversion"/>
  </si>
  <si>
    <t>P05平谷区府前西街18号院1号楼2层2单元201</t>
    <phoneticPr fontId="146" type="noConversion"/>
  </si>
  <si>
    <t>P06平谷区府前西街18号院1号楼2层2单元207</t>
    <phoneticPr fontId="146" type="noConversion"/>
  </si>
  <si>
    <t>P07平谷区府前西街18号院1号楼3层2单元301</t>
    <phoneticPr fontId="146" type="noConversion"/>
  </si>
  <si>
    <t>P08平谷区府前西街18号院1号楼3层2单元307</t>
    <phoneticPr fontId="146" type="noConversion"/>
  </si>
  <si>
    <t>P09平谷区府前西街18号院1号楼3层2单元308</t>
    <phoneticPr fontId="146" type="noConversion"/>
  </si>
  <si>
    <t>P10平谷区府前西街18号院1号楼4层2单元401</t>
    <phoneticPr fontId="146" type="noConversion"/>
  </si>
  <si>
    <t>P11平谷区府前西街18号院1号楼4层2单元408</t>
    <phoneticPr fontId="146" type="noConversion"/>
  </si>
  <si>
    <t>P12平谷区府前西街18号院1号楼4层2单元508</t>
    <phoneticPr fontId="146" type="noConversion"/>
  </si>
  <si>
    <t>P13平谷区府前西街18号院1号楼10层2单元1009</t>
    <phoneticPr fontId="146" type="noConversion"/>
  </si>
  <si>
    <t>P14平谷区府前西街18号院1号楼13层2单元1309</t>
    <phoneticPr fontId="146" type="noConversion"/>
  </si>
  <si>
    <t>P15平谷区府前西街18号院1号楼14层2单元1409</t>
    <phoneticPr fontId="146" type="noConversion"/>
  </si>
  <si>
    <t>合计</t>
    <phoneticPr fontId="146" type="noConversion"/>
  </si>
  <si>
    <t>京（2021）平不动产权第0001104号</t>
    <phoneticPr fontId="146" type="noConversion"/>
  </si>
  <si>
    <t>房号</t>
    <phoneticPr fontId="146" type="noConversion"/>
  </si>
  <si>
    <t>证号</t>
    <phoneticPr fontId="146" type="noConversion"/>
  </si>
  <si>
    <t>面积</t>
    <phoneticPr fontId="146" type="noConversion"/>
  </si>
  <si>
    <t>序号</t>
    <phoneticPr fontId="146" type="noConversion"/>
  </si>
  <si>
    <t>1-12</t>
    <phoneticPr fontId="146" type="noConversion"/>
  </si>
  <si>
    <t>合计</t>
    <phoneticPr fontId="146" type="noConversion"/>
  </si>
  <si>
    <t>京（2019）平不动产权第0003191号</t>
    <phoneticPr fontId="146" type="noConversion"/>
  </si>
  <si>
    <t>估价对象1（结果表1修多）</t>
  </si>
  <si>
    <t>是</t>
  </si>
  <si>
    <t>仅计算典型户型</t>
  </si>
  <si>
    <t>序号</t>
    <phoneticPr fontId="146" type="noConversion"/>
  </si>
  <si>
    <t>房号</t>
    <phoneticPr fontId="146" type="noConversion"/>
  </si>
  <si>
    <t>证号</t>
    <phoneticPr fontId="146" type="noConversion"/>
  </si>
  <si>
    <t>面积</t>
    <phoneticPr fontId="146" type="noConversion"/>
  </si>
  <si>
    <t>总价</t>
    <phoneticPr fontId="146" type="noConversion"/>
  </si>
  <si>
    <t>单价</t>
    <phoneticPr fontId="146" type="noConversion"/>
  </si>
  <si>
    <t>低区</t>
    <phoneticPr fontId="20" type="noConversion"/>
  </si>
  <si>
    <t>低区</t>
    <phoneticPr fontId="20" type="noConversion"/>
  </si>
  <si>
    <t>毛坯</t>
    <phoneticPr fontId="20" type="noConversion"/>
  </si>
  <si>
    <t>简装</t>
  </si>
  <si>
    <t>普装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</si>
</sst>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08" fillId="0" borderId="0" xfId="0" applyNumberFormat="1" applyFont="1">
      <alignment vertical="center"/>
    </xf>
    <xf numFmtId="0" fontId="108" fillId="0" borderId="0" xfId="0" applyFont="1">
      <alignment vertical="center"/>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08" fillId="0" borderId="1" xfId="0" applyFont="1" applyBorder="1">
      <alignment vertical="center"/>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108" fillId="0" borderId="0" xfId="0" applyFont="1" applyFill="1">
      <alignment vertical="center"/>
    </xf>
    <xf numFmtId="0" fontId="108" fillId="0" borderId="1" xfId="0" applyFont="1" applyFill="1" applyBorder="1">
      <alignment vertical="center"/>
    </xf>
    <xf numFmtId="0" fontId="108" fillId="6" borderId="0" xfId="0" applyFont="1" applyFill="1">
      <alignment vertical="center"/>
    </xf>
    <xf numFmtId="0" fontId="108" fillId="6" borderId="1" xfId="0" applyFont="1" applyFill="1" applyBorder="1">
      <alignment vertical="center"/>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08" fillId="0" borderId="2" xfId="0" applyFont="1" applyBorder="1" applyAlignment="1">
      <alignment horizontal="center" vertical="center"/>
    </xf>
    <xf numFmtId="0" fontId="108" fillId="0" borderId="3" xfId="0" applyFont="1" applyBorder="1" applyAlignment="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71</xdr:row>
      <xdr:rowOff>0</xdr:rowOff>
    </xdr:from>
    <xdr:to>
      <xdr:col>16</xdr:col>
      <xdr:colOff>236660</xdr:colOff>
      <xdr:row>80</xdr:row>
      <xdr:rowOff>85543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820400"/>
          <a:ext cx="11723810" cy="1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4;&#22253;&#22777;&#21495;&#24213;&#218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0844;&#22253;&#22777;&#21495;&#22522;&#20934;&#2232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商业"/>
      <sheetName val="典型户型修正"/>
      <sheetName val="收益法"/>
      <sheetName val="收益法-酒店模型"/>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4">
          <cell r="B14">
            <v>729.04</v>
          </cell>
        </row>
      </sheetData>
      <sheetData sheetId="14">
        <row r="103">
          <cell r="C103">
            <v>951</v>
          </cell>
        </row>
        <row r="104">
          <cell r="C104">
            <v>13047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6476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'预评函-封皮'!B18</f>
        <v>（注册号:0）、（注册号:0)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估价对象为北京市房地产，为XX所有。根据《》[]，估价对象建筑面积为900.27平方米。根据《》[]，估价对象（分摊）出让国有建设用地使用权面积为平方米。估价对象用途为。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2022年12月13日</v>
      </c>
    </row>
    <row r="10" spans="1:2">
      <c r="A10" s="1138" t="s">
        <v>865</v>
      </c>
      <c r="B10" s="1125" t="str">
        <f>'预评函-1'!A13</f>
        <v>本次估价的“房地产价值”是指在正常市场情况下，在价值时点2022年12月13日，估价对象规划用途为，假定未设立法定优先受偿款下的房地产市场价值。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本次评估采用的主估价方法为成本法和收益法。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900.27</v>
      </c>
    </row>
    <row r="19" spans="1:2">
      <c r="A19" s="1138" t="s">
        <v>874</v>
      </c>
      <c r="B19" s="1125">
        <f ca="1">'预评函-2（1）'!D7</f>
        <v>1455</v>
      </c>
    </row>
    <row r="20" spans="1:2">
      <c r="A20" s="1138" t="s">
        <v>912</v>
      </c>
      <c r="B20" s="1125" t="str">
        <f>'预评函-2（1）'!C7</f>
        <v>总价（万元）</v>
      </c>
    </row>
    <row r="21" spans="1:2">
      <c r="A21" s="1138" t="s">
        <v>875</v>
      </c>
      <c r="B21" s="1125">
        <f ca="1">'预评函-2（1）'!D9</f>
        <v>16162</v>
      </c>
    </row>
    <row r="22" spans="1:2">
      <c r="A22" s="1138" t="s">
        <v>876</v>
      </c>
      <c r="B22" s="1125" t="str">
        <f ca="1">'预评函-2（1）'!D8</f>
        <v>壹仟肆佰伍拾伍万元整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1455</v>
      </c>
    </row>
    <row r="30" spans="1:2">
      <c r="A30" s="1138" t="s">
        <v>882</v>
      </c>
      <c r="B30" s="1125" t="str">
        <f ca="1">'预评函-2（1）'!D16</f>
        <v>壹仟肆佰伍拾伍万元整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f>'预评函-3'!A5</f>
        <v>0</v>
      </c>
    </row>
    <row r="55" spans="1:2" s="1135" customFormat="1" ht="15.75" thickBot="1">
      <c r="A55" s="1139" t="s">
        <v>906</v>
      </c>
      <c r="B55" s="1127">
        <f>'预评函-3'!B5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16162</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3" t="s">
        <v>1289</v>
      </c>
      <c r="G1" s="1119"/>
      <c r="I1" s="2836" t="str">
        <f>IF(B6="北京市","北京市",C6)&amp;IF(E12="房屋所有权证",B29,E29)&amp;"房地产"</f>
        <v>北京市房地产</v>
      </c>
      <c r="J1" s="758"/>
      <c r="K1" s="2838"/>
      <c r="L1" s="2838"/>
      <c r="M1" s="2838"/>
      <c r="N1" s="758"/>
      <c r="O1" s="758"/>
      <c r="P1" s="758"/>
      <c r="Q1" s="758"/>
    </row>
    <row r="2" spans="1:17" ht="13.5" thickTop="1">
      <c r="A2" s="1354" t="s">
        <v>1290</v>
      </c>
      <c r="B2" s="2509"/>
      <c r="C2" s="2808" t="s">
        <v>1291</v>
      </c>
      <c r="D2" s="2509">
        <v>44908</v>
      </c>
      <c r="E2" s="782"/>
      <c r="F2" s="782"/>
      <c r="G2" s="1120"/>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1"/>
      <c r="H3" s="2820"/>
    </row>
    <row r="4" spans="1:17" ht="13.5" customHeight="1" thickTop="1">
      <c r="A4" s="1354" t="s">
        <v>1293</v>
      </c>
      <c r="B4" s="1355" t="s">
        <v>2477</v>
      </c>
      <c r="C4" s="2809" t="s">
        <v>1294</v>
      </c>
      <c r="D4" s="1356" t="s">
        <v>3030</v>
      </c>
      <c r="E4" s="782"/>
      <c r="F4" s="782"/>
      <c r="G4" s="1120"/>
    </row>
    <row r="5" spans="1:17">
      <c r="A5" s="1357" t="s">
        <v>1295</v>
      </c>
      <c r="B5" s="1358" t="s">
        <v>2478</v>
      </c>
      <c r="C5" s="2810" t="s">
        <v>1296</v>
      </c>
      <c r="D5" s="1360" t="s">
        <v>3031</v>
      </c>
      <c r="E5" s="2811" t="s">
        <v>1297</v>
      </c>
      <c r="F5" s="1360" t="s">
        <v>3031</v>
      </c>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3028</v>
      </c>
      <c r="C6" s="2515" t="s">
        <v>2479</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3029</v>
      </c>
      <c r="C7" s="1452" t="str">
        <f>IF(B7="自然人","姓名","名称")</f>
        <v>名称</v>
      </c>
      <c r="D7" s="1365" t="s">
        <v>2478</v>
      </c>
      <c r="E7" s="783"/>
      <c r="F7" s="783"/>
      <c r="G7" s="1121"/>
    </row>
    <row r="8" spans="1:17" ht="13.5" thickTop="1">
      <c r="A8" s="3398" t="s">
        <v>1301</v>
      </c>
      <c r="B8" s="1366" t="s">
        <v>1302</v>
      </c>
      <c r="C8" s="3410"/>
      <c r="D8" s="3411"/>
      <c r="E8" s="2518" t="s">
        <v>1303</v>
      </c>
      <c r="F8" s="2519" t="s">
        <v>1304</v>
      </c>
      <c r="G8" s="2520" t="str">
        <f>C6</f>
        <v>XX</v>
      </c>
    </row>
    <row r="9" spans="1:17">
      <c r="A9" s="3398"/>
      <c r="B9" s="259" t="s">
        <v>1305</v>
      </c>
      <c r="C9" s="1358"/>
      <c r="D9" s="1367"/>
      <c r="E9" s="2814" t="s">
        <v>1306</v>
      </c>
      <c r="F9" s="2521"/>
      <c r="G9" s="2522"/>
    </row>
    <row r="10" spans="1:17" ht="13.5" thickBot="1">
      <c r="A10" s="3398"/>
      <c r="B10" s="259" t="s">
        <v>1307</v>
      </c>
      <c r="C10" s="3412"/>
      <c r="D10" s="3413"/>
      <c r="E10" s="2815" t="s">
        <v>1308</v>
      </c>
      <c r="F10" s="2523"/>
      <c r="G10" s="2524"/>
    </row>
    <row r="11" spans="1:17" ht="13.5" thickBot="1">
      <c r="A11" s="3398"/>
      <c r="B11" s="1369" t="s">
        <v>1309</v>
      </c>
      <c r="C11" s="3414"/>
      <c r="D11" s="3415"/>
      <c r="E11" s="769"/>
      <c r="F11" s="769"/>
      <c r="G11" s="788"/>
    </row>
    <row r="12" spans="1:17" ht="13.5" thickBot="1">
      <c r="A12" s="3401" t="s">
        <v>2585</v>
      </c>
      <c r="B12" s="2816" t="s">
        <v>1310</v>
      </c>
      <c r="C12" s="766">
        <f>Sheet1!D97</f>
        <v>900.27</v>
      </c>
      <c r="D12" s="1370" t="s">
        <v>1311</v>
      </c>
      <c r="E12" s="1371"/>
      <c r="F12" s="1372"/>
      <c r="G12" s="788"/>
    </row>
    <row r="13" spans="1:17" ht="21" customHeight="1" thickBot="1">
      <c r="A13" s="3402"/>
      <c r="B13" s="2817" t="s">
        <v>1312</v>
      </c>
      <c r="C13" s="767"/>
      <c r="D13" s="1373" t="s">
        <v>1313</v>
      </c>
      <c r="E13" s="1374"/>
      <c r="F13" s="769"/>
      <c r="G13" s="788"/>
      <c r="I13" s="3387"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2586</v>
      </c>
      <c r="C14" s="2526"/>
      <c r="D14" s="769"/>
      <c r="E14" s="769"/>
      <c r="F14" s="769"/>
      <c r="G14" s="788"/>
      <c r="I14" s="3387"/>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1"/>
      <c r="I15" s="3387"/>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416" t="s">
        <v>1320</v>
      </c>
      <c r="C17" s="3417"/>
      <c r="D17" s="3418" t="s">
        <v>1321</v>
      </c>
      <c r="E17" s="3419"/>
      <c r="F17" s="1377" t="s">
        <v>1322</v>
      </c>
      <c r="G17" s="1378"/>
      <c r="J17" s="2820"/>
    </row>
    <row r="18" spans="1:66" ht="24">
      <c r="A18" s="1382"/>
      <c r="B18" s="2530"/>
      <c r="C18" s="1361"/>
      <c r="D18" s="1379" t="s">
        <v>1323</v>
      </c>
      <c r="E18" s="1380"/>
      <c r="F18" s="1381"/>
      <c r="G18" s="1244"/>
      <c r="H18" s="2820"/>
      <c r="J18" s="2820"/>
    </row>
    <row r="19" spans="1:66" ht="21.75" customHeight="1" thickBot="1">
      <c r="A19" s="1382"/>
      <c r="B19" s="2531"/>
      <c r="C19" s="1374"/>
      <c r="D19" s="1382"/>
      <c r="E19" s="769"/>
      <c r="F19" s="769"/>
      <c r="G19" s="1244"/>
    </row>
    <row r="20" spans="1:66">
      <c r="A20" s="1378" t="s">
        <v>1324</v>
      </c>
      <c r="B20" s="2532" t="s">
        <v>1325</v>
      </c>
      <c r="C20" s="2533"/>
      <c r="D20" s="2534" t="s">
        <v>1325</v>
      </c>
      <c r="E20" s="2533"/>
      <c r="F20" s="769"/>
      <c r="G20" s="1244"/>
    </row>
    <row r="21" spans="1:66">
      <c r="A21" s="1244"/>
      <c r="B21" s="2535" t="s">
        <v>1326</v>
      </c>
      <c r="C21" s="2803"/>
      <c r="D21" s="1382" t="s">
        <v>1326</v>
      </c>
      <c r="E21" s="2536"/>
      <c r="F21" s="769"/>
      <c r="G21" s="1244"/>
    </row>
    <row r="22" spans="1:66">
      <c r="A22" s="1244"/>
      <c r="B22" s="769" t="s">
        <v>1327</v>
      </c>
      <c r="C22" s="2537"/>
      <c r="D22" s="769" t="s">
        <v>1327</v>
      </c>
      <c r="E22" s="2536"/>
      <c r="F22" s="769"/>
      <c r="G22" s="1244"/>
    </row>
    <row r="23" spans="1:66" s="2802" customFormat="1" ht="16.5" thickBot="1">
      <c r="A23" s="1245"/>
      <c r="B23" s="787" t="s">
        <v>1328</v>
      </c>
      <c r="C23" s="767"/>
      <c r="D23" s="787" t="s">
        <v>1329</v>
      </c>
      <c r="E23" s="2538"/>
      <c r="F23" s="787"/>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7" t="s">
        <v>2584</v>
      </c>
      <c r="B24" s="3397"/>
      <c r="C24" s="3397"/>
      <c r="D24" s="3397"/>
      <c r="E24" s="3397"/>
      <c r="F24" s="3397"/>
      <c r="G24" s="3397"/>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5"/>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04" t="s">
        <v>1334</v>
      </c>
      <c r="D28" s="3405"/>
      <c r="E28" s="759"/>
      <c r="F28" s="761" t="s">
        <v>1334</v>
      </c>
      <c r="G28" s="759"/>
      <c r="K28" s="2821"/>
    </row>
    <row r="29" spans="1:66">
      <c r="A29" s="762" t="s">
        <v>1335</v>
      </c>
      <c r="B29" s="756"/>
      <c r="C29" s="3406" t="s">
        <v>1336</v>
      </c>
      <c r="D29" s="3407"/>
      <c r="E29" s="756"/>
      <c r="F29" s="762" t="s">
        <v>1336</v>
      </c>
      <c r="G29" s="756"/>
      <c r="K29" s="2821"/>
    </row>
    <row r="30" spans="1:66">
      <c r="A30" s="762" t="s">
        <v>1337</v>
      </c>
      <c r="B30" s="756"/>
      <c r="C30" s="3406" t="s">
        <v>1337</v>
      </c>
      <c r="D30" s="3407"/>
      <c r="E30" s="756"/>
      <c r="F30" s="762" t="s">
        <v>1338</v>
      </c>
      <c r="G30" s="756"/>
      <c r="K30" s="2821"/>
    </row>
    <row r="31" spans="1:66">
      <c r="A31" s="762" t="s">
        <v>1339</v>
      </c>
      <c r="B31" s="756"/>
      <c r="C31" s="3394" t="s">
        <v>1340</v>
      </c>
      <c r="D31" s="769"/>
      <c r="E31" s="2544" t="str">
        <f>E32&amp;" "&amp;E33&amp;" "&amp;E34&amp;" "&amp;E35</f>
        <v xml:space="preserve">   </v>
      </c>
      <c r="F31" s="762" t="s">
        <v>1341</v>
      </c>
      <c r="G31" s="756"/>
    </row>
    <row r="32" spans="1:66">
      <c r="A32" s="762" t="s">
        <v>1342</v>
      </c>
      <c r="B32" s="756"/>
      <c r="C32" s="3395"/>
      <c r="D32" s="259" t="s">
        <v>1343</v>
      </c>
      <c r="E32" s="756"/>
      <c r="F32" s="762" t="s">
        <v>1344</v>
      </c>
      <c r="G32" s="756"/>
    </row>
    <row r="33" spans="1:7" ht="24.75" thickBot="1">
      <c r="A33" s="763" t="s">
        <v>1345</v>
      </c>
      <c r="B33" s="760"/>
      <c r="C33" s="3395"/>
      <c r="D33" s="259" t="s">
        <v>1346</v>
      </c>
      <c r="E33" s="756"/>
      <c r="F33" s="762" t="s">
        <v>1347</v>
      </c>
      <c r="G33" s="756"/>
    </row>
    <row r="34" spans="1:7">
      <c r="A34" s="761" t="s">
        <v>1348</v>
      </c>
      <c r="B34" s="759"/>
      <c r="C34" s="3395"/>
      <c r="D34" s="259" t="s">
        <v>1349</v>
      </c>
      <c r="E34" s="756"/>
      <c r="F34" s="762" t="s">
        <v>1350</v>
      </c>
      <c r="G34" s="756"/>
    </row>
    <row r="35" spans="1:7" ht="13.5" thickBot="1">
      <c r="A35" s="762" t="s">
        <v>1351</v>
      </c>
      <c r="B35" s="756"/>
      <c r="C35" s="3396"/>
      <c r="D35" s="259" t="s">
        <v>1352</v>
      </c>
      <c r="E35" s="756"/>
      <c r="F35" s="763" t="s">
        <v>1353</v>
      </c>
      <c r="G35" s="2545"/>
    </row>
    <row r="36" spans="1:7">
      <c r="A36" s="762" t="s">
        <v>1310</v>
      </c>
      <c r="B36" s="756"/>
      <c r="C36" s="3406" t="s">
        <v>1354</v>
      </c>
      <c r="D36" s="3407"/>
      <c r="E36" s="756"/>
      <c r="F36" s="2546" t="s">
        <v>1355</v>
      </c>
      <c r="G36" s="759"/>
    </row>
    <row r="37" spans="1:7" ht="13.5" thickBot="1">
      <c r="A37" s="762" t="s">
        <v>1356</v>
      </c>
      <c r="B37" s="756"/>
      <c r="C37" s="3408" t="s">
        <v>1357</v>
      </c>
      <c r="D37" s="3409"/>
      <c r="E37" s="760"/>
      <c r="F37" s="1390" t="s">
        <v>1358</v>
      </c>
      <c r="G37" s="756"/>
    </row>
    <row r="38" spans="1:7" ht="13.5" thickBot="1">
      <c r="A38" s="762" t="s">
        <v>1359</v>
      </c>
      <c r="B38" s="756"/>
      <c r="C38" s="3392" t="s">
        <v>1360</v>
      </c>
      <c r="D38" s="1370" t="s">
        <v>1344</v>
      </c>
      <c r="E38" s="759"/>
      <c r="F38" s="763" t="s">
        <v>1361</v>
      </c>
      <c r="G38" s="760"/>
    </row>
    <row r="39" spans="1:7">
      <c r="A39" s="762" t="s">
        <v>1362</v>
      </c>
      <c r="B39" s="756"/>
      <c r="C39" s="3399"/>
      <c r="D39" s="259" t="s">
        <v>1351</v>
      </c>
      <c r="E39" s="756"/>
      <c r="F39" s="761" t="s">
        <v>1363</v>
      </c>
      <c r="G39" s="759"/>
    </row>
    <row r="40" spans="1:7">
      <c r="A40" s="762" t="s">
        <v>1364</v>
      </c>
      <c r="B40" s="756"/>
      <c r="C40" s="3399" t="s">
        <v>1365</v>
      </c>
      <c r="D40" s="259" t="s">
        <v>1310</v>
      </c>
      <c r="E40" s="756"/>
      <c r="F40" s="762" t="s">
        <v>1366</v>
      </c>
      <c r="G40" s="756"/>
    </row>
    <row r="41" spans="1:7" ht="24.75" customHeight="1" thickBot="1">
      <c r="A41" s="763" t="s">
        <v>1367</v>
      </c>
      <c r="B41" s="760"/>
      <c r="C41" s="3400"/>
      <c r="D41" s="1373" t="s">
        <v>1312</v>
      </c>
      <c r="E41" s="760"/>
      <c r="F41" s="763" t="s">
        <v>1368</v>
      </c>
      <c r="G41" s="760"/>
    </row>
    <row r="42" spans="1:7">
      <c r="A42" s="764" t="s">
        <v>1369</v>
      </c>
      <c r="B42" s="2547"/>
      <c r="C42" s="3388" t="s">
        <v>1369</v>
      </c>
      <c r="D42" s="3389"/>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390" t="s">
        <v>1372</v>
      </c>
      <c r="D49" s="3391"/>
      <c r="E49" s="778"/>
      <c r="F49" s="763" t="s">
        <v>1373</v>
      </c>
      <c r="G49" s="760"/>
    </row>
    <row r="50" spans="1:66">
      <c r="A50" s="762" t="s">
        <v>1374</v>
      </c>
      <c r="B50" s="777"/>
      <c r="C50" s="3392" t="s">
        <v>1375</v>
      </c>
      <c r="D50" s="3393"/>
      <c r="E50" s="2549"/>
      <c r="F50" s="795"/>
      <c r="G50" s="796"/>
    </row>
    <row r="51" spans="1:66" ht="13.5" thickBot="1">
      <c r="A51" s="762" t="s">
        <v>1376</v>
      </c>
      <c r="B51" s="777"/>
      <c r="C51" s="3400" t="s">
        <v>1377</v>
      </c>
      <c r="D51" s="3403"/>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E13" sqref="E13"/>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44908</v>
      </c>
      <c r="C2" s="1612"/>
      <c r="D2" s="3422"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3032</v>
      </c>
      <c r="C3" s="1612"/>
      <c r="D3" s="3423"/>
      <c r="E3" s="2556" t="s">
        <v>3145</v>
      </c>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3033</v>
      </c>
      <c r="C4" s="1612"/>
      <c r="D4" s="3423"/>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900.27</v>
      </c>
      <c r="C5" s="1612"/>
      <c r="D5" s="2842" t="s">
        <v>1385</v>
      </c>
      <c r="E5" s="2559">
        <f>Sheet1!D87</f>
        <v>112.38</v>
      </c>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3034</v>
      </c>
      <c r="C10" s="1612"/>
      <c r="D10" s="2840" t="s">
        <v>1389</v>
      </c>
      <c r="E10" s="2844" t="s">
        <v>1390</v>
      </c>
      <c r="F10" s="3008"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39"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v>56773</v>
      </c>
      <c r="C12" s="1612"/>
      <c r="D12" s="2847" t="s">
        <v>1395</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32.5</v>
      </c>
      <c r="C13" s="2884"/>
      <c r="D13" s="2850" t="s">
        <v>1397</v>
      </c>
      <c r="E13" s="2570">
        <f>E5*E12</f>
        <v>22476</v>
      </c>
      <c r="F13" s="1237"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0.85599999999999998</v>
      </c>
      <c r="C14" s="1612"/>
      <c r="D14" s="2852" t="s">
        <v>1400</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4.4999999999999998E-2</v>
      </c>
      <c r="C15" s="2480" t="s">
        <v>2595</v>
      </c>
      <c r="D15" s="2847" t="s">
        <v>1402</v>
      </c>
      <c r="E15" s="2853">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f>B15+0.005</f>
        <v>4.9999999999999996E-2</v>
      </c>
      <c r="C16" s="2480" t="s">
        <v>2596</v>
      </c>
      <c r="D16" s="2854" t="s">
        <v>1404</v>
      </c>
      <c r="E16" s="2573">
        <v>0</v>
      </c>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2593</v>
      </c>
      <c r="B17" s="3006">
        <f>B16+0.02</f>
        <v>6.9999999999999993E-2</v>
      </c>
      <c r="C17" s="2480" t="s">
        <v>2597</v>
      </c>
      <c r="D17" s="2843" t="s">
        <v>1406</v>
      </c>
      <c r="E17" s="2574">
        <v>4500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2594">
        <f>B16+0.015</f>
        <v>6.5000000000000002E-2</v>
      </c>
      <c r="C18" s="1612"/>
      <c r="D18" s="2856" t="str">
        <f>IF(B26=0,"建安总额","在建建安")</f>
        <v>建安总额</v>
      </c>
      <c r="E18" s="2857">
        <f>ROUND(B5*E17*IF(B26=0,1,E20),0)</f>
        <v>4051215</v>
      </c>
      <c r="F18" s="2575">
        <f>ROUND(E5*E17*IF(B26=0,1,E20),0)</f>
        <v>505710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8"/>
      <c r="C20" s="1612"/>
      <c r="D20" s="2860" t="str">
        <f>IF(B26=0,"成新率","工程进度")</f>
        <v>成新率</v>
      </c>
      <c r="E20" s="2577">
        <f>ROUND(1-(2022-B27)/60,2)</f>
        <v>0.88</v>
      </c>
      <c r="F20" s="905"/>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0.05</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0.05</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0.03</v>
      </c>
      <c r="F25" s="2590" t="s">
        <v>2602</v>
      </c>
      <c r="I25" s="2885"/>
    </row>
    <row r="26" spans="1:41" ht="15" thickBot="1">
      <c r="A26" s="2863" t="s">
        <v>1417</v>
      </c>
      <c r="B26" s="2867">
        <f>B22-B23</f>
        <v>0</v>
      </c>
      <c r="D26" s="2847" t="s">
        <v>1420</v>
      </c>
      <c r="E26" s="2582">
        <v>0.03</v>
      </c>
      <c r="F26" s="2590" t="s">
        <v>2602</v>
      </c>
      <c r="G26" s="2886"/>
      <c r="H26" s="2886"/>
      <c r="I26" s="1612"/>
      <c r="J26" s="1612"/>
      <c r="K26" s="1612"/>
      <c r="L26" s="1612"/>
      <c r="M26" s="1612"/>
      <c r="N26" s="1612"/>
    </row>
    <row r="27" spans="1:41" ht="15.75" thickBot="1">
      <c r="A27" s="2868" t="s">
        <v>1419</v>
      </c>
      <c r="B27" s="2584">
        <v>2015</v>
      </c>
      <c r="C27" s="1612"/>
      <c r="D27" s="3072" t="s">
        <v>3037</v>
      </c>
      <c r="E27" s="2869">
        <f>IF(D27="利息：取LPR",存贷款利率!G1,存贷款利率!G1+F27)</f>
        <v>4.1499999999999995E-2</v>
      </c>
      <c r="F27" s="3073">
        <v>5.0000000000000001E-3</v>
      </c>
      <c r="G27" s="2886"/>
      <c r="H27" s="2886"/>
      <c r="K27" s="1612"/>
      <c r="N27" s="1612"/>
    </row>
    <row r="28" spans="1:41" ht="15" thickBot="1">
      <c r="A28" s="905"/>
      <c r="B28" s="905"/>
      <c r="D28" s="2850" t="s">
        <v>1422</v>
      </c>
      <c r="E28" s="2586">
        <v>0.25</v>
      </c>
      <c r="G28" s="2886"/>
      <c r="H28" s="2886"/>
      <c r="K28" s="1612"/>
      <c r="N28" s="1612"/>
    </row>
    <row r="29" spans="1:41" ht="14.25">
      <c r="A29" s="2870" t="s">
        <v>1421</v>
      </c>
      <c r="B29" s="2585" t="s">
        <v>3035</v>
      </c>
      <c r="D29" s="2852" t="s">
        <v>1423</v>
      </c>
      <c r="E29" s="2871">
        <f>E30+E31</f>
        <v>5.5000000000000007E-2</v>
      </c>
      <c r="F29" s="1237"/>
      <c r="G29" s="2886"/>
      <c r="H29" s="2886"/>
      <c r="K29" s="1612"/>
      <c r="N29" s="1612"/>
    </row>
    <row r="30" spans="1:41" ht="14.25">
      <c r="A30" s="2847" t="str">
        <f>IF(B29="租赁期内按合同租金","合同租金","市场租金")</f>
        <v>市场租金</v>
      </c>
      <c r="B30" s="2587">
        <v>2.8</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5.000000000000001E-3</v>
      </c>
      <c r="F31" s="1237"/>
      <c r="G31" s="2886"/>
      <c r="H31" s="2886"/>
      <c r="K31" s="1612"/>
      <c r="N31" s="1612"/>
    </row>
    <row r="32" spans="1:41" ht="14.25">
      <c r="A32" s="2847" t="s">
        <v>1426</v>
      </c>
      <c r="B32" s="2572">
        <v>2.5000000000000001E-2</v>
      </c>
      <c r="D32" s="2854" t="s">
        <v>1429</v>
      </c>
      <c r="E32" s="2589">
        <v>0.05</v>
      </c>
      <c r="F32" s="2590" t="s">
        <v>2489</v>
      </c>
      <c r="G32" s="2886"/>
      <c r="H32" s="2886"/>
      <c r="K32" s="1612"/>
      <c r="L32" s="1612"/>
      <c r="M32" s="1612"/>
      <c r="N32" s="1612"/>
    </row>
    <row r="33" spans="1:14" ht="14.25">
      <c r="A33" s="2847" t="s">
        <v>1428</v>
      </c>
      <c r="B33" s="2572">
        <v>0.1</v>
      </c>
      <c r="D33" s="2854" t="s">
        <v>1431</v>
      </c>
      <c r="E33" s="2588">
        <v>0.03</v>
      </c>
      <c r="F33" s="1236" t="s">
        <v>1432</v>
      </c>
      <c r="G33" s="2886"/>
      <c r="H33" s="2886"/>
      <c r="K33" s="1612"/>
      <c r="L33" s="1612"/>
      <c r="M33" s="1612"/>
      <c r="N33" s="1612"/>
    </row>
    <row r="34" spans="1:14" s="2592" customFormat="1" ht="14.25">
      <c r="A34" s="2847" t="s">
        <v>1430</v>
      </c>
      <c r="B34" s="2875">
        <f>收益法!J54</f>
        <v>32.5</v>
      </c>
      <c r="D34" s="2854" t="s">
        <v>1433</v>
      </c>
      <c r="E34" s="2588">
        <v>0.02</v>
      </c>
      <c r="F34" s="1236"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39" t="s">
        <v>1437</v>
      </c>
      <c r="G35" s="2886"/>
      <c r="H35" s="2886"/>
      <c r="I35" s="1612"/>
      <c r="J35" s="1612"/>
      <c r="K35" s="1612"/>
      <c r="L35" s="1612"/>
      <c r="M35" s="1612"/>
      <c r="N35" s="1612"/>
    </row>
    <row r="36" spans="1:14" s="2592" customFormat="1" ht="15">
      <c r="A36" s="2876" t="s">
        <v>1435</v>
      </c>
      <c r="B36" s="2877"/>
      <c r="D36" s="2878" t="s">
        <v>1438</v>
      </c>
      <c r="E36" s="2596">
        <v>0.03</v>
      </c>
      <c r="F36" s="1238"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8"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8"/>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8"/>
      <c r="G39" s="2886"/>
      <c r="H39" s="2886"/>
      <c r="I39" s="1612"/>
      <c r="J39" s="1612"/>
      <c r="K39" s="1612"/>
      <c r="L39" s="1612"/>
      <c r="M39" s="1612"/>
      <c r="N39" s="1612"/>
    </row>
    <row r="40" spans="1:14" ht="14.25">
      <c r="A40" s="2847" t="str">
        <f>IF(B29="租赁期内按合同租金","成新率","——")</f>
        <v>——</v>
      </c>
      <c r="B40" s="2572"/>
      <c r="D40" s="2879" t="s">
        <v>1444</v>
      </c>
      <c r="E40" s="2883">
        <f>SUMIF(D42:D51,E41,E42:E51)</f>
        <v>1.5</v>
      </c>
      <c r="F40" s="1238"/>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t="s">
        <v>70</v>
      </c>
      <c r="F41" s="1238" t="s">
        <v>1447</v>
      </c>
      <c r="G41" s="1699" t="s">
        <v>1448</v>
      </c>
      <c r="H41" s="2886"/>
      <c r="I41" s="1612"/>
      <c r="J41" s="1612"/>
      <c r="K41" s="1612"/>
      <c r="L41" s="1612"/>
      <c r="M41" s="1612"/>
      <c r="N41" s="1612"/>
    </row>
    <row r="42" spans="1:14" ht="14.25">
      <c r="A42" s="2846" t="s">
        <v>1445</v>
      </c>
      <c r="B42" s="2597"/>
      <c r="D42" s="2600" t="s">
        <v>1450</v>
      </c>
      <c r="E42" s="2587"/>
      <c r="F42" s="1238">
        <v>30</v>
      </c>
      <c r="G42" s="2886"/>
      <c r="H42" s="2886"/>
      <c r="I42" s="1612"/>
      <c r="J42" s="1612"/>
      <c r="K42" s="1612"/>
      <c r="L42" s="1612"/>
      <c r="M42" s="1612"/>
      <c r="N42" s="1612"/>
    </row>
    <row r="43" spans="1:14" ht="14.25">
      <c r="A43" s="2847" t="s">
        <v>1449</v>
      </c>
      <c r="B43" s="2599">
        <v>365</v>
      </c>
      <c r="D43" s="2600" t="s">
        <v>1452</v>
      </c>
      <c r="E43" s="2587"/>
      <c r="F43" s="1238">
        <v>24</v>
      </c>
      <c r="G43" s="2886"/>
      <c r="H43" s="2886"/>
      <c r="I43" s="1612"/>
      <c r="J43" s="1612"/>
      <c r="K43" s="1612"/>
      <c r="L43" s="1612"/>
      <c r="M43" s="1612"/>
      <c r="N43" s="1612"/>
    </row>
    <row r="44" spans="1:14" ht="14.25">
      <c r="A44" s="2847" t="s">
        <v>1451</v>
      </c>
      <c r="B44" s="2587"/>
      <c r="D44" s="2600" t="s">
        <v>1454</v>
      </c>
      <c r="E44" s="2587"/>
      <c r="F44" s="1238">
        <v>18</v>
      </c>
      <c r="G44" s="2592"/>
      <c r="H44" s="2592"/>
      <c r="I44" s="2886"/>
      <c r="J44" s="1612"/>
      <c r="K44" s="1612"/>
      <c r="L44" s="1612"/>
      <c r="M44" s="1612"/>
      <c r="N44" s="1612"/>
    </row>
    <row r="45" spans="1:14" ht="14.25">
      <c r="A45" s="2847" t="s">
        <v>1453</v>
      </c>
      <c r="B45" s="2601">
        <v>5.0000000000000001E-3</v>
      </c>
      <c r="C45" s="2480" t="s">
        <v>2600</v>
      </c>
      <c r="D45" s="2600" t="s">
        <v>1456</v>
      </c>
      <c r="E45" s="2587"/>
      <c r="F45" s="1238">
        <v>12</v>
      </c>
      <c r="G45" s="2592"/>
      <c r="H45" s="2592"/>
      <c r="M45" s="1612"/>
      <c r="N45" s="1612"/>
    </row>
    <row r="46" spans="1:14" ht="14.25">
      <c r="A46" s="2847" t="s">
        <v>1455</v>
      </c>
      <c r="B46" s="2602">
        <v>1E-3</v>
      </c>
      <c r="C46" s="2480" t="s">
        <v>2598</v>
      </c>
      <c r="D46" s="2600" t="s">
        <v>1218</v>
      </c>
      <c r="E46" s="2587"/>
      <c r="F46" s="1238">
        <v>3</v>
      </c>
      <c r="G46" s="2592"/>
      <c r="H46" s="2592"/>
      <c r="M46" s="1612"/>
      <c r="N46" s="1612"/>
    </row>
    <row r="47" spans="1:14" ht="15" thickBot="1">
      <c r="A47" s="2850" t="s">
        <v>1457</v>
      </c>
      <c r="B47" s="2603">
        <v>0.01</v>
      </c>
      <c r="C47" s="2480" t="s">
        <v>2599</v>
      </c>
      <c r="D47" s="2600" t="s">
        <v>1458</v>
      </c>
      <c r="E47" s="2587">
        <v>1.5</v>
      </c>
      <c r="F47" s="1238">
        <v>1.5</v>
      </c>
      <c r="G47" s="2592"/>
      <c r="H47" s="2592"/>
      <c r="M47" s="1612"/>
      <c r="N47" s="1612"/>
    </row>
    <row r="48" spans="1:14" ht="14.25">
      <c r="A48" s="2592"/>
      <c r="B48" s="2592"/>
      <c r="D48" s="2600" t="s">
        <v>1459</v>
      </c>
      <c r="E48" s="2587"/>
      <c r="F48" s="1238"/>
      <c r="G48" s="2592"/>
      <c r="H48" s="2592"/>
      <c r="M48" s="1612"/>
      <c r="N48" s="1612"/>
    </row>
    <row r="49" spans="1:41" ht="14.25">
      <c r="A49" s="2592"/>
      <c r="B49" s="2592"/>
      <c r="D49" s="2600" t="s">
        <v>1460</v>
      </c>
      <c r="E49" s="2587"/>
      <c r="F49" s="1238"/>
      <c r="G49" s="2592"/>
      <c r="H49" s="2592"/>
      <c r="M49" s="1612"/>
      <c r="N49" s="1612"/>
    </row>
    <row r="50" spans="1:41" ht="14.25">
      <c r="A50" s="2592"/>
      <c r="B50" s="2592"/>
      <c r="D50" s="2600" t="s">
        <v>1461</v>
      </c>
      <c r="E50" s="2587"/>
      <c r="F50" s="1238"/>
      <c r="G50" s="2592"/>
      <c r="H50" s="2592"/>
      <c r="M50" s="1612"/>
      <c r="N50" s="1612"/>
    </row>
    <row r="51" spans="1:41" s="905" customFormat="1" ht="15" thickBot="1">
      <c r="A51" s="2592"/>
      <c r="B51" s="2592"/>
      <c r="C51" s="2592"/>
      <c r="D51" s="2604" t="s">
        <v>1462</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4" t="s">
        <v>1463</v>
      </c>
      <c r="B1" s="3425"/>
      <c r="C1" s="3425"/>
      <c r="D1" s="3425"/>
      <c r="E1" s="3425"/>
      <c r="F1" s="3425"/>
      <c r="G1" s="3425"/>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9" t="s">
        <v>2612</v>
      </c>
      <c r="C4" s="3027" t="s">
        <v>2613</v>
      </c>
      <c r="D4" s="3023"/>
      <c r="E4" s="3028"/>
      <c r="F4" s="3011"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9" t="s">
        <v>2616</v>
      </c>
      <c r="C5" s="3027" t="s">
        <v>2617</v>
      </c>
      <c r="D5" s="3023"/>
      <c r="E5" s="3028"/>
      <c r="F5" s="3009"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9" t="s">
        <v>2620</v>
      </c>
      <c r="C6" s="3029" t="s">
        <v>2615</v>
      </c>
      <c r="D6" s="3023"/>
      <c r="E6" s="3028"/>
      <c r="F6" s="3009"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9" t="s">
        <v>2618</v>
      </c>
      <c r="C7" s="3029" t="s">
        <v>2619</v>
      </c>
      <c r="D7" s="2899"/>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9" t="s">
        <v>2621</v>
      </c>
      <c r="C8" s="3029" t="s">
        <v>2622</v>
      </c>
      <c r="D8" s="2899"/>
      <c r="E8" s="2899"/>
      <c r="F8" s="2894"/>
      <c r="G8" s="2894"/>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9" t="s">
        <v>2625</v>
      </c>
      <c r="C9" s="3027" t="s">
        <v>2626</v>
      </c>
      <c r="D9" s="3023"/>
      <c r="E9" s="2899"/>
      <c r="F9" s="2894"/>
      <c r="G9" s="2894"/>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3" t="s">
        <v>2627</v>
      </c>
      <c r="C10" s="3034"/>
      <c r="D10" s="3023"/>
      <c r="E10" s="3023"/>
      <c r="F10" s="2894"/>
      <c r="G10" s="2894"/>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9"/>
      <c r="C11" s="3023"/>
      <c r="D11" s="3023"/>
      <c r="E11" s="3023"/>
      <c r="F11" s="2899"/>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10"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9"/>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10" t="s">
        <v>2620</v>
      </c>
      <c r="C18" s="3053" t="str">
        <f>C6</f>
        <v>估价对象周边道路状况、公共交通通达情况、停车便捷程度，综合评价交通便捷度较好</v>
      </c>
      <c r="D18" s="2899"/>
      <c r="E18" s="3052"/>
      <c r="F18" s="3010"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9"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10" t="s">
        <v>2633</v>
      </c>
      <c r="C20" s="3051" t="str">
        <f>C9</f>
        <v>区域自然环境：；人文环境；综合评价环境状况一般</v>
      </c>
      <c r="D20" s="2899"/>
      <c r="E20" s="3052"/>
      <c r="F20" s="3009"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9" t="s">
        <v>2618</v>
      </c>
      <c r="C21" s="3053" t="str">
        <f>C7</f>
        <v>估价对象所在区域公共配套设施齐备情况</v>
      </c>
      <c r="D21" s="3023"/>
      <c r="E21" s="3052"/>
      <c r="F21" s="3010"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9" t="s">
        <v>2621</v>
      </c>
      <c r="C22" s="3053" t="str">
        <f>C8</f>
        <v>估价对象所在区域基础设施水平</v>
      </c>
      <c r="D22" s="3023"/>
      <c r="E22" s="3052"/>
      <c r="F22" s="3010"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10" t="s">
        <v>2634</v>
      </c>
      <c r="C23" s="3055"/>
      <c r="D23" s="3042"/>
      <c r="E23" s="3057"/>
      <c r="F23" s="3012" t="s">
        <v>2635</v>
      </c>
      <c r="G23" s="3058"/>
      <c r="H23" s="3042"/>
      <c r="I23" s="3043"/>
      <c r="J23" s="3042"/>
      <c r="K23" s="3042"/>
      <c r="L23" s="3043"/>
      <c r="M23" s="3042"/>
      <c r="N23" s="3042"/>
      <c r="O23" s="3043"/>
      <c r="P23" s="3042"/>
      <c r="Q23" s="3042"/>
      <c r="R23" s="3044"/>
    </row>
    <row r="24" spans="1:29" s="3019" customFormat="1" ht="13.5" thickBot="1">
      <c r="A24" s="3059"/>
      <c r="B24" s="3012"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E33" sqref="E33"/>
    </sheetView>
  </sheetViews>
  <sheetFormatPr defaultColWidth="14.625" defaultRowHeight="13.5"/>
  <cols>
    <col min="1" max="1" width="24.375" style="2500" customWidth="1"/>
    <col min="2" max="16384" width="14.625" style="2500"/>
  </cols>
  <sheetData>
    <row r="1" spans="1:9" ht="16.5">
      <c r="A1" s="2498" t="s">
        <v>973</v>
      </c>
      <c r="B1" s="2498">
        <f>SUM(B14:B23)</f>
        <v>900.27</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44908</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1455</v>
      </c>
      <c r="C5" s="2498">
        <f ca="1">ROUND(B5*10000/$B$1,0)</f>
        <v>16162</v>
      </c>
      <c r="D5" s="2498" t="e">
        <f ca="1">ROUND(B5*10000/$B$2,0)</f>
        <v>#DIV/0!</v>
      </c>
      <c r="E5" s="1561"/>
      <c r="F5" s="2499"/>
      <c r="G5" s="2499"/>
    </row>
    <row r="6" spans="1:9" ht="16.5">
      <c r="A6" s="2498" t="s">
        <v>981</v>
      </c>
      <c r="B6" s="2498">
        <f ca="1">SUM(G14:G23)</f>
        <v>1455</v>
      </c>
      <c r="C6" s="2498">
        <f t="shared" ref="C6:C8" ca="1" si="0">ROUND(B6*10000/$B$1,0)</f>
        <v>16162</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3144</v>
      </c>
      <c r="B14" s="2834">
        <f>项目基本情况!C12</f>
        <v>900.27</v>
      </c>
      <c r="C14" s="2834">
        <f>项目基本情况!C13</f>
        <v>0</v>
      </c>
      <c r="D14" s="2834">
        <f ca="1">IF('数据-取费表'!B3="万元",IF(A14="估价对象1（结果表）",结果表!H121,'结果表 (1修多)'!H125),IF(A14="估价对象1（结果表）",结果表!H121,'结果表 (1修多)'!H125)/10000)</f>
        <v>1455</v>
      </c>
      <c r="E14" s="2834">
        <f ca="1">ROUND(D14*10000/B14,0)</f>
        <v>16162</v>
      </c>
      <c r="F14" s="2834" t="e">
        <f ca="1">ROUND(D14*10000/C14,0)</f>
        <v>#DIV/0!</v>
      </c>
      <c r="G14" s="2834">
        <f ca="1">IF('数据-取费表'!B3="万元",IF(A14="估价对象1（结果表）",结果表!D125,'结果表 (1修多)'!D129),IF(A14="估价对象1（结果表）",结果表!D125,'结果表 (1修多)'!D129)/10000)</f>
        <v>1455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E25" sqref="E25"/>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1470</v>
      </c>
      <c r="B1" s="1388"/>
      <c r="C1" s="1388"/>
      <c r="D1" s="1388"/>
      <c r="E1" s="1388"/>
      <c r="F1" s="1388"/>
      <c r="G1" s="1388"/>
      <c r="H1" s="1388"/>
      <c r="I1" s="1388"/>
    </row>
    <row r="2" spans="1:15" ht="21.75" customHeight="1">
      <c r="A2" s="3481" t="str">
        <f>项目基本情况!B1</f>
        <v>北京市房地产抵押价值预评估</v>
      </c>
      <c r="B2" s="3481"/>
      <c r="C2" s="3481"/>
      <c r="D2" s="3481"/>
      <c r="E2" s="3481"/>
      <c r="F2" s="3481"/>
      <c r="G2" s="3481"/>
      <c r="H2" s="3481"/>
      <c r="I2" s="3481"/>
      <c r="J2" s="2761"/>
    </row>
    <row r="3" spans="1:15" ht="12.75">
      <c r="A3" s="3484" t="s">
        <v>1471</v>
      </c>
      <c r="B3" s="3485"/>
      <c r="C3" s="3485"/>
      <c r="D3" s="3485"/>
      <c r="E3" s="3485"/>
      <c r="F3" s="3485"/>
      <c r="G3" s="3485"/>
      <c r="H3" s="3485"/>
      <c r="I3" s="3485"/>
      <c r="J3" s="2762"/>
    </row>
    <row r="4" spans="1:15" ht="14.25">
      <c r="A4" s="2630" t="s">
        <v>1472</v>
      </c>
      <c r="B4" s="2630" t="s">
        <v>1473</v>
      </c>
      <c r="C4" s="2631" t="s">
        <v>3042</v>
      </c>
      <c r="D4" s="2631" t="s">
        <v>3043</v>
      </c>
      <c r="E4" s="3430" t="s">
        <v>1474</v>
      </c>
      <c r="F4" s="3468"/>
      <c r="G4" s="3468"/>
      <c r="H4" s="3468"/>
      <c r="I4" s="3469"/>
      <c r="J4" s="2763"/>
      <c r="L4" s="1388" t="str">
        <f>IF(ISNUMBER(FIND("比较法",结果表!C4)),"比较法",IF(ISNUMBER(FIND("成本法",结果表!C4)),"成本法",IF(ISNUMBER(FIND("假设开发法",结果表!C4)),"假设开发法",IF(ISNUMBER(FIND("收益法",结果表!C4)),"收益法","基准地价系数修正法"))))</f>
        <v>成本法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61" t="s">
        <v>1475</v>
      </c>
      <c r="B5" s="3461">
        <v>25</v>
      </c>
      <c r="C5" s="3470"/>
      <c r="D5" s="3483"/>
      <c r="E5" s="12" t="s">
        <v>1476</v>
      </c>
      <c r="F5" s="2016"/>
      <c r="G5" s="2016"/>
      <c r="H5" s="2016"/>
      <c r="I5" s="2011"/>
      <c r="J5" s="2763"/>
    </row>
    <row r="6" spans="1:15" ht="12.75">
      <c r="A6" s="3461"/>
      <c r="B6" s="3461"/>
      <c r="C6" s="3486"/>
      <c r="D6" s="3483"/>
      <c r="E6" s="12" t="s">
        <v>1477</v>
      </c>
      <c r="F6" s="2016"/>
      <c r="G6" s="2016"/>
      <c r="H6" s="2016"/>
      <c r="I6" s="2011"/>
      <c r="J6" s="2763"/>
    </row>
    <row r="7" spans="1:15" ht="12.75">
      <c r="A7" s="3461"/>
      <c r="B7" s="3461"/>
      <c r="C7" s="3471"/>
      <c r="D7" s="3483"/>
      <c r="E7" s="12" t="s">
        <v>1478</v>
      </c>
      <c r="F7" s="2016"/>
      <c r="G7" s="2016"/>
      <c r="H7" s="2016"/>
      <c r="I7" s="2011"/>
      <c r="J7" s="2763"/>
    </row>
    <row r="8" spans="1:15" ht="12.75">
      <c r="A8" s="3461" t="s">
        <v>1479</v>
      </c>
      <c r="B8" s="3461">
        <v>15</v>
      </c>
      <c r="C8" s="3470"/>
      <c r="D8" s="3483"/>
      <c r="E8" s="12" t="s">
        <v>1480</v>
      </c>
      <c r="F8" s="2016"/>
      <c r="G8" s="2016"/>
      <c r="H8" s="2016"/>
      <c r="I8" s="2011"/>
      <c r="J8" s="2763"/>
    </row>
    <row r="9" spans="1:15" ht="12.75">
      <c r="A9" s="3461"/>
      <c r="B9" s="3461"/>
      <c r="C9" s="3471"/>
      <c r="D9" s="3483"/>
      <c r="E9" s="12" t="s">
        <v>1481</v>
      </c>
      <c r="F9" s="2016"/>
      <c r="G9" s="2016"/>
      <c r="H9" s="2016"/>
      <c r="I9" s="2011"/>
      <c r="J9" s="2763"/>
    </row>
    <row r="10" spans="1:15" ht="12.75">
      <c r="A10" s="3461" t="s">
        <v>1482</v>
      </c>
      <c r="B10" s="3461">
        <v>15</v>
      </c>
      <c r="C10" s="3470"/>
      <c r="D10" s="3483"/>
      <c r="E10" s="12" t="s">
        <v>1483</v>
      </c>
      <c r="F10" s="2016"/>
      <c r="G10" s="2016"/>
      <c r="H10" s="2016"/>
      <c r="I10" s="2011"/>
      <c r="J10" s="2763"/>
    </row>
    <row r="11" spans="1:15" ht="12.75">
      <c r="A11" s="3461"/>
      <c r="B11" s="3461"/>
      <c r="C11" s="3471"/>
      <c r="D11" s="3483"/>
      <c r="E11" s="12" t="s">
        <v>1484</v>
      </c>
      <c r="F11" s="2016"/>
      <c r="G11" s="2016"/>
      <c r="H11" s="2016"/>
      <c r="I11" s="2011"/>
      <c r="J11" s="2763"/>
    </row>
    <row r="12" spans="1:15" ht="12.75">
      <c r="A12" s="3461" t="s">
        <v>1485</v>
      </c>
      <c r="B12" s="3461">
        <v>15</v>
      </c>
      <c r="C12" s="3470"/>
      <c r="D12" s="3483"/>
      <c r="E12" s="12" t="s">
        <v>1486</v>
      </c>
      <c r="F12" s="2016"/>
      <c r="G12" s="2016"/>
      <c r="H12" s="2016"/>
      <c r="I12" s="2011"/>
      <c r="J12" s="2763"/>
    </row>
    <row r="13" spans="1:15" ht="12.75">
      <c r="A13" s="3461"/>
      <c r="B13" s="3461"/>
      <c r="C13" s="3471"/>
      <c r="D13" s="3483"/>
      <c r="E13" s="12" t="s">
        <v>1487</v>
      </c>
      <c r="F13" s="2016"/>
      <c r="G13" s="2016"/>
      <c r="H13" s="2016"/>
      <c r="I13" s="2011"/>
      <c r="J13" s="2763"/>
    </row>
    <row r="14" spans="1:15" ht="12.75">
      <c r="A14" s="3461" t="s">
        <v>1488</v>
      </c>
      <c r="B14" s="3461">
        <v>30</v>
      </c>
      <c r="C14" s="3470">
        <v>5</v>
      </c>
      <c r="D14" s="3483">
        <v>5</v>
      </c>
      <c r="E14" s="12" t="s">
        <v>1489</v>
      </c>
      <c r="F14" s="2016"/>
      <c r="G14" s="2016"/>
      <c r="H14" s="2016"/>
      <c r="I14" s="2011"/>
      <c r="J14" s="2763"/>
    </row>
    <row r="15" spans="1:15" ht="12.75">
      <c r="A15" s="3461"/>
      <c r="B15" s="3461"/>
      <c r="C15" s="3486"/>
      <c r="D15" s="3483"/>
      <c r="E15" s="12" t="s">
        <v>1490</v>
      </c>
      <c r="F15" s="2016"/>
      <c r="G15" s="2016"/>
      <c r="H15" s="2016"/>
      <c r="I15" s="2011"/>
      <c r="J15" s="2763"/>
    </row>
    <row r="16" spans="1:15" ht="12.75">
      <c r="A16" s="3461"/>
      <c r="B16" s="3461"/>
      <c r="C16" s="3471"/>
      <c r="D16" s="3483"/>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0" customHeight="1" thickBot="1">
      <c r="A18" s="2634" t="s">
        <v>1493</v>
      </c>
      <c r="B18" s="2635"/>
      <c r="C18" s="2636">
        <f>ROUND(C17/SUM(C17:D17),2)</f>
        <v>0.5</v>
      </c>
      <c r="D18" s="2636">
        <f>1-C18</f>
        <v>0.5</v>
      </c>
      <c r="E18" s="3479" t="s">
        <v>2574</v>
      </c>
      <c r="F18" s="3480"/>
      <c r="G18" s="3480"/>
      <c r="H18" s="3480"/>
      <c r="I18" s="3480"/>
      <c r="J18" s="2764"/>
    </row>
    <row r="19" spans="1:36" ht="15">
      <c r="A19" s="2637" t="s">
        <v>1494</v>
      </c>
      <c r="B19" s="2638" t="s">
        <v>1495</v>
      </c>
      <c r="C19" s="2639">
        <f ca="1">SUMIF(INDIRECT("'"&amp;C4&amp;"'"&amp;"!A:A"),结果表!B19,INDIRECT("'"&amp;C4&amp;"'"&amp;"!B:B"))</f>
        <v>189</v>
      </c>
      <c r="D19" s="2640">
        <f ca="1">SUMIF(INDIRECT("'"&amp;D4&amp;"'"&amp;"!A:A"),结果表!B19,INDIRECT("'"&amp;D4&amp;"'"&amp;"!B:B"))</f>
        <v>178</v>
      </c>
      <c r="E19" s="2637" t="s">
        <v>1496</v>
      </c>
      <c r="F19" s="2638" t="s">
        <v>1495</v>
      </c>
      <c r="G19" s="2641">
        <f ca="1">ROUND(C19*$C$18+D19*$D$18,0)</f>
        <v>184</v>
      </c>
      <c r="H19" s="2642" t="str">
        <f>'数据-取费表'!B3</f>
        <v>万元</v>
      </c>
      <c r="I19" s="2690"/>
      <c r="J19" s="2765"/>
    </row>
    <row r="20" spans="1:36" ht="15">
      <c r="A20" s="2643"/>
      <c r="B20" s="1621" t="s">
        <v>1497</v>
      </c>
      <c r="C20" s="1846">
        <f ca="1">SUMIF(INDIRECT("'"&amp;C4&amp;"'"&amp;"!A:A"),结果表!B20,INDIRECT("'"&amp;C4&amp;"'"&amp;"!B:B"))</f>
        <v>16817</v>
      </c>
      <c r="D20" s="1849">
        <f ca="1">SUMIF(INDIRECT("'"&amp;D4&amp;"'"&amp;"!A:A"),结果表!B20,INDIRECT("'"&amp;D4&amp;"'"&amp;"!B:B"))</f>
        <v>15866</v>
      </c>
      <c r="E20" s="2643"/>
      <c r="F20" s="1621" t="s">
        <v>1497</v>
      </c>
      <c r="G20" s="2020">
        <f ca="1">ROUND(C20*$C$18+D20*$D$18,0)</f>
        <v>16342</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6.1797752808988804E-2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72" t="s">
        <v>1500</v>
      </c>
      <c r="B24" s="2638" t="s">
        <v>1495</v>
      </c>
      <c r="C24" s="2641">
        <f>D30</f>
        <v>0</v>
      </c>
      <c r="D24" s="2593"/>
      <c r="E24" s="905"/>
      <c r="F24" s="905"/>
      <c r="G24" s="905"/>
      <c r="H24" s="905"/>
      <c r="I24" s="905"/>
      <c r="J24" s="2764"/>
    </row>
    <row r="25" spans="1:36" ht="21.75" customHeight="1">
      <c r="A25" s="3489"/>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16342</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9576</v>
      </c>
      <c r="D34" s="2667">
        <f ca="1">IF(D33="自定义",ROUND(C34/C32,3),1-D35)</f>
        <v>0.58600000000000008</v>
      </c>
      <c r="E34" s="1362" t="s">
        <v>1510</v>
      </c>
      <c r="F34" s="2668">
        <v>2000</v>
      </c>
      <c r="G34" s="905"/>
      <c r="H34" s="905"/>
      <c r="I34" s="905"/>
      <c r="J34" s="2764"/>
    </row>
    <row r="35" spans="1:17" ht="15.75" thickBot="1">
      <c r="A35" s="1394"/>
      <c r="B35" s="2669" t="s">
        <v>1511</v>
      </c>
      <c r="C35" s="2670">
        <f ca="1">IF(D33="自定义",F35,ROUND(C32*D35,0))</f>
        <v>6766</v>
      </c>
      <c r="D35" s="2671">
        <f ca="1">IF(D33="自定义",ROUND(C35/C32,3),IF(D33="成本法成本比率",成本法!C56,IF(D33="收益法收益比率",收益法!J38,收益法!J41)))</f>
        <v>0.41399999999999998</v>
      </c>
      <c r="E35" s="2672" t="s">
        <v>1512</v>
      </c>
      <c r="F35" s="2673">
        <v>4460</v>
      </c>
      <c r="G35" s="905"/>
      <c r="H35" s="905"/>
      <c r="I35" s="905"/>
      <c r="J35" s="2764"/>
    </row>
    <row r="36" spans="1:17" ht="15.75" thickBot="1">
      <c r="A36" s="3472" t="s">
        <v>1513</v>
      </c>
      <c r="B36" s="1395" t="s">
        <v>1514</v>
      </c>
      <c r="C36" s="2674">
        <v>0</v>
      </c>
      <c r="D36" s="2675"/>
      <c r="E36" s="1607"/>
      <c r="F36" s="1607"/>
      <c r="G36" s="905"/>
      <c r="H36" s="905"/>
      <c r="I36" s="905"/>
      <c r="J36" s="2764"/>
    </row>
    <row r="37" spans="1:17" ht="15.75" thickBot="1">
      <c r="A37" s="3473"/>
      <c r="B37" s="2021" t="s">
        <v>1515</v>
      </c>
      <c r="C37" s="2676">
        <v>0</v>
      </c>
      <c r="D37" s="1238"/>
      <c r="E37" s="1238"/>
      <c r="F37" s="1607"/>
      <c r="G37" s="1238"/>
      <c r="H37" s="1238"/>
      <c r="I37" s="1238"/>
      <c r="J37" s="2768"/>
    </row>
    <row r="38" spans="1:17" ht="15.75" thickBot="1">
      <c r="A38" s="3474"/>
      <c r="B38" s="1396" t="s">
        <v>1516</v>
      </c>
      <c r="C38" s="2677">
        <v>0</v>
      </c>
      <c r="D38" s="2678" t="s">
        <v>1517</v>
      </c>
      <c r="E38" s="1238"/>
      <c r="F38" s="1607"/>
      <c r="G38" s="1238"/>
      <c r="H38" s="1238"/>
      <c r="I38" s="1238"/>
      <c r="J38" s="2768"/>
    </row>
    <row r="39" spans="1:17" ht="15">
      <c r="A39" s="2643" t="s">
        <v>1518</v>
      </c>
      <c r="B39" s="2679" t="s">
        <v>1502</v>
      </c>
      <c r="C39" s="2680" t="s">
        <v>1503</v>
      </c>
      <c r="D39" s="2680" t="s">
        <v>1519</v>
      </c>
      <c r="E39" s="2681" t="s">
        <v>1504</v>
      </c>
      <c r="F39" s="1607"/>
      <c r="G39" s="1238"/>
      <c r="H39" s="1238"/>
      <c r="I39" s="1238"/>
      <c r="J39" s="2768"/>
    </row>
    <row r="40" spans="1:17" ht="14.25">
      <c r="A40" s="2682" t="s">
        <v>1520</v>
      </c>
      <c r="B40" s="2683"/>
      <c r="C40" s="2684"/>
      <c r="D40" s="2684"/>
      <c r="E40" s="2685"/>
      <c r="F40" s="1607"/>
      <c r="G40" s="1238"/>
      <c r="H40" s="1238"/>
      <c r="I40" s="1238"/>
      <c r="J40" s="2768"/>
    </row>
    <row r="41" spans="1:17" ht="14.25">
      <c r="A41" s="2682" t="s">
        <v>1521</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2573</v>
      </c>
      <c r="J44" s="2770"/>
      <c r="K44" s="1402" t="s">
        <v>1523</v>
      </c>
      <c r="L44" s="1403"/>
      <c r="M44" s="1403"/>
      <c r="N44" s="1403"/>
      <c r="O44" s="1403"/>
      <c r="P44" s="1403"/>
      <c r="Q44" s="1235"/>
    </row>
    <row r="45" spans="1:17" ht="14.25" customHeight="1" thickBot="1">
      <c r="A45" s="3476" t="s">
        <v>1524</v>
      </c>
      <c r="B45" s="3477"/>
      <c r="C45" s="3436"/>
      <c r="D45" s="246">
        <f ca="1">ROUND(I102*F45,0)</f>
        <v>1471</v>
      </c>
      <c r="E45" s="1469" t="s">
        <v>1525</v>
      </c>
      <c r="F45" s="2478">
        <v>1</v>
      </c>
      <c r="G45" s="2479" t="s">
        <v>1526</v>
      </c>
      <c r="H45" s="905"/>
      <c r="I45" s="905"/>
      <c r="J45" s="2764"/>
      <c r="K45" s="3530" t="s">
        <v>2503</v>
      </c>
      <c r="L45" s="3530"/>
      <c r="M45" s="3530"/>
      <c r="N45" s="3530"/>
      <c r="O45" s="3530"/>
      <c r="P45" s="3530"/>
      <c r="Q45" s="1235"/>
    </row>
    <row r="46" spans="1:17" ht="14.25" customHeight="1">
      <c r="A46" s="3465" t="s">
        <v>1528</v>
      </c>
      <c r="B46" s="3466"/>
      <c r="C46" s="3466"/>
      <c r="D46" s="3466"/>
      <c r="E46" s="3466"/>
      <c r="F46" s="3466"/>
      <c r="G46" s="3467"/>
      <c r="H46" s="2896"/>
      <c r="I46" s="905"/>
      <c r="J46" s="2764"/>
      <c r="K46" s="2453">
        <v>1</v>
      </c>
      <c r="L46" s="3531" t="s">
        <v>2504</v>
      </c>
      <c r="M46" s="3531"/>
      <c r="N46" s="3532" t="str">
        <f>项目基本情况!B1</f>
        <v>北京市房地产抵押价值预评估</v>
      </c>
      <c r="O46" s="3532"/>
      <c r="P46" s="3532"/>
      <c r="Q46" s="1235"/>
    </row>
    <row r="47" spans="1:17" ht="12" customHeight="1">
      <c r="A47" s="38" t="s">
        <v>1530</v>
      </c>
      <c r="B47" s="39"/>
      <c r="C47" s="40"/>
      <c r="D47" s="1027" t="s">
        <v>1531</v>
      </c>
      <c r="E47" s="235" t="s">
        <v>1532</v>
      </c>
      <c r="F47" s="41" t="s">
        <v>1533</v>
      </c>
      <c r="G47" s="2481" t="s">
        <v>1534</v>
      </c>
      <c r="H47" s="2896"/>
      <c r="I47" s="905"/>
      <c r="J47" s="2764"/>
      <c r="K47" s="2453">
        <v>2</v>
      </c>
      <c r="L47" s="3531" t="s">
        <v>2505</v>
      </c>
      <c r="M47" s="3531"/>
      <c r="N47" s="3533">
        <f>'数据-取费表'!B2</f>
        <v>44908</v>
      </c>
      <c r="O47" s="3533"/>
      <c r="P47" s="3533"/>
      <c r="Q47" s="1235"/>
    </row>
    <row r="48" spans="1:17" ht="25.5">
      <c r="A48" s="3475" t="s">
        <v>1536</v>
      </c>
      <c r="B48" s="3429"/>
      <c r="C48" s="3429"/>
      <c r="D48" s="12">
        <f ca="1">IF(H48="情况1",0,IF(H48="情况2",D52,IF(H48="情况3",D53,IF(H48="情况4",D54))))</f>
        <v>77</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531" t="s">
        <v>2506</v>
      </c>
      <c r="M48" s="3531"/>
      <c r="N48" s="3532">
        <f ca="1">I102</f>
        <v>1471</v>
      </c>
      <c r="O48" s="3532"/>
      <c r="P48" s="3532"/>
      <c r="Q48" s="1235"/>
    </row>
    <row r="49" spans="1:17" ht="25.5" customHeight="1">
      <c r="A49" s="2018" t="s">
        <v>1540</v>
      </c>
      <c r="B49" s="3468" t="s">
        <v>1541</v>
      </c>
      <c r="C49" s="3468"/>
      <c r="D49" s="2485">
        <v>0</v>
      </c>
      <c r="E49" s="261" t="s">
        <v>1542</v>
      </c>
      <c r="F49" s="2486" t="s">
        <v>48</v>
      </c>
      <c r="G49" s="3525"/>
      <c r="H49" s="2487" t="s">
        <v>2580</v>
      </c>
      <c r="I49" s="2488"/>
      <c r="J49" s="2772"/>
      <c r="K49" s="2453">
        <v>4</v>
      </c>
      <c r="L49" s="3531" t="str">
        <f>IF(项目基本情况!F5="房地产抵押价值","房地产抵押价值","抵押担保权已注销时的房地产抵押价值")</f>
        <v>房地产抵押价值</v>
      </c>
      <c r="M49" s="3531"/>
      <c r="N49" s="3532">
        <f ca="1">IF(项目基本情况!F5="房地产抵押价值",I110,I112)</f>
        <v>1471</v>
      </c>
      <c r="O49" s="3532"/>
      <c r="P49" s="3532"/>
      <c r="Q49" s="1235"/>
    </row>
    <row r="50" spans="1:17" ht="25.5" customHeight="1">
      <c r="A50" s="2008"/>
      <c r="B50" s="3468" t="s">
        <v>1543</v>
      </c>
      <c r="C50" s="3468"/>
      <c r="D50" s="2489"/>
      <c r="E50" s="269"/>
      <c r="F50" s="2486"/>
      <c r="G50" s="3526"/>
      <c r="H50" s="2490" t="s">
        <v>2499</v>
      </c>
      <c r="I50" s="2488"/>
      <c r="J50" s="2772"/>
      <c r="K50" s="3531" t="s">
        <v>2507</v>
      </c>
      <c r="L50" s="3531"/>
      <c r="M50" s="3531"/>
      <c r="N50" s="3531"/>
      <c r="O50" s="3531"/>
      <c r="P50" s="3531"/>
      <c r="Q50" s="1235"/>
    </row>
    <row r="51" spans="1:17" ht="20.45" customHeight="1">
      <c r="A51" s="2491"/>
      <c r="B51" s="3468" t="s">
        <v>1545</v>
      </c>
      <c r="C51" s="3468"/>
      <c r="D51" s="1027"/>
      <c r="E51" s="264"/>
      <c r="F51" s="2486"/>
      <c r="G51" s="3527"/>
      <c r="H51" s="2490" t="s">
        <v>2500</v>
      </c>
      <c r="I51" s="2488"/>
      <c r="J51" s="2772"/>
      <c r="K51" s="2454" t="s">
        <v>2508</v>
      </c>
      <c r="L51" s="3531" t="s">
        <v>2509</v>
      </c>
      <c r="M51" s="3531"/>
      <c r="N51" s="2454" t="s">
        <v>2510</v>
      </c>
      <c r="O51" s="2454" t="s">
        <v>2511</v>
      </c>
      <c r="P51" s="2454" t="s">
        <v>2512</v>
      </c>
      <c r="Q51" s="1235"/>
    </row>
    <row r="52" spans="1:17" ht="24" customHeight="1">
      <c r="A52" s="2009" t="s">
        <v>1551</v>
      </c>
      <c r="B52" s="3468" t="s">
        <v>1552</v>
      </c>
      <c r="C52" s="3468"/>
      <c r="D52" s="1027">
        <f ca="1">ROUND(D45*'数据-取费表'!E29/(1+'数据-取费表'!F30),0)</f>
        <v>77</v>
      </c>
      <c r="E52" s="2019" t="s">
        <v>1553</v>
      </c>
      <c r="F52" s="2492">
        <f>'数据-取费表'!E29</f>
        <v>5.5000000000000007E-2</v>
      </c>
      <c r="G52" s="2493"/>
      <c r="H52" s="905"/>
      <c r="I52" s="2897"/>
      <c r="J52" s="2772"/>
      <c r="K52" s="2453">
        <v>1</v>
      </c>
      <c r="L52" s="3498" t="s">
        <v>2513</v>
      </c>
      <c r="M52" s="3498"/>
      <c r="N52" s="2455">
        <f ca="1">D48</f>
        <v>77</v>
      </c>
      <c r="O52" s="2453" t="str">
        <f>E48</f>
        <v>销售额×税（费）率</v>
      </c>
      <c r="P52" s="2456">
        <f>F48</f>
        <v>5.5000000000000007E-2</v>
      </c>
      <c r="Q52" s="1235"/>
    </row>
    <row r="53" spans="1:17" ht="12" customHeight="1">
      <c r="A53" s="2009" t="s">
        <v>1555</v>
      </c>
      <c r="B53" s="3430" t="s">
        <v>2591</v>
      </c>
      <c r="C53" s="3469"/>
      <c r="D53" s="1027">
        <f ca="1">ROUND(D45*'数据-取费表'!E29/(1+'数据-取费表'!F30),0)</f>
        <v>77</v>
      </c>
      <c r="E53" s="2019" t="s">
        <v>1553</v>
      </c>
      <c r="F53" s="2492">
        <f>'数据-取费表'!E29</f>
        <v>5.5000000000000007E-2</v>
      </c>
      <c r="G53" s="2493"/>
      <c r="H53" s="905"/>
      <c r="I53" s="2897"/>
      <c r="J53" s="2772"/>
      <c r="K53" s="2453">
        <v>2</v>
      </c>
      <c r="L53" s="3498" t="s">
        <v>2514</v>
      </c>
      <c r="M53" s="3498"/>
      <c r="N53" s="2455">
        <f t="shared" ref="N53:P54" si="1">D55</f>
        <v>0</v>
      </c>
      <c r="O53" s="2453" t="str">
        <f t="shared" si="1"/>
        <v>销售额×税（费）率</v>
      </c>
      <c r="P53" s="2456" t="str">
        <f t="shared" si="1"/>
        <v>免征</v>
      </c>
      <c r="Q53" s="1235"/>
    </row>
    <row r="54" spans="1:17" ht="12" customHeight="1">
      <c r="A54" s="2009" t="s">
        <v>1557</v>
      </c>
      <c r="B54" s="3430" t="s">
        <v>2592</v>
      </c>
      <c r="C54" s="3469"/>
      <c r="D54" s="1027">
        <f ca="1">C68</f>
        <v>77</v>
      </c>
      <c r="E54" s="264" t="s">
        <v>1558</v>
      </c>
      <c r="F54" s="2492">
        <f>'数据-取费表'!E29</f>
        <v>5.5000000000000007E-2</v>
      </c>
      <c r="G54" s="2493"/>
      <c r="H54" s="2898"/>
      <c r="I54" s="2897"/>
      <c r="J54" s="2772"/>
      <c r="K54" s="2453">
        <v>3</v>
      </c>
      <c r="L54" s="3498" t="s">
        <v>2515</v>
      </c>
      <c r="M54" s="3498"/>
      <c r="N54" s="2455">
        <f t="shared" si="1"/>
        <v>0</v>
      </c>
      <c r="O54" s="2453" t="str">
        <f t="shared" si="1"/>
        <v>增值额×税（费）率</v>
      </c>
      <c r="P54" s="2457" t="str">
        <f t="shared" si="1"/>
        <v>免征</v>
      </c>
      <c r="Q54" s="1235"/>
    </row>
    <row r="55" spans="1:17" ht="24" customHeight="1">
      <c r="A55" s="3428" t="s">
        <v>1560</v>
      </c>
      <c r="B55" s="3429"/>
      <c r="C55" s="3429"/>
      <c r="D55" s="12">
        <f>IF(H55="个人住宅",0,ROUND(D45*I55,0))</f>
        <v>0</v>
      </c>
      <c r="E55" s="2019" t="s">
        <v>1561</v>
      </c>
      <c r="F55" s="2492" t="str">
        <f>IF(H55="正常",I55,"免征")</f>
        <v>免征</v>
      </c>
      <c r="G55" s="2493"/>
      <c r="H55" s="2484" t="s">
        <v>2496</v>
      </c>
      <c r="I55" s="74">
        <f>'数据-取费表'!E37</f>
        <v>5.0000000000000001E-4</v>
      </c>
      <c r="J55" s="2772"/>
      <c r="K55" s="2453" t="str">
        <f>IF(H59="非个人房产","",4)</f>
        <v/>
      </c>
      <c r="L55" s="3498" t="str">
        <f>IF(H59="非个人房产","——","个人所得税")</f>
        <v>——</v>
      </c>
      <c r="M55" s="3498"/>
      <c r="N55" s="2458" t="str">
        <f>D59</f>
        <v>——</v>
      </c>
      <c r="O55" s="2459" t="str">
        <f>E59</f>
        <v>——</v>
      </c>
      <c r="P55" s="2460" t="str">
        <f>F59</f>
        <v>——</v>
      </c>
      <c r="Q55" s="1235"/>
    </row>
    <row r="56" spans="1:17" ht="24.75">
      <c r="A56" s="3428" t="s">
        <v>1563</v>
      </c>
      <c r="B56" s="3429"/>
      <c r="C56" s="3429"/>
      <c r="D56" s="12">
        <f>IF(H56="个人住宅",D57,D58)</f>
        <v>0</v>
      </c>
      <c r="E56" s="2019" t="s">
        <v>1564</v>
      </c>
      <c r="F56" s="2492" t="str">
        <f>IF(H56="正常",F58,"免征")</f>
        <v>免征</v>
      </c>
      <c r="G56" s="2494" t="s">
        <v>1565</v>
      </c>
      <c r="H56" s="2495" t="s">
        <v>2496</v>
      </c>
      <c r="I56" s="2899"/>
      <c r="J56" s="2772"/>
      <c r="K56" s="2453" t="str">
        <f>IF(项目基本情况!I6="上海银行",IF(K55="",4,K55+1),"")</f>
        <v/>
      </c>
      <c r="L56" s="3512" t="str">
        <f>IF(项目基本情况!I6="上海银行","其他处置费用","")</f>
        <v/>
      </c>
      <c r="M56" s="3513"/>
      <c r="N56" s="2455" t="str">
        <f>IF(项目基本情况!I6="上海银行",N69,"")</f>
        <v/>
      </c>
      <c r="O56" s="3512" t="str">
        <f>IF(项目基本情况!I6="上海银行","包含处置中涉及的律师、诉讼、拍卖、评估等费用","")</f>
        <v/>
      </c>
      <c r="P56" s="3524"/>
      <c r="Q56" s="1235"/>
    </row>
    <row r="57" spans="1:17" ht="12.75">
      <c r="A57" s="2009" t="s">
        <v>1540</v>
      </c>
      <c r="B57" s="3430" t="s">
        <v>1566</v>
      </c>
      <c r="C57" s="3469"/>
      <c r="D57" s="2485">
        <v>0</v>
      </c>
      <c r="E57" s="261" t="s">
        <v>1542</v>
      </c>
      <c r="F57" s="235"/>
      <c r="G57" s="2493"/>
      <c r="H57" s="2899"/>
      <c r="I57" s="2899"/>
      <c r="J57" s="2772"/>
      <c r="K57" s="3498">
        <f>IF(AND(K55="",K56=""),4,IF(项目基本情况!I6="上海银行",K56+1,K55+1))</f>
        <v>4</v>
      </c>
      <c r="L57" s="3498" t="s">
        <v>2516</v>
      </c>
      <c r="M57" s="2461" t="s">
        <v>2517</v>
      </c>
      <c r="N57" s="2462"/>
      <c r="O57" s="2463">
        <f ca="1">SUMIF(N52:N56,"&lt;9e307")</f>
        <v>77</v>
      </c>
      <c r="P57" s="2464"/>
      <c r="Q57" s="1233">
        <f ca="1">O57/N49</f>
        <v>5.2345343303874914E-2</v>
      </c>
    </row>
    <row r="58" spans="1:17" ht="24.75">
      <c r="A58" s="2009" t="s">
        <v>1551</v>
      </c>
      <c r="B58" s="3430" t="s">
        <v>1569</v>
      </c>
      <c r="C58" s="3468"/>
      <c r="D58" s="12">
        <f ca="1">IF(H58="转让取得",C81,C97)</f>
        <v>834</v>
      </c>
      <c r="E58" s="2019" t="s">
        <v>1564</v>
      </c>
      <c r="F58" s="235" t="s">
        <v>48</v>
      </c>
      <c r="G58" s="2493"/>
      <c r="H58" s="2495" t="s">
        <v>1570</v>
      </c>
      <c r="I58" s="2899"/>
      <c r="J58" s="2772"/>
      <c r="K58" s="3498"/>
      <c r="L58" s="3498"/>
      <c r="M58" s="2461" t="s">
        <v>2518</v>
      </c>
      <c r="N58" s="2465"/>
      <c r="O58" s="2466" t="str">
        <f ca="1">IF(H19="元",NUMBERSTRING(INT(O57),2)&amp;"元整",NUMBERSTRING(INT(O57*10000),2)&amp;"元整")</f>
        <v>柒拾柒万元整</v>
      </c>
      <c r="P58" s="2467"/>
      <c r="Q58" s="1235"/>
    </row>
    <row r="59" spans="1:17" ht="24.75" thickBot="1">
      <c r="A59" s="3452" t="s">
        <v>1572</v>
      </c>
      <c r="B59" s="3453"/>
      <c r="C59" s="3453"/>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96">
        <f>K57+1</f>
        <v>5</v>
      </c>
      <c r="L59" s="3498" t="s">
        <v>2519</v>
      </c>
      <c r="M59" s="2453" t="s">
        <v>2517</v>
      </c>
      <c r="N59" s="2468"/>
      <c r="O59" s="2469">
        <f ca="1">N49-O57</f>
        <v>1394</v>
      </c>
      <c r="P59" s="2470"/>
      <c r="Q59" s="1235"/>
    </row>
    <row r="60" spans="1:17" ht="12" customHeight="1">
      <c r="A60" s="1384"/>
      <c r="B60" s="1388"/>
      <c r="C60" s="1388"/>
      <c r="D60" s="1388"/>
      <c r="E60" s="770"/>
      <c r="F60" s="2900"/>
      <c r="G60" s="2900"/>
      <c r="H60" s="2901"/>
      <c r="I60" s="31"/>
      <c r="K60" s="3497"/>
      <c r="L60" s="3498"/>
      <c r="M60" s="2461" t="s">
        <v>2518</v>
      </c>
      <c r="N60" s="2465"/>
      <c r="O60" s="2466" t="str">
        <f ca="1">IF(H19="元",NUMBERSTRING(INT(O59),2)&amp;"元整",NUMBERSTRING(INT(O59*10000),2)&amp;"元整")</f>
        <v>壹仟叁佰玖拾肆万元整</v>
      </c>
      <c r="P60" s="2467"/>
      <c r="Q60" s="1235"/>
    </row>
    <row r="61" spans="1:17" ht="13.5" thickBot="1">
      <c r="A61" s="3478" t="s">
        <v>1574</v>
      </c>
      <c r="B61" s="3478"/>
      <c r="C61" s="3478"/>
      <c r="D61" s="3478"/>
      <c r="E61" s="3478"/>
      <c r="F61" s="2900"/>
      <c r="G61" s="2900"/>
      <c r="H61" s="2902"/>
      <c r="I61" s="31"/>
      <c r="K61" s="2453">
        <f>K59+1</f>
        <v>6</v>
      </c>
      <c r="L61" s="3498" t="s">
        <v>2520</v>
      </c>
      <c r="M61" s="3498"/>
      <c r="N61" s="2471"/>
      <c r="O61" s="2472">
        <f ca="1">IF(H19="元",ROUND(O59/项目基本情况!C12,0),ROUND(O59*10000/项目基本情况!C12,0))</f>
        <v>15484</v>
      </c>
      <c r="P61" s="2473"/>
      <c r="Q61" s="1235"/>
    </row>
    <row r="62" spans="1:17" ht="12.75">
      <c r="A62" s="3487" t="s">
        <v>1576</v>
      </c>
      <c r="B62" s="3488"/>
      <c r="C62" s="1534"/>
      <c r="D62" s="1534" t="s">
        <v>1577</v>
      </c>
      <c r="E62" s="45" t="s">
        <v>1578</v>
      </c>
      <c r="F62" s="2900"/>
      <c r="G62" s="2900"/>
      <c r="H62" s="2902"/>
      <c r="I62" s="31"/>
      <c r="K62" s="2474"/>
      <c r="L62" s="2474"/>
      <c r="M62" s="2474"/>
      <c r="N62" s="2474"/>
      <c r="O62" s="2474"/>
      <c r="P62" s="2474"/>
      <c r="Q62" s="1235"/>
    </row>
    <row r="63" spans="1:17" ht="12.75">
      <c r="A63" s="46">
        <v>1</v>
      </c>
      <c r="B63" s="47" t="s">
        <v>1579</v>
      </c>
      <c r="C63" s="2703">
        <f ca="1">ROUND((C64+C65)/(1+'数据-取费表'!F30),0)</f>
        <v>1401</v>
      </c>
      <c r="D63" s="47"/>
      <c r="E63" s="48"/>
      <c r="F63" s="2900"/>
      <c r="G63" s="2900"/>
      <c r="H63" s="2902"/>
      <c r="I63" s="31"/>
      <c r="K63" s="3514" t="s">
        <v>2521</v>
      </c>
      <c r="L63" s="2475" t="s">
        <v>2522</v>
      </c>
      <c r="M63" s="2475">
        <f ca="1">IF(N49&gt;10000,N49*0.5%,IF(AND(N49&gt;1000,N49&lt;=10000),N49*1%,IF(AND(N49&gt;100,N49&lt;=1000),N49*3%,IF(AND(N49&gt;10,N49&lt;=100),N49*5%,N49*8%))))</f>
        <v>14.71</v>
      </c>
      <c r="N63" s="2476">
        <f ca="1">ROUND(M63,1)</f>
        <v>14.7</v>
      </c>
      <c r="O63" s="2474"/>
      <c r="P63" s="2474"/>
      <c r="Q63" s="1235"/>
    </row>
    <row r="64" spans="1:17" ht="12.75">
      <c r="A64" s="49" t="s">
        <v>71</v>
      </c>
      <c r="B64" s="50" t="s">
        <v>1582</v>
      </c>
      <c r="C64" s="2704">
        <f ca="1">D45</f>
        <v>1471</v>
      </c>
      <c r="D64" s="50" t="s">
        <v>41</v>
      </c>
      <c r="E64" s="52"/>
      <c r="F64" s="2900"/>
      <c r="G64" s="2900"/>
      <c r="H64" s="2902"/>
      <c r="I64" s="31"/>
      <c r="K64" s="3514"/>
      <c r="L64" s="2475" t="s">
        <v>2523</v>
      </c>
      <c r="M64" s="2475">
        <f ca="1">IF(N49&gt;2000,N49*0.5%,IF(AND(N49&gt;1000,N49&lt;=2000),N49*0.6%,IF(AND(N49&gt;500,N49&lt;=1000),N49*0.7%,IF(AND(N49&gt;200,N49&lt;=500),N49*0.8%,IF(AND(N49&gt;100,N49&lt;=200),N49*0.9%,IF(AND(N49&gt;50,N49&lt;=100),N49*1%,IF(AND(N49&gt;20,N49&lt;=50),N49*1.5%,IF(AND(N49&gt;10,N49&lt;=20),N49*2%,IF(AND(N49&gt;1,N49&lt;=10),N49*2.5%)))))))))</f>
        <v>8.8260000000000005</v>
      </c>
      <c r="N64" s="2476">
        <f t="shared" ref="N64:N65" ca="1" si="2">ROUND(M64,1)</f>
        <v>8.8000000000000007</v>
      </c>
      <c r="O64" s="2474" t="s">
        <v>2524</v>
      </c>
      <c r="P64" s="2474"/>
      <c r="Q64" s="1235"/>
    </row>
    <row r="65" spans="1:36" ht="12.75">
      <c r="A65" s="49" t="s">
        <v>72</v>
      </c>
      <c r="B65" s="50" t="s">
        <v>1585</v>
      </c>
      <c r="C65" s="2705"/>
      <c r="D65" s="50"/>
      <c r="E65" s="52"/>
      <c r="F65" s="2900"/>
      <c r="G65" s="2900"/>
      <c r="H65" s="2902"/>
      <c r="I65" s="31"/>
      <c r="K65" s="3514"/>
      <c r="L65" s="2475" t="s">
        <v>2525</v>
      </c>
      <c r="M65" s="2475">
        <f ca="1">IF(N49&gt;1000,N49*0.1%,IF(AND(N49&gt;500,N49&lt;=1000),N49*0.5%,IF(AND(N49&gt;50,N49&lt;=500),N49*1%,IF(AND(N49&gt;1,N49&lt;=50),N49*1.5%))))</f>
        <v>1.4710000000000001</v>
      </c>
      <c r="N65" s="2476">
        <f t="shared" ca="1" si="2"/>
        <v>1.5</v>
      </c>
      <c r="O65" s="2474" t="s">
        <v>2524</v>
      </c>
      <c r="P65" s="2474"/>
      <c r="Q65" s="1235"/>
    </row>
    <row r="66" spans="1:36" ht="12.75">
      <c r="A66" s="53" t="s">
        <v>47</v>
      </c>
      <c r="B66" s="54" t="s">
        <v>1587</v>
      </c>
      <c r="C66" s="2706"/>
      <c r="D66" s="54" t="s">
        <v>41</v>
      </c>
      <c r="E66" s="1243" t="s">
        <v>1588</v>
      </c>
      <c r="F66" s="2900"/>
      <c r="G66" s="2900"/>
      <c r="H66" s="2902"/>
      <c r="I66" s="31"/>
      <c r="K66" s="3514"/>
      <c r="L66" s="2475" t="s">
        <v>2526</v>
      </c>
      <c r="M66" s="2475">
        <f ca="1">N49*0.5%</f>
        <v>7.3550000000000004</v>
      </c>
      <c r="N66" s="2476">
        <f ca="1">IF(M66&gt;0.5,0.5,ROUND(M66,0))</f>
        <v>0.5</v>
      </c>
      <c r="O66" s="2474" t="s">
        <v>2527</v>
      </c>
      <c r="P66" s="2474"/>
      <c r="Q66" s="1235"/>
    </row>
    <row r="67" spans="1:36" ht="12.75">
      <c r="A67" s="53" t="s">
        <v>42</v>
      </c>
      <c r="B67" s="54" t="s">
        <v>1591</v>
      </c>
      <c r="C67" s="2707">
        <f ca="1">C63-C66</f>
        <v>1401</v>
      </c>
      <c r="D67" s="50" t="s">
        <v>41</v>
      </c>
      <c r="E67" s="52"/>
      <c r="F67" s="2900"/>
      <c r="G67" s="2900"/>
      <c r="H67" s="2902"/>
      <c r="I67" s="31"/>
      <c r="K67" s="3514"/>
      <c r="L67" s="2475" t="s">
        <v>2528</v>
      </c>
      <c r="M67" s="2475">
        <f ca="1">IF(N49&gt;=10000,(8.25+(N49-10000)*0.01%),IF(AND(N49&gt;=8000,N49&lt;10000),(7.85+(N49-8000)*0.02%),IF(AND(N49&gt;=5000,N49&lt;8000),(6.65+(N49-5000)*0.04%),IF(AND(N49&gt;=2000,N49&lt;5000),(4.25+(PN49-2000)*0.08%),IF(AND(N49&gt;=1000,N49&lt;2000),(2.75+(N49-1000)*0.15%),IF(AND(N49&gt;=100,N49&lt;1000),(0.5+(N49-100)*0.25%),IF(AND(N49&gt;0,N49&lt;100),N49*0.5%)))))))</f>
        <v>3.4565000000000001</v>
      </c>
      <c r="N67" s="2476">
        <f ca="1">ROUND(M67*0.9,1)</f>
        <v>3.1</v>
      </c>
      <c r="O67" s="2474"/>
      <c r="P67" s="2474"/>
      <c r="Q67" s="1235"/>
    </row>
    <row r="68" spans="1:36" ht="13.5" thickBot="1">
      <c r="A68" s="55" t="s">
        <v>46</v>
      </c>
      <c r="B68" s="56" t="s">
        <v>1593</v>
      </c>
      <c r="C68" s="2708">
        <f ca="1">IF(C67&lt;=0,0,ROUND(C67*D68,0))</f>
        <v>77</v>
      </c>
      <c r="D68" s="2169">
        <f>'数据-取费表'!E29</f>
        <v>5.5000000000000007E-2</v>
      </c>
      <c r="E68" s="57"/>
      <c r="F68" s="2900"/>
      <c r="G68" s="2900"/>
      <c r="H68" s="2902"/>
      <c r="I68" s="31"/>
      <c r="K68" s="3514"/>
      <c r="L68" s="2475" t="s">
        <v>2529</v>
      </c>
      <c r="M68" s="2475">
        <f ca="1">IF(N49&gt;10000,N49*0.5%,IF(AND(N49&gt;5000,N49&lt;=10000),N49*1%,IF(AND(N49&gt;1000,N49&lt;=5000),N49*2%,IF(AND(N49&gt;200,N49&lt;=1000),N49*3%,N49*5%))))</f>
        <v>29.42</v>
      </c>
      <c r="N68" s="2476">
        <f ca="1">ROUND(M68,1)</f>
        <v>29.4</v>
      </c>
      <c r="O68" s="2474"/>
      <c r="P68" s="2474"/>
      <c r="Q68" s="1235"/>
    </row>
    <row r="69" spans="1:36" s="1392" customFormat="1" ht="7.5" customHeight="1">
      <c r="A69" s="1404"/>
      <c r="B69" s="1405"/>
      <c r="C69" s="1406"/>
      <c r="D69" s="1407"/>
      <c r="E69" s="1408"/>
      <c r="F69" s="770"/>
      <c r="G69" s="770"/>
      <c r="H69" s="1397"/>
      <c r="I69" s="1388"/>
      <c r="J69" s="2760"/>
      <c r="K69" s="3514"/>
      <c r="L69" s="2475" t="s">
        <v>54</v>
      </c>
      <c r="M69" s="2475"/>
      <c r="N69" s="2476">
        <f ca="1">ROUND(SUM(N63:N68),0)</f>
        <v>58</v>
      </c>
      <c r="O69" s="2477">
        <f ca="1">N69/N49</f>
        <v>3.9428959891230457E-2</v>
      </c>
      <c r="P69" s="2474"/>
      <c r="Q69" s="1235"/>
      <c r="R69" s="659"/>
      <c r="S69" s="659"/>
      <c r="T69" s="659"/>
      <c r="U69" s="659"/>
      <c r="V69" s="659"/>
      <c r="W69" s="659"/>
      <c r="X69" s="659"/>
      <c r="Y69" s="659"/>
      <c r="Z69" s="659"/>
      <c r="AA69" s="659"/>
      <c r="AB69" s="1235"/>
      <c r="AC69" s="1235"/>
      <c r="AD69" s="1235"/>
      <c r="AE69" s="1235"/>
      <c r="AF69" s="1235"/>
      <c r="AG69" s="1235"/>
      <c r="AH69" s="1235"/>
      <c r="AI69" s="1235"/>
      <c r="AJ69" s="1235"/>
    </row>
    <row r="70" spans="1:36" s="1410" customFormat="1" ht="15" thickBot="1">
      <c r="A70" s="3490" t="s">
        <v>1596</v>
      </c>
      <c r="B70" s="3491"/>
      <c r="C70" s="3491"/>
      <c r="D70" s="3491"/>
      <c r="E70" s="3491"/>
      <c r="F70" s="3491"/>
      <c r="G70" s="3491"/>
      <c r="H70" s="3491"/>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87" t="s">
        <v>1576</v>
      </c>
      <c r="B71" s="3488"/>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1401</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7</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30" t="s">
        <v>1606</v>
      </c>
      <c r="F76" s="3468"/>
      <c r="G76" s="3468"/>
      <c r="H76" s="3482"/>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7</v>
      </c>
      <c r="D78" s="2716">
        <f>'数据-取费表'!E31</f>
        <v>5.000000000000001E-3</v>
      </c>
      <c r="E78" s="3462" t="s">
        <v>1611</v>
      </c>
      <c r="F78" s="3463"/>
      <c r="G78" s="3463"/>
      <c r="H78" s="3464"/>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1394</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199.14285714285714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834</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90" t="s">
        <v>1615</v>
      </c>
      <c r="B83" s="3491"/>
      <c r="C83" s="3491"/>
      <c r="D83" s="3491"/>
      <c r="E83" s="3491"/>
      <c r="F83" s="3491"/>
      <c r="G83" s="3491"/>
      <c r="H83" s="3491"/>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87" t="s">
        <v>1576</v>
      </c>
      <c r="B84" s="3488"/>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1401</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7</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2575</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523" t="s">
        <v>2491</v>
      </c>
      <c r="H90" s="3523"/>
      <c r="I90" s="9"/>
      <c r="J90" s="2775"/>
      <c r="K90" s="2891" t="s">
        <v>2576</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62" t="s">
        <v>1623</v>
      </c>
      <c r="F91" s="3463"/>
      <c r="G91" s="3463"/>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62" t="s">
        <v>1626</v>
      </c>
      <c r="F92" s="3463"/>
      <c r="G92" s="3463"/>
      <c r="H92" s="3464"/>
      <c r="I92" s="9"/>
      <c r="J92" s="2775"/>
      <c r="K92" s="2892" t="s">
        <v>2577</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7</v>
      </c>
      <c r="D93" s="2716">
        <f>'数据-取费表'!E31</f>
        <v>5.000000000000001E-3</v>
      </c>
      <c r="E93" s="3462" t="s">
        <v>1611</v>
      </c>
      <c r="F93" s="3463"/>
      <c r="G93" s="3463"/>
      <c r="H93" s="3464"/>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62" t="s">
        <v>1628</v>
      </c>
      <c r="F94" s="3463"/>
      <c r="G94" s="3463"/>
      <c r="H94" s="3464"/>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1394</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199.14285714285714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834</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509" t="s">
        <v>1630</v>
      </c>
      <c r="B99" s="3510"/>
      <c r="C99" s="3510"/>
      <c r="D99" s="3511"/>
      <c r="E99" s="1388"/>
      <c r="F99" s="3518" t="s">
        <v>1631</v>
      </c>
      <c r="G99" s="3519"/>
      <c r="H99" s="3519"/>
      <c r="I99" s="3520"/>
      <c r="J99" s="2778"/>
    </row>
    <row r="100" spans="1:36" ht="15">
      <c r="A100" s="3521" t="s">
        <v>1632</v>
      </c>
      <c r="B100" s="3522"/>
      <c r="C100" s="1234" t="str">
        <f>C4</f>
        <v>成本法</v>
      </c>
      <c r="D100" s="2726" t="str">
        <f>D4</f>
        <v>收益法</v>
      </c>
      <c r="E100" s="1388"/>
      <c r="F100" s="3433" t="s">
        <v>2535</v>
      </c>
      <c r="G100" s="3434"/>
      <c r="H100" s="3433" t="s">
        <v>2536</v>
      </c>
      <c r="I100" s="3432"/>
      <c r="J100" s="2779"/>
    </row>
    <row r="101" spans="1:36" ht="12.75">
      <c r="A101" s="3501" t="s">
        <v>2568</v>
      </c>
      <c r="B101" s="2234" t="str">
        <f>IF(H19="元","总价（元）","总价（万元）")</f>
        <v>总价（万元）</v>
      </c>
      <c r="C101" s="1234">
        <f ca="1">C19</f>
        <v>189</v>
      </c>
      <c r="D101" s="2726">
        <f ca="1">D19</f>
        <v>178</v>
      </c>
      <c r="E101" s="1388"/>
      <c r="F101" s="3433" t="str">
        <f>项目基本情况!I1</f>
        <v>北京市房地产</v>
      </c>
      <c r="G101" s="3434"/>
      <c r="H101" s="3431">
        <f>项目基本情况!C12</f>
        <v>900.27</v>
      </c>
      <c r="I101" s="3432"/>
      <c r="J101" s="2779"/>
    </row>
    <row r="102" spans="1:36" ht="12.75">
      <c r="A102" s="3501"/>
      <c r="B102" s="2234" t="s">
        <v>2569</v>
      </c>
      <c r="C102" s="2727">
        <f ca="1">C20</f>
        <v>16817</v>
      </c>
      <c r="D102" s="2728">
        <f ca="1">D20</f>
        <v>15866</v>
      </c>
      <c r="E102" s="1388"/>
      <c r="F102" s="3443" t="s">
        <v>2565</v>
      </c>
      <c r="G102" s="3444"/>
      <c r="H102" s="2736" t="str">
        <f>C106</f>
        <v>总价（万元）</v>
      </c>
      <c r="I102" s="2737">
        <f ca="1">H121</f>
        <v>1471</v>
      </c>
      <c r="J102" s="2779"/>
    </row>
    <row r="103" spans="1:36" ht="12.75">
      <c r="A103" s="3501" t="s">
        <v>2570</v>
      </c>
      <c r="B103" s="2172" t="str">
        <f>B101</f>
        <v>总价（万元）</v>
      </c>
      <c r="C103" s="2731">
        <f ca="1">H121</f>
        <v>1471</v>
      </c>
      <c r="D103" s="2729"/>
      <c r="E103" s="1388"/>
      <c r="F103" s="3443"/>
      <c r="G103" s="3444"/>
      <c r="H103" s="2736" t="s">
        <v>2538</v>
      </c>
      <c r="I103" s="52">
        <f ca="1">I121</f>
        <v>16342</v>
      </c>
      <c r="J103" s="2763"/>
    </row>
    <row r="104" spans="1:36" ht="13.5" thickBot="1">
      <c r="A104" s="3502"/>
      <c r="B104" s="2733" t="s">
        <v>2569</v>
      </c>
      <c r="C104" s="2734">
        <f ca="1">I121</f>
        <v>16342</v>
      </c>
      <c r="D104" s="2735"/>
      <c r="E104" s="1388"/>
      <c r="F104" s="3443"/>
      <c r="G104" s="3444"/>
      <c r="H104" s="3503"/>
      <c r="I104" s="3504"/>
      <c r="J104" s="2780"/>
    </row>
    <row r="105" spans="1:36" ht="15">
      <c r="A105" s="3509" t="s">
        <v>1633</v>
      </c>
      <c r="B105" s="3510"/>
      <c r="C105" s="3510"/>
      <c r="D105" s="3511"/>
      <c r="E105" s="1388"/>
      <c r="F105" s="3507" t="s">
        <v>2539</v>
      </c>
      <c r="G105" s="3508"/>
      <c r="H105" s="2738" t="str">
        <f>C108</f>
        <v>总额（万元）</v>
      </c>
      <c r="I105" s="2737">
        <f>SUMIF(I106:I108,"&lt;9E307")</f>
        <v>0</v>
      </c>
      <c r="J105" s="2779"/>
    </row>
    <row r="106" spans="1:36" ht="14.25">
      <c r="A106" s="3443" t="s">
        <v>2562</v>
      </c>
      <c r="B106" s="3444"/>
      <c r="C106" s="2736" t="str">
        <f>B101</f>
        <v>总价（万元）</v>
      </c>
      <c r="D106" s="2737">
        <f ca="1">H121</f>
        <v>1471</v>
      </c>
      <c r="E106" s="1388"/>
      <c r="F106" s="3445" t="s">
        <v>2540</v>
      </c>
      <c r="G106" s="3446"/>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43"/>
      <c r="B107" s="3444"/>
      <c r="C107" s="2736" t="s">
        <v>2563</v>
      </c>
      <c r="D107" s="52">
        <f ca="1">I121</f>
        <v>16342</v>
      </c>
      <c r="E107" s="1388"/>
      <c r="F107" s="3445" t="s">
        <v>2541</v>
      </c>
      <c r="G107" s="3446"/>
      <c r="H107" s="2738" t="str">
        <f>C110</f>
        <v>总额（万元）</v>
      </c>
      <c r="I107" s="52">
        <f>C37</f>
        <v>0</v>
      </c>
      <c r="J107" s="2763"/>
    </row>
    <row r="108" spans="1:36" ht="12.75">
      <c r="A108" s="3450" t="s">
        <v>2539</v>
      </c>
      <c r="B108" s="3451"/>
      <c r="C108" s="2738" t="str">
        <f>IF(H19="元","总额（元）","总额（万元）")</f>
        <v>总额（万元）</v>
      </c>
      <c r="D108" s="2737">
        <f>IF(D36="正常操作",I106+I107+I108,I107+I108)</f>
        <v>0</v>
      </c>
      <c r="E108" s="1388"/>
      <c r="F108" s="3445" t="s">
        <v>2566</v>
      </c>
      <c r="G108" s="3446"/>
      <c r="H108" s="2738" t="str">
        <f>C111</f>
        <v>总额（万元）</v>
      </c>
      <c r="I108" s="52">
        <f>C38</f>
        <v>0</v>
      </c>
      <c r="J108" s="2763"/>
    </row>
    <row r="109" spans="1:36" ht="12.75">
      <c r="A109" s="3445" t="s">
        <v>2540</v>
      </c>
      <c r="B109" s="3446"/>
      <c r="C109" s="2738" t="str">
        <f>C108</f>
        <v>总额（万元）</v>
      </c>
      <c r="D109" s="52">
        <f>IF(D36="同一抵押权人同一抵押物续贷",C36&amp;"（未扣减，详见特别提示）",C36)</f>
        <v>0</v>
      </c>
      <c r="E109" s="1388"/>
      <c r="F109" s="3443"/>
      <c r="G109" s="3444"/>
      <c r="H109" s="3505"/>
      <c r="I109" s="3506"/>
      <c r="J109" s="2781"/>
    </row>
    <row r="110" spans="1:36" ht="28.5" customHeight="1">
      <c r="A110" s="3445" t="s">
        <v>2564</v>
      </c>
      <c r="B110" s="3446"/>
      <c r="C110" s="2738" t="str">
        <f>C108</f>
        <v>总额（万元）</v>
      </c>
      <c r="D110" s="52">
        <f>C37</f>
        <v>0</v>
      </c>
      <c r="E110" s="1388"/>
      <c r="F110" s="3435" t="str">
        <f>IF(项目基本情况!F5="已注销","——","3.房地产抵押价值")</f>
        <v>3.房地产抵押价值</v>
      </c>
      <c r="G110" s="3436"/>
      <c r="H110" s="2724" t="str">
        <f>C112</f>
        <v>总价（万元）</v>
      </c>
      <c r="I110" s="2737">
        <f ca="1">IF(F110="——","——",I102-I105)</f>
        <v>1471</v>
      </c>
      <c r="J110" s="2779"/>
    </row>
    <row r="111" spans="1:36" ht="12.75">
      <c r="A111" s="3445" t="s">
        <v>2543</v>
      </c>
      <c r="B111" s="3446"/>
      <c r="C111" s="2738" t="str">
        <f>C108</f>
        <v>总额（万元）</v>
      </c>
      <c r="D111" s="52">
        <f>C38</f>
        <v>0</v>
      </c>
      <c r="E111" s="1388"/>
      <c r="F111" s="3534"/>
      <c r="G111" s="3535"/>
      <c r="H111" s="2736" t="s">
        <v>2538</v>
      </c>
      <c r="I111" s="2740">
        <f ca="1">D113</f>
        <v>16342</v>
      </c>
      <c r="J111" s="2782"/>
    </row>
    <row r="112" spans="1:36" ht="26.25" customHeight="1">
      <c r="A112" s="3443" t="str">
        <f>IF(项目基本情况!F5="已注销","——","3.房地产抵押价值")</f>
        <v>3.房地产抵押价值</v>
      </c>
      <c r="B112" s="3444"/>
      <c r="C112" s="2736" t="str">
        <f>B101</f>
        <v>总价（万元）</v>
      </c>
      <c r="D112" s="2737">
        <f ca="1">IF(A112="——","——",D106-D108)</f>
        <v>1471</v>
      </c>
      <c r="E112" s="1388"/>
      <c r="F112" s="3435" t="str">
        <f>IF(项目基本情况!F5="已注销及未注销","4.抵押担保权已注销时的房地产抵押价值",IF(项目基本情况!F5="已注销","3.抵押担保权已注销时的房地产抵押价值","——"))</f>
        <v>——</v>
      </c>
      <c r="G112" s="3436"/>
      <c r="H112" s="2724" t="str">
        <f>C114</f>
        <v>总价（万元）</v>
      </c>
      <c r="I112" s="2737" t="str">
        <f>IF(F112="——","——",I102-I107-I108)</f>
        <v>——</v>
      </c>
      <c r="J112" s="2779"/>
    </row>
    <row r="113" spans="1:16" ht="12.75">
      <c r="A113" s="3443"/>
      <c r="B113" s="3444"/>
      <c r="C113" s="2736" t="s">
        <v>2531</v>
      </c>
      <c r="D113" s="52">
        <f ca="1">ROUND(IF(D112=D106,D107,IF(H19="元",D112/项目基本情况!C12,D112*10000/项目基本情况!C12)),0)</f>
        <v>16342</v>
      </c>
      <c r="E113" s="1388"/>
      <c r="F113" s="3534"/>
      <c r="G113" s="3535"/>
      <c r="H113" s="2736" t="s">
        <v>2567</v>
      </c>
      <c r="I113" s="52" t="str">
        <f>D115</f>
        <v>——</v>
      </c>
      <c r="J113" s="2763"/>
    </row>
    <row r="114" spans="1:16" ht="12.75">
      <c r="A114" s="3443" t="str">
        <f>IF(项目基本情况!F5="已注销及未注销","4.抵押担保权已注销时的房地产抵押价值",IF(项目基本情况!F5="已注销","3.抵押担保权已注销时的房地产抵押价值","——"))</f>
        <v>——</v>
      </c>
      <c r="B114" s="3444"/>
      <c r="C114" s="2736" t="str">
        <f>B101</f>
        <v>总价（万元）</v>
      </c>
      <c r="D114" s="2737" t="str">
        <f>IF(A114="——","——",D106-D110-D111)</f>
        <v>——</v>
      </c>
      <c r="E114" s="1388"/>
      <c r="F114" s="3435" t="str">
        <f>IF(项目基本情况!G5="抵押净值",IF(OR(项目基本情况!F5="已注销",项目基本情况!F5="房地产抵押价值"),"4.抵押净值","5.抵押净值"),"——")</f>
        <v>——</v>
      </c>
      <c r="G114" s="3436"/>
      <c r="H114" s="2736" t="str">
        <f>C116</f>
        <v>总价（万元）</v>
      </c>
      <c r="I114" s="2737" t="str">
        <f>IF(F114="——","——",O59)</f>
        <v>——</v>
      </c>
      <c r="J114" s="2779"/>
    </row>
    <row r="115" spans="1:16" ht="13.5" thickBot="1">
      <c r="A115" s="3443"/>
      <c r="B115" s="3444"/>
      <c r="C115" s="2736" t="s">
        <v>2531</v>
      </c>
      <c r="D115" s="52" t="str">
        <f>IF(A114="——","——",ROUND(IF(D114=D106,D107,IF(H19="元",D114/项目基本情况!C12,D114*10000/项目基本情况!C12)),0))</f>
        <v>——</v>
      </c>
      <c r="E115" s="1388"/>
      <c r="F115" s="3437"/>
      <c r="G115" s="3438"/>
      <c r="H115" s="2741" t="s">
        <v>2531</v>
      </c>
      <c r="I115" s="2725" t="str">
        <f ca="1">D117</f>
        <v>——</v>
      </c>
      <c r="J115" s="2763"/>
    </row>
    <row r="116" spans="1:16" ht="15.75">
      <c r="A116" s="3443" t="str">
        <f>IF(项目基本情况!G5="抵押净值",IF(OR(项目基本情况!F5="已注销",项目基本情况!F5="房地产抵押价值"),"4.抵押净值","5.抵押净值"),"——")</f>
        <v>——</v>
      </c>
      <c r="B116" s="3444"/>
      <c r="C116" s="2736" t="str">
        <f>B101</f>
        <v>总价（万元）</v>
      </c>
      <c r="D116" s="2737" t="str">
        <f>IF(A116="——","——",O59)</f>
        <v>——</v>
      </c>
      <c r="E116" s="1388"/>
      <c r="F116" s="3529"/>
      <c r="G116" s="3529"/>
      <c r="H116" s="3493"/>
      <c r="I116" s="3493"/>
      <c r="J116" s="2783"/>
      <c r="O116" s="32"/>
      <c r="P116" s="32"/>
    </row>
    <row r="117" spans="1:16" ht="13.5" thickBot="1">
      <c r="A117" s="3448"/>
      <c r="B117" s="3449"/>
      <c r="C117" s="2741" t="s">
        <v>2531</v>
      </c>
      <c r="D117" s="2725" t="str">
        <f ca="1">IF(D116=D112,D113,IF(A116="——","——",O61))</f>
        <v>——</v>
      </c>
      <c r="E117" s="1388"/>
      <c r="F117" s="3427" t="str">
        <f>IF(B32="总价","（以上估价结果中单价为总价除以建筑面积得出）","（以上估价结果中总价为楼面单价乘以建筑面积得出）")</f>
        <v>（以上估价结果中总价为楼面单价乘以建筑面积得出）</v>
      </c>
      <c r="G117" s="3427"/>
      <c r="H117" s="3427"/>
      <c r="I117" s="3427"/>
      <c r="J117" s="2784"/>
      <c r="O117" s="32"/>
      <c r="P117" s="32"/>
    </row>
    <row r="118" spans="1:16" ht="15">
      <c r="A118" s="3494" t="s">
        <v>1634</v>
      </c>
      <c r="B118" s="3495"/>
      <c r="C118" s="3495"/>
      <c r="D118" s="3495"/>
      <c r="E118" s="3495"/>
      <c r="F118" s="3495"/>
      <c r="G118" s="3495"/>
      <c r="H118" s="3495"/>
      <c r="I118" s="3495"/>
      <c r="J118" s="2785"/>
    </row>
    <row r="119" spans="1:16" ht="12.75">
      <c r="A119" s="3428" t="s">
        <v>2549</v>
      </c>
      <c r="B119" s="3454" t="s">
        <v>2559</v>
      </c>
      <c r="C119" s="3454" t="s">
        <v>2560</v>
      </c>
      <c r="D119" s="3516" t="s">
        <v>2551</v>
      </c>
      <c r="E119" s="3517"/>
      <c r="F119" s="3429" t="s">
        <v>2561</v>
      </c>
      <c r="G119" s="3429"/>
      <c r="H119" s="3429" t="s">
        <v>2552</v>
      </c>
      <c r="I119" s="3515"/>
      <c r="J119" s="2763"/>
    </row>
    <row r="120" spans="1:16" ht="12.75">
      <c r="A120" s="3428"/>
      <c r="B120" s="3455"/>
      <c r="C120" s="3455"/>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900.27</v>
      </c>
      <c r="C121" s="2019">
        <f>项目基本情况!C13</f>
        <v>0</v>
      </c>
      <c r="D121" s="2019">
        <f ca="1">ROUND(IF(B32="总价",C34,IF('数据-取费表'!B3="万元",E121*B121/10000,E121*B121)),0)</f>
        <v>862</v>
      </c>
      <c r="E121" s="2019">
        <f ca="1">ROUND(IF(B32="楼面单价",C34,IF(H19="元",D121/B121,D121*10000/B121)),0)</f>
        <v>9576</v>
      </c>
      <c r="F121" s="2019">
        <f ca="1">ROUND(IF(B32="总价",C35,IF('数据-取费表'!B3="万元",G121*B121/10000,G121*B121)),0)</f>
        <v>609</v>
      </c>
      <c r="G121" s="2019">
        <f ca="1">ROUND(IF(B32="楼面单价",C35,IF(H19="元",F121/B121,F121*10000/B121)),0)</f>
        <v>6766</v>
      </c>
      <c r="H121" s="2019">
        <f ca="1">ROUND(IF(B32="总价",C32,IF('数据-取费表'!B3="万元",I121*B121/10000,I121*B121)),0)</f>
        <v>1471</v>
      </c>
      <c r="I121" s="52">
        <f ca="1">ROUND(IF(B32="楼面单价",C32,IF(H19="元",H121/B121,H121*10000/B121)),0)</f>
        <v>16342</v>
      </c>
      <c r="J121" s="2763"/>
    </row>
    <row r="122" spans="1:16" ht="12.75">
      <c r="A122" s="3428" t="s">
        <v>2555</v>
      </c>
      <c r="B122" s="3429"/>
      <c r="C122" s="3429"/>
      <c r="D122" s="3456" t="str">
        <f ca="1">IF(H19="元",NUMBERSTRING(INT(D121),2)&amp;"元整",NUMBERSTRING(INT(D121*10000),2)&amp;"元整")</f>
        <v>捌佰陆拾贰万元整</v>
      </c>
      <c r="E122" s="3499"/>
      <c r="F122" s="3456" t="str">
        <f ca="1">IF(H19="元",NUMBERSTRING(INT(F121),2)&amp;"元整",NUMBERSTRING(INT(F121*10000),2)&amp;"元整")</f>
        <v>陆佰零玖万元整</v>
      </c>
      <c r="G122" s="3499"/>
      <c r="H122" s="3456" t="str">
        <f ca="1">IF(H19="元",NUMBERSTRING(INT(H121),2)&amp;"元整",NUMBERSTRING(INT(H121*10000),2)&amp;"元整")</f>
        <v>壹仟肆佰柒拾壹万元整</v>
      </c>
      <c r="I122" s="3457"/>
      <c r="J122" s="2786"/>
    </row>
    <row r="123" spans="1:16" ht="12.75">
      <c r="A123" s="3433" t="str">
        <f>IF(项目基本情况!D5="房地产市场价值","——",MID(A108,3,LEN(A108)-2))</f>
        <v>估价师所知悉的法定优先受偿款</v>
      </c>
      <c r="B123" s="3439"/>
      <c r="C123" s="3434"/>
      <c r="D123" s="3431">
        <f>I105</f>
        <v>0</v>
      </c>
      <c r="E123" s="3439"/>
      <c r="F123" s="3439"/>
      <c r="G123" s="3439"/>
      <c r="H123" s="3439"/>
      <c r="I123" s="3432"/>
      <c r="J123" s="2779"/>
    </row>
    <row r="124" spans="1:16" ht="12.75">
      <c r="A124" s="3500" t="s">
        <v>2555</v>
      </c>
      <c r="B124" s="3468"/>
      <c r="C124" s="3469"/>
      <c r="D124" s="3440">
        <f>H109</f>
        <v>0</v>
      </c>
      <c r="E124" s="3441"/>
      <c r="F124" s="3441"/>
      <c r="G124" s="3441"/>
      <c r="H124" s="3441"/>
      <c r="I124" s="3442"/>
      <c r="J124" s="2787"/>
    </row>
    <row r="125" spans="1:16" ht="12.75">
      <c r="A125" s="3443" t="str">
        <f>IF(项目基本情况!D5="房地产市场价值","——",MID(A112,3,LEN(A112)-2))</f>
        <v>房地产抵押价值</v>
      </c>
      <c r="B125" s="3444"/>
      <c r="C125" s="3444"/>
      <c r="D125" s="3431">
        <f ca="1">I110</f>
        <v>1471</v>
      </c>
      <c r="E125" s="3439"/>
      <c r="F125" s="3439"/>
      <c r="G125" s="3439"/>
      <c r="H125" s="3439"/>
      <c r="I125" s="3432"/>
      <c r="J125" s="2779"/>
    </row>
    <row r="126" spans="1:16" ht="12.75">
      <c r="A126" s="3428" t="s">
        <v>2555</v>
      </c>
      <c r="B126" s="3429"/>
      <c r="C126" s="3429"/>
      <c r="D126" s="3440">
        <f ca="1">I111</f>
        <v>16342</v>
      </c>
      <c r="E126" s="3441"/>
      <c r="F126" s="3441"/>
      <c r="G126" s="3441"/>
      <c r="H126" s="3441"/>
      <c r="I126" s="3442"/>
      <c r="J126" s="2787"/>
    </row>
    <row r="127" spans="1:16" ht="13.5" thickBot="1">
      <c r="A127" s="3443" t="str">
        <f>IF(项目基本情况!D5="房地产市场价值","——",MID(A114,3,LEN(A114)-2))</f>
        <v/>
      </c>
      <c r="B127" s="3444"/>
      <c r="C127" s="3444"/>
      <c r="D127" s="3476" t="str">
        <f>I112</f>
        <v>——</v>
      </c>
      <c r="E127" s="3477"/>
      <c r="F127" s="3477"/>
      <c r="G127" s="3477"/>
      <c r="H127" s="3477"/>
      <c r="I127" s="3528"/>
      <c r="J127" s="2779"/>
    </row>
    <row r="128" spans="1:16" ht="14.25" thickTop="1" thickBot="1">
      <c r="A128" s="3428" t="s">
        <v>2555</v>
      </c>
      <c r="B128" s="3429"/>
      <c r="C128" s="3430"/>
      <c r="D128" s="3492" t="str">
        <f>I113</f>
        <v>——</v>
      </c>
      <c r="E128" s="3492"/>
      <c r="F128" s="3492"/>
      <c r="G128" s="3492"/>
      <c r="H128" s="3492"/>
      <c r="I128" s="3492"/>
      <c r="J128" s="2787"/>
    </row>
    <row r="129" spans="1:10" ht="14.25" thickTop="1" thickBot="1">
      <c r="A129" s="3443" t="str">
        <f>IF(项目基本情况!D5="房地产市场价值","——",MID(F114,3,LEN(F114)-2))</f>
        <v/>
      </c>
      <c r="B129" s="3444"/>
      <c r="C129" s="3431"/>
      <c r="D129" s="3447" t="str">
        <f>I114</f>
        <v>——</v>
      </c>
      <c r="E129" s="3447"/>
      <c r="F129" s="3447"/>
      <c r="G129" s="3447"/>
      <c r="H129" s="3447"/>
      <c r="I129" s="3447"/>
      <c r="J129" s="2779"/>
    </row>
    <row r="130" spans="1:10" ht="14.25" thickTop="1" thickBot="1">
      <c r="A130" s="3452" t="s">
        <v>2555</v>
      </c>
      <c r="B130" s="3453"/>
      <c r="C130" s="3453"/>
      <c r="D130" s="3458">
        <f>H116</f>
        <v>0</v>
      </c>
      <c r="E130" s="3459"/>
      <c r="F130" s="3459"/>
      <c r="G130" s="3459"/>
      <c r="H130" s="3459"/>
      <c r="I130" s="3460"/>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26" t="str">
        <f>IF(B32="总价","（以上估价结果中楼面单价为总价除以建筑面积得出）","（以上估价结果中总价为楼面单价乘以建筑面积得出）")</f>
        <v>（以上估价结果中总价为楼面单价乘以建筑面积得出）</v>
      </c>
      <c r="B132" s="3426"/>
      <c r="C132" s="3426"/>
      <c r="D132" s="3426"/>
      <c r="E132" s="3426"/>
      <c r="F132" s="3426"/>
      <c r="G132" s="3426"/>
      <c r="H132" s="3426"/>
      <c r="I132" s="3426"/>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6" zoomScale="70" zoomScaleNormal="100" zoomScaleSheetLayoutView="70" zoomScalePageLayoutView="80" workbookViewId="0">
      <selection activeCell="I87" sqref="I8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5"/>
    <col min="37" max="16384" width="12.625" style="1389"/>
  </cols>
  <sheetData>
    <row r="1" spans="1:15" ht="21.75" customHeight="1">
      <c r="A1" s="1387" t="s">
        <v>1642</v>
      </c>
      <c r="B1" s="1388"/>
      <c r="C1" s="1388"/>
      <c r="D1" s="1388"/>
      <c r="E1" s="1388"/>
      <c r="F1" s="1388"/>
      <c r="G1" s="1388"/>
      <c r="H1" s="1388"/>
      <c r="I1" s="1388"/>
    </row>
    <row r="2" spans="1:15" ht="21.75" customHeight="1">
      <c r="A2" s="3560" t="s">
        <v>1643</v>
      </c>
      <c r="B2" s="3560"/>
      <c r="C2" s="3560"/>
      <c r="D2" s="3560"/>
      <c r="E2" s="3560"/>
      <c r="F2" s="3560"/>
      <c r="G2" s="3560"/>
      <c r="H2" s="3560"/>
      <c r="I2" s="3560"/>
      <c r="J2" s="2792"/>
    </row>
    <row r="3" spans="1:15" ht="12.75">
      <c r="A3" s="3484" t="s">
        <v>1471</v>
      </c>
      <c r="B3" s="3485"/>
      <c r="C3" s="3485"/>
      <c r="D3" s="3485"/>
      <c r="E3" s="3485"/>
      <c r="F3" s="3485"/>
      <c r="G3" s="3485"/>
      <c r="H3" s="3485"/>
      <c r="I3" s="3485"/>
      <c r="J3" s="2762"/>
    </row>
    <row r="4" spans="1:15" ht="14.25">
      <c r="A4" s="2630" t="s">
        <v>1472</v>
      </c>
      <c r="B4" s="2630" t="s">
        <v>1473</v>
      </c>
      <c r="C4" s="2631" t="s">
        <v>3042</v>
      </c>
      <c r="D4" s="2631" t="s">
        <v>3043</v>
      </c>
      <c r="E4" s="3430" t="s">
        <v>1644</v>
      </c>
      <c r="F4" s="3468"/>
      <c r="G4" s="3468"/>
      <c r="H4" s="3468"/>
      <c r="I4" s="3469"/>
      <c r="J4" s="2763"/>
      <c r="L4" s="1388" t="str">
        <f>IF(ISNUMBER(FIND("比较法",'结果表 (1修多)'!C4)),"比较法",IF(ISNUMBER(FIND("成本法",'结果表 (1修多)'!C4)),"成本法",IF(ISNUMBER(FIND("假设开发法",'结果表 (1修多)'!C4)),"假设开发法",IF(ISNUMBER(FIND("收益法",'结果表 (1修多)'!C4)),"收益法","基准地价系数修正法"))))</f>
        <v>成本法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61" t="s">
        <v>1475</v>
      </c>
      <c r="B5" s="3461">
        <v>25</v>
      </c>
      <c r="C5" s="3470"/>
      <c r="D5" s="3483"/>
      <c r="E5" s="12" t="s">
        <v>1476</v>
      </c>
      <c r="F5" s="2016"/>
      <c r="G5" s="2016"/>
      <c r="H5" s="2016"/>
      <c r="I5" s="2011"/>
      <c r="J5" s="2763"/>
    </row>
    <row r="6" spans="1:15" ht="12.75">
      <c r="A6" s="3461"/>
      <c r="B6" s="3461"/>
      <c r="C6" s="3486"/>
      <c r="D6" s="3483"/>
      <c r="E6" s="12" t="s">
        <v>1477</v>
      </c>
      <c r="F6" s="2016"/>
      <c r="G6" s="2016"/>
      <c r="H6" s="2016"/>
      <c r="I6" s="2011"/>
      <c r="J6" s="2763"/>
    </row>
    <row r="7" spans="1:15" ht="12.75">
      <c r="A7" s="3461"/>
      <c r="B7" s="3461"/>
      <c r="C7" s="3471"/>
      <c r="D7" s="3483"/>
      <c r="E7" s="12" t="s">
        <v>1478</v>
      </c>
      <c r="F7" s="2016"/>
      <c r="G7" s="2016"/>
      <c r="H7" s="2016"/>
      <c r="I7" s="2011"/>
      <c r="J7" s="2763"/>
    </row>
    <row r="8" spans="1:15" ht="12.75">
      <c r="A8" s="3461" t="s">
        <v>1479</v>
      </c>
      <c r="B8" s="3461">
        <v>15</v>
      </c>
      <c r="C8" s="3470"/>
      <c r="D8" s="3483"/>
      <c r="E8" s="12" t="s">
        <v>1480</v>
      </c>
      <c r="F8" s="2016"/>
      <c r="G8" s="2016"/>
      <c r="H8" s="2016"/>
      <c r="I8" s="2011"/>
      <c r="J8" s="2763"/>
    </row>
    <row r="9" spans="1:15" ht="12.75">
      <c r="A9" s="3461"/>
      <c r="B9" s="3461"/>
      <c r="C9" s="3471"/>
      <c r="D9" s="3483"/>
      <c r="E9" s="12" t="s">
        <v>1481</v>
      </c>
      <c r="F9" s="2016"/>
      <c r="G9" s="2016"/>
      <c r="H9" s="2016"/>
      <c r="I9" s="2011"/>
      <c r="J9" s="2763"/>
    </row>
    <row r="10" spans="1:15" ht="12.75">
      <c r="A10" s="3461" t="s">
        <v>1482</v>
      </c>
      <c r="B10" s="3461">
        <v>15</v>
      </c>
      <c r="C10" s="3470"/>
      <c r="D10" s="3483"/>
      <c r="E10" s="12" t="s">
        <v>1483</v>
      </c>
      <c r="F10" s="2016"/>
      <c r="G10" s="2016"/>
      <c r="H10" s="2016"/>
      <c r="I10" s="2011"/>
      <c r="J10" s="2763"/>
    </row>
    <row r="11" spans="1:15" ht="12.75">
      <c r="A11" s="3461"/>
      <c r="B11" s="3461"/>
      <c r="C11" s="3471"/>
      <c r="D11" s="3483"/>
      <c r="E11" s="12" t="s">
        <v>1484</v>
      </c>
      <c r="F11" s="2016"/>
      <c r="G11" s="2016"/>
      <c r="H11" s="2016"/>
      <c r="I11" s="2011"/>
      <c r="J11" s="2763"/>
    </row>
    <row r="12" spans="1:15" ht="12.75">
      <c r="A12" s="3461" t="s">
        <v>1485</v>
      </c>
      <c r="B12" s="3461">
        <v>15</v>
      </c>
      <c r="C12" s="3470"/>
      <c r="D12" s="3483"/>
      <c r="E12" s="12" t="s">
        <v>1486</v>
      </c>
      <c r="F12" s="2016"/>
      <c r="G12" s="2016"/>
      <c r="H12" s="2016"/>
      <c r="I12" s="2011"/>
      <c r="J12" s="2763"/>
    </row>
    <row r="13" spans="1:15" ht="12.75">
      <c r="A13" s="3461"/>
      <c r="B13" s="3461"/>
      <c r="C13" s="3471"/>
      <c r="D13" s="3483"/>
      <c r="E13" s="12" t="s">
        <v>1487</v>
      </c>
      <c r="F13" s="2016"/>
      <c r="G13" s="2016"/>
      <c r="H13" s="2016"/>
      <c r="I13" s="2011"/>
      <c r="J13" s="2763"/>
    </row>
    <row r="14" spans="1:15" ht="12.75">
      <c r="A14" s="3461" t="s">
        <v>1488</v>
      </c>
      <c r="B14" s="3461">
        <v>30</v>
      </c>
      <c r="C14" s="3470">
        <v>5</v>
      </c>
      <c r="D14" s="3483">
        <v>5</v>
      </c>
      <c r="E14" s="12" t="s">
        <v>1489</v>
      </c>
      <c r="F14" s="2016"/>
      <c r="G14" s="2016"/>
      <c r="H14" s="2016"/>
      <c r="I14" s="2011"/>
      <c r="J14" s="2763"/>
    </row>
    <row r="15" spans="1:15" ht="12.75">
      <c r="A15" s="3461"/>
      <c r="B15" s="3461"/>
      <c r="C15" s="3486"/>
      <c r="D15" s="3483"/>
      <c r="E15" s="12" t="s">
        <v>1490</v>
      </c>
      <c r="F15" s="2016"/>
      <c r="G15" s="2016"/>
      <c r="H15" s="2016"/>
      <c r="I15" s="2011"/>
      <c r="J15" s="2763"/>
    </row>
    <row r="16" spans="1:15" ht="12.75">
      <c r="A16" s="3461"/>
      <c r="B16" s="3461"/>
      <c r="C16" s="3471"/>
      <c r="D16" s="3483"/>
      <c r="E16" s="12" t="s">
        <v>1491</v>
      </c>
      <c r="F16" s="2016"/>
      <c r="G16" s="2016"/>
      <c r="H16" s="2016"/>
      <c r="I16" s="2011"/>
      <c r="J16" s="2763"/>
    </row>
    <row r="17" spans="1:36" ht="15">
      <c r="A17" s="2632" t="s">
        <v>1492</v>
      </c>
      <c r="B17" s="2021"/>
      <c r="C17" s="2633">
        <f>SUM(C5:C16)</f>
        <v>5</v>
      </c>
      <c r="D17" s="2633">
        <f>SUM(D5:D16)</f>
        <v>5</v>
      </c>
      <c r="E17" s="2480"/>
      <c r="F17" s="2480"/>
      <c r="G17" s="2480"/>
      <c r="H17" s="2480"/>
      <c r="I17" s="2480"/>
      <c r="J17" s="2764"/>
    </row>
    <row r="18" spans="1:36" ht="32.450000000000003" customHeight="1" thickBot="1">
      <c r="A18" s="2634" t="s">
        <v>1493</v>
      </c>
      <c r="B18" s="2635"/>
      <c r="C18" s="2636">
        <f>ROUND(C17/SUM(C17:D17),2)</f>
        <v>0.5</v>
      </c>
      <c r="D18" s="2636">
        <f>1-C18</f>
        <v>0.5</v>
      </c>
      <c r="E18" s="3479" t="s">
        <v>2574</v>
      </c>
      <c r="F18" s="3480"/>
      <c r="G18" s="3480"/>
      <c r="H18" s="3480"/>
      <c r="I18" s="3480"/>
      <c r="J18" s="2764"/>
    </row>
    <row r="19" spans="1:36" ht="15">
      <c r="A19" s="2637" t="s">
        <v>1494</v>
      </c>
      <c r="B19" s="2638" t="s">
        <v>1495</v>
      </c>
      <c r="C19" s="2639">
        <f ca="1">SUMIF(INDIRECT("'"&amp;C4&amp;"'"&amp;"!A:A"),'结果表 (1修多)'!B19,INDIRECT("'"&amp;C4&amp;"'"&amp;"!B:B"))</f>
        <v>189</v>
      </c>
      <c r="D19" s="2640">
        <f ca="1">SUMIF(INDIRECT("'"&amp;D4&amp;"'"&amp;"!A:A"),'结果表 (1修多)'!B19,INDIRECT("'"&amp;D4&amp;"'"&amp;"!B:B"))</f>
        <v>178</v>
      </c>
      <c r="E19" s="2637" t="s">
        <v>1496</v>
      </c>
      <c r="F19" s="2638" t="s">
        <v>1495</v>
      </c>
      <c r="G19" s="2641">
        <f ca="1">ROUND(C19*$C$18+D19*$D$18,0)</f>
        <v>184</v>
      </c>
      <c r="H19" s="2642" t="str">
        <f>'数据-取费表'!B3</f>
        <v>万元</v>
      </c>
      <c r="I19" s="2480"/>
      <c r="J19" s="2764"/>
    </row>
    <row r="20" spans="1:36" ht="15">
      <c r="A20" s="2643"/>
      <c r="B20" s="1621" t="s">
        <v>1497</v>
      </c>
      <c r="C20" s="1846">
        <f ca="1">SUMIF(INDIRECT("'"&amp;C4&amp;"'"&amp;"!A:A"),'结果表 (1修多)'!B20,INDIRECT("'"&amp;C4&amp;"'"&amp;"!B:B"))</f>
        <v>16817</v>
      </c>
      <c r="D20" s="1849">
        <f ca="1">SUMIF(INDIRECT("'"&amp;D4&amp;"'"&amp;"!A:A"),'结果表 (1修多)'!B20,INDIRECT("'"&amp;D4&amp;"'"&amp;"!B:B"))</f>
        <v>15866</v>
      </c>
      <c r="E20" s="2643"/>
      <c r="F20" s="1621" t="s">
        <v>1497</v>
      </c>
      <c r="G20" s="2020">
        <f ca="1">ROUND(C20*$C$18+D20*$D$18,0)</f>
        <v>16342</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6.1797752808988804E-2</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72" t="s">
        <v>1500</v>
      </c>
      <c r="B24" s="2638" t="s">
        <v>1495</v>
      </c>
      <c r="C24" s="2641">
        <f>D30</f>
        <v>0</v>
      </c>
      <c r="D24" s="2593"/>
      <c r="E24" s="905"/>
      <c r="F24" s="905"/>
      <c r="G24" s="905"/>
      <c r="H24" s="905"/>
      <c r="I24" s="905"/>
      <c r="J24" s="2764"/>
    </row>
    <row r="25" spans="1:36" ht="21.75" customHeight="1">
      <c r="A25" s="3489"/>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37" t="s">
        <v>1647</v>
      </c>
      <c r="B32" s="3537"/>
      <c r="C32" s="3537"/>
      <c r="D32" s="3537"/>
      <c r="E32" s="3537"/>
      <c r="F32" s="3537"/>
      <c r="G32" s="3537"/>
      <c r="H32" s="3537"/>
      <c r="I32" s="3537"/>
      <c r="J32" s="2793"/>
      <c r="K32" s="659"/>
      <c r="L32" s="659"/>
      <c r="M32" s="659"/>
      <c r="N32" s="659"/>
      <c r="O32" s="659"/>
      <c r="P32" s="659"/>
      <c r="Q32" s="659"/>
      <c r="R32" s="659"/>
      <c r="S32" s="659"/>
      <c r="T32" s="659"/>
      <c r="U32" s="659"/>
      <c r="V32" s="659"/>
      <c r="W32" s="659"/>
      <c r="X32" s="659"/>
      <c r="Y32" s="659"/>
      <c r="Z32" s="659"/>
      <c r="AA32" s="659"/>
      <c r="AB32" s="1235"/>
      <c r="AC32" s="1235"/>
      <c r="AD32" s="1235"/>
      <c r="AE32" s="1235"/>
      <c r="AF32" s="1235"/>
      <c r="AG32" s="1235"/>
      <c r="AH32" s="1235"/>
      <c r="AI32" s="1235"/>
      <c r="AJ32" s="1235"/>
    </row>
    <row r="33" spans="1:16" ht="15">
      <c r="A33" s="1438"/>
      <c r="B33" s="2693" t="s">
        <v>1648</v>
      </c>
      <c r="C33" s="2694">
        <f ca="1">典型户型修正!R27</f>
        <v>16342</v>
      </c>
      <c r="D33" s="2480" t="s">
        <v>1649</v>
      </c>
      <c r="E33" s="905"/>
      <c r="F33" s="905"/>
      <c r="G33" s="905"/>
      <c r="H33" s="905"/>
      <c r="I33" s="905"/>
      <c r="J33" s="2764"/>
    </row>
    <row r="34" spans="1:16" ht="15">
      <c r="A34" s="1439" t="s">
        <v>1650</v>
      </c>
      <c r="B34" s="2695" t="s">
        <v>1651</v>
      </c>
      <c r="C34" s="2696">
        <f ca="1">典型户型修正!B2</f>
        <v>1455</v>
      </c>
      <c r="D34" s="2697" t="str">
        <f>IF('数据-取费表'!B3="万元","万元","元")</f>
        <v>万元</v>
      </c>
      <c r="E34" s="905"/>
      <c r="F34" s="905"/>
      <c r="G34" s="905"/>
      <c r="H34" s="905"/>
      <c r="I34" s="905"/>
      <c r="J34" s="2764"/>
    </row>
    <row r="35" spans="1:16" ht="15.75" thickBot="1">
      <c r="A35" s="1440"/>
      <c r="B35" s="2698" t="s">
        <v>1652</v>
      </c>
      <c r="C35" s="2647">
        <f ca="1">典型户型修正!B3</f>
        <v>16162</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72" t="s">
        <v>1656</v>
      </c>
      <c r="B38" s="1395" t="s">
        <v>1657</v>
      </c>
      <c r="C38" s="2674"/>
      <c r="D38" s="2675"/>
      <c r="E38" s="1607"/>
      <c r="F38" s="1607"/>
      <c r="G38" s="905"/>
      <c r="H38" s="905"/>
      <c r="I38" s="905"/>
      <c r="J38" s="2764"/>
    </row>
    <row r="39" spans="1:16" ht="15.75" thickBot="1">
      <c r="A39" s="3473"/>
      <c r="B39" s="2021" t="s">
        <v>1658</v>
      </c>
      <c r="C39" s="2676"/>
      <c r="D39" s="1238"/>
      <c r="E39" s="1238"/>
      <c r="F39" s="1607"/>
      <c r="G39" s="1238"/>
      <c r="H39" s="1238"/>
      <c r="I39" s="1238"/>
      <c r="J39" s="2768"/>
    </row>
    <row r="40" spans="1:16" ht="15.75" thickBot="1">
      <c r="A40" s="3474"/>
      <c r="B40" s="1396" t="s">
        <v>1659</v>
      </c>
      <c r="C40" s="2677"/>
      <c r="D40" s="2678" t="s">
        <v>1660</v>
      </c>
      <c r="E40" s="1238"/>
      <c r="F40" s="1607"/>
      <c r="G40" s="1238"/>
      <c r="H40" s="1238"/>
      <c r="I40" s="1238"/>
      <c r="J40" s="2768"/>
    </row>
    <row r="41" spans="1:16" ht="15">
      <c r="A41" s="2643" t="s">
        <v>1661</v>
      </c>
      <c r="B41" s="2679" t="s">
        <v>1662</v>
      </c>
      <c r="C41" s="2680" t="s">
        <v>1663</v>
      </c>
      <c r="D41" s="2680" t="s">
        <v>1664</v>
      </c>
      <c r="E41" s="2681" t="s">
        <v>1665</v>
      </c>
      <c r="F41" s="1607"/>
      <c r="G41" s="1238"/>
      <c r="H41" s="1238"/>
      <c r="I41" s="1238"/>
      <c r="J41" s="2768"/>
    </row>
    <row r="42" spans="1:16" ht="14.25">
      <c r="A42" s="2682" t="s">
        <v>1666</v>
      </c>
      <c r="B42" s="2683"/>
      <c r="C42" s="2684"/>
      <c r="D42" s="2684"/>
      <c r="E42" s="2685"/>
      <c r="F42" s="1607"/>
      <c r="G42" s="1238"/>
      <c r="H42" s="1238"/>
      <c r="I42" s="1238"/>
      <c r="J42" s="2768"/>
    </row>
    <row r="43" spans="1:16" ht="14.25">
      <c r="A43" s="2682" t="s">
        <v>1667</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2573</v>
      </c>
      <c r="J46" s="2794"/>
      <c r="K46" s="1402" t="s">
        <v>1523</v>
      </c>
      <c r="L46" s="1403"/>
      <c r="M46" s="1403"/>
      <c r="N46" s="1403"/>
      <c r="O46" s="1403"/>
      <c r="P46" s="1403"/>
    </row>
    <row r="47" spans="1:16" ht="14.25" customHeight="1" thickBot="1">
      <c r="A47" s="3476" t="s">
        <v>1669</v>
      </c>
      <c r="B47" s="3477"/>
      <c r="C47" s="3436"/>
      <c r="D47" s="246">
        <f ca="1">ROUND(I104*F47,0)</f>
        <v>1455</v>
      </c>
      <c r="E47" s="1469" t="s">
        <v>1670</v>
      </c>
      <c r="F47" s="2478">
        <v>1</v>
      </c>
      <c r="G47" s="2479" t="s">
        <v>1671</v>
      </c>
      <c r="H47" s="905"/>
      <c r="I47" s="905"/>
      <c r="J47" s="2764"/>
      <c r="K47" s="3562" t="s">
        <v>1527</v>
      </c>
      <c r="L47" s="3562"/>
      <c r="M47" s="3562"/>
      <c r="N47" s="3562"/>
      <c r="O47" s="3562"/>
      <c r="P47" s="3562"/>
    </row>
    <row r="48" spans="1:16" ht="14.25" customHeight="1">
      <c r="A48" s="3465" t="s">
        <v>1528</v>
      </c>
      <c r="B48" s="3466"/>
      <c r="C48" s="3466"/>
      <c r="D48" s="3466"/>
      <c r="E48" s="3466"/>
      <c r="F48" s="3466"/>
      <c r="G48" s="3467"/>
      <c r="H48" s="2896"/>
      <c r="I48" s="905"/>
      <c r="J48" s="2764"/>
      <c r="K48" s="2430">
        <v>1</v>
      </c>
      <c r="L48" s="3557" t="s">
        <v>1529</v>
      </c>
      <c r="M48" s="3557"/>
      <c r="N48" s="3563"/>
      <c r="O48" s="3563"/>
      <c r="P48" s="3563"/>
    </row>
    <row r="49" spans="1:17" ht="12" customHeight="1">
      <c r="A49" s="38" t="s">
        <v>1530</v>
      </c>
      <c r="B49" s="39"/>
      <c r="C49" s="40"/>
      <c r="D49" s="1027" t="s">
        <v>1531</v>
      </c>
      <c r="E49" s="235" t="s">
        <v>1532</v>
      </c>
      <c r="F49" s="41" t="s">
        <v>1533</v>
      </c>
      <c r="G49" s="2481" t="s">
        <v>1534</v>
      </c>
      <c r="H49" s="2896"/>
      <c r="I49" s="905"/>
      <c r="J49" s="2764"/>
      <c r="K49" s="2430">
        <v>2</v>
      </c>
      <c r="L49" s="3557" t="s">
        <v>1535</v>
      </c>
      <c r="M49" s="3557"/>
      <c r="N49" s="3564">
        <f>'数据-取费表'!B2</f>
        <v>44908</v>
      </c>
      <c r="O49" s="3564"/>
      <c r="P49" s="3564"/>
    </row>
    <row r="50" spans="1:17" ht="25.5">
      <c r="A50" s="3475" t="s">
        <v>1536</v>
      </c>
      <c r="B50" s="3429"/>
      <c r="C50" s="3429"/>
      <c r="D50" s="12">
        <f ca="1">IF(H50="情况1",0,IF(H50="情况2",D54,IF(H50="情况3",D55,IF(H50="情况4",D56))))</f>
        <v>76</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57" t="s">
        <v>1539</v>
      </c>
      <c r="M50" s="3557"/>
      <c r="N50" s="3558">
        <f ca="1">I104</f>
        <v>1455</v>
      </c>
      <c r="O50" s="3558"/>
      <c r="P50" s="3558"/>
    </row>
    <row r="51" spans="1:17" ht="25.5" customHeight="1">
      <c r="A51" s="2018" t="s">
        <v>1540</v>
      </c>
      <c r="B51" s="3468" t="s">
        <v>1541</v>
      </c>
      <c r="C51" s="3468"/>
      <c r="D51" s="2485">
        <v>0</v>
      </c>
      <c r="E51" s="261" t="s">
        <v>1542</v>
      </c>
      <c r="F51" s="2486" t="s">
        <v>48</v>
      </c>
      <c r="G51" s="3525"/>
      <c r="H51" s="2487" t="s">
        <v>2498</v>
      </c>
      <c r="I51" s="2488"/>
      <c r="J51" s="2772"/>
      <c r="K51" s="2430">
        <v>4</v>
      </c>
      <c r="L51" s="3557" t="str">
        <f>IF(项目基本情况!F5="房地产抵押价值","房地产抵押价值","抵押担保权已注销时的房地产抵押价值")</f>
        <v>房地产抵押价值</v>
      </c>
      <c r="M51" s="3557"/>
      <c r="N51" s="3558">
        <f ca="1">IF(项目基本情况!F5="房地产抵押价值",I112,I114)</f>
        <v>1455</v>
      </c>
      <c r="O51" s="3558"/>
      <c r="P51" s="3558"/>
    </row>
    <row r="52" spans="1:17" ht="25.5" customHeight="1">
      <c r="A52" s="2008"/>
      <c r="B52" s="3468" t="s">
        <v>1543</v>
      </c>
      <c r="C52" s="3468"/>
      <c r="D52" s="2489"/>
      <c r="E52" s="269"/>
      <c r="F52" s="2486"/>
      <c r="G52" s="3526"/>
      <c r="H52" s="2490" t="s">
        <v>2499</v>
      </c>
      <c r="I52" s="2488"/>
      <c r="J52" s="2772"/>
      <c r="K52" s="3557" t="s">
        <v>1544</v>
      </c>
      <c r="L52" s="3557"/>
      <c r="M52" s="3557"/>
      <c r="N52" s="3557"/>
      <c r="O52" s="3557"/>
      <c r="P52" s="3557"/>
    </row>
    <row r="53" spans="1:17" ht="20.45" customHeight="1">
      <c r="A53" s="2491"/>
      <c r="B53" s="3468" t="s">
        <v>1545</v>
      </c>
      <c r="C53" s="3468"/>
      <c r="D53" s="1027"/>
      <c r="E53" s="264"/>
      <c r="F53" s="2486"/>
      <c r="G53" s="3527"/>
      <c r="H53" s="2490" t="s">
        <v>2500</v>
      </c>
      <c r="I53" s="2488"/>
      <c r="J53" s="2772"/>
      <c r="K53" s="2431" t="s">
        <v>1546</v>
      </c>
      <c r="L53" s="3557" t="s">
        <v>1547</v>
      </c>
      <c r="M53" s="3557"/>
      <c r="N53" s="2431" t="s">
        <v>1548</v>
      </c>
      <c r="O53" s="2431" t="s">
        <v>1549</v>
      </c>
      <c r="P53" s="2431" t="s">
        <v>1550</v>
      </c>
    </row>
    <row r="54" spans="1:17" ht="24" customHeight="1">
      <c r="A54" s="2009" t="s">
        <v>1551</v>
      </c>
      <c r="B54" s="3468" t="s">
        <v>1552</v>
      </c>
      <c r="C54" s="3468"/>
      <c r="D54" s="1027">
        <f ca="1">ROUND(D47*'数据-取费表'!E29/(1+'数据-取费表'!F30),0)</f>
        <v>76</v>
      </c>
      <c r="E54" s="2019" t="s">
        <v>1553</v>
      </c>
      <c r="F54" s="2492">
        <f>'数据-取费表'!E29</f>
        <v>5.5000000000000007E-2</v>
      </c>
      <c r="G54" s="2493"/>
      <c r="H54" s="905"/>
      <c r="I54" s="2897"/>
      <c r="J54" s="2772"/>
      <c r="K54" s="2430">
        <v>1</v>
      </c>
      <c r="L54" s="3553" t="s">
        <v>1554</v>
      </c>
      <c r="M54" s="3553"/>
      <c r="N54" s="2432">
        <f ca="1">D50</f>
        <v>76</v>
      </c>
      <c r="O54" s="2430" t="str">
        <f>E50</f>
        <v>销售额×税（费）率</v>
      </c>
      <c r="P54" s="2433">
        <f>F50</f>
        <v>5.5000000000000007E-2</v>
      </c>
    </row>
    <row r="55" spans="1:17" ht="12" customHeight="1">
      <c r="A55" s="2009" t="s">
        <v>1555</v>
      </c>
      <c r="B55" s="3430" t="s">
        <v>2591</v>
      </c>
      <c r="C55" s="3469"/>
      <c r="D55" s="1027">
        <f ca="1">ROUND(D47*'数据-取费表'!E29/(1+'数据-取费表'!F30),0)</f>
        <v>76</v>
      </c>
      <c r="E55" s="2019" t="s">
        <v>1553</v>
      </c>
      <c r="F55" s="2492">
        <f>'数据-取费表'!E29</f>
        <v>5.5000000000000007E-2</v>
      </c>
      <c r="G55" s="2493"/>
      <c r="H55" s="905"/>
      <c r="I55" s="2897"/>
      <c r="J55" s="2772"/>
      <c r="K55" s="2430">
        <v>2</v>
      </c>
      <c r="L55" s="3553" t="s">
        <v>1556</v>
      </c>
      <c r="M55" s="3553"/>
      <c r="N55" s="2432">
        <f t="shared" ref="N55:P56" ca="1" si="1">D57</f>
        <v>1</v>
      </c>
      <c r="O55" s="2430" t="str">
        <f t="shared" si="1"/>
        <v>销售额×税（费）率</v>
      </c>
      <c r="P55" s="2433">
        <f t="shared" si="1"/>
        <v>5.0000000000000001E-4</v>
      </c>
    </row>
    <row r="56" spans="1:17" ht="12" customHeight="1">
      <c r="A56" s="2009" t="s">
        <v>1557</v>
      </c>
      <c r="B56" s="3430" t="s">
        <v>2592</v>
      </c>
      <c r="C56" s="3469"/>
      <c r="D56" s="1027">
        <f ca="1">C70</f>
        <v>76</v>
      </c>
      <c r="E56" s="264" t="s">
        <v>1558</v>
      </c>
      <c r="F56" s="2492">
        <f>'数据-取费表'!E29</f>
        <v>5.5000000000000007E-2</v>
      </c>
      <c r="G56" s="2493"/>
      <c r="H56" s="2898"/>
      <c r="I56" s="2897"/>
      <c r="J56" s="2772"/>
      <c r="K56" s="2430">
        <v>3</v>
      </c>
      <c r="L56" s="3553" t="s">
        <v>1559</v>
      </c>
      <c r="M56" s="3553"/>
      <c r="N56" s="2432">
        <f t="shared" ca="1" si="1"/>
        <v>825</v>
      </c>
      <c r="O56" s="2430" t="str">
        <f t="shared" si="1"/>
        <v>增值额×税（费）率</v>
      </c>
      <c r="P56" s="2434" t="str">
        <f t="shared" si="1"/>
        <v>——</v>
      </c>
    </row>
    <row r="57" spans="1:17" ht="24" customHeight="1">
      <c r="A57" s="3428" t="s">
        <v>1560</v>
      </c>
      <c r="B57" s="3429"/>
      <c r="C57" s="3429"/>
      <c r="D57" s="12">
        <f ca="1">IF(H57="个人住宅",0,ROUND(D47*I57,0))</f>
        <v>1</v>
      </c>
      <c r="E57" s="2019" t="s">
        <v>1561</v>
      </c>
      <c r="F57" s="2492">
        <f>IF(H57="正常",I57,"免征")</f>
        <v>5.0000000000000001E-4</v>
      </c>
      <c r="G57" s="2493"/>
      <c r="H57" s="2484" t="s">
        <v>1562</v>
      </c>
      <c r="I57" s="74">
        <f>'数据-取费表'!E37</f>
        <v>5.0000000000000001E-4</v>
      </c>
      <c r="J57" s="2772"/>
      <c r="K57" s="2430">
        <f>IF(H61="非个人房产","",4)</f>
        <v>4</v>
      </c>
      <c r="L57" s="3553" t="str">
        <f>IF(H61="非个人房产","——","个人所得税")</f>
        <v>个人所得税</v>
      </c>
      <c r="M57" s="3553"/>
      <c r="N57" s="2435">
        <f ca="1">D61</f>
        <v>15</v>
      </c>
      <c r="O57" s="2436" t="str">
        <f>E61</f>
        <v>销售额×税（费）率</v>
      </c>
      <c r="P57" s="2437">
        <f>F61</f>
        <v>0.01</v>
      </c>
    </row>
    <row r="58" spans="1:17" ht="24.75">
      <c r="A58" s="3428" t="s">
        <v>1563</v>
      </c>
      <c r="B58" s="3429"/>
      <c r="C58" s="3429"/>
      <c r="D58" s="12">
        <f ca="1">IF(H58="个人住宅",D59,D60)</f>
        <v>825</v>
      </c>
      <c r="E58" s="2019" t="s">
        <v>1564</v>
      </c>
      <c r="F58" s="2492" t="str">
        <f>IF(H58="正常",F60,"免征")</f>
        <v>——</v>
      </c>
      <c r="G58" s="2494" t="s">
        <v>1565</v>
      </c>
      <c r="H58" s="2495" t="s">
        <v>1562</v>
      </c>
      <c r="I58" s="2899"/>
      <c r="J58" s="2772"/>
      <c r="K58" s="2430" t="str">
        <f>IF(项目基本情况!I6="上海银行",IF(K57="",4,K57+1),"")</f>
        <v/>
      </c>
      <c r="L58" s="3555" t="str">
        <f>IF(项目基本情况!I6="上海银行","其他处置费用","")</f>
        <v/>
      </c>
      <c r="M58" s="3556"/>
      <c r="N58" s="2432" t="str">
        <f>IF(项目基本情况!I6="上海银行",N71,"")</f>
        <v/>
      </c>
      <c r="O58" s="3555" t="str">
        <f>IF(项目基本情况!I6="上海银行","包含处置中涉及的律师、诉讼、拍卖、评估等费用","")</f>
        <v/>
      </c>
      <c r="P58" s="3559"/>
    </row>
    <row r="59" spans="1:17" ht="12.75">
      <c r="A59" s="2009" t="s">
        <v>1540</v>
      </c>
      <c r="B59" s="3430" t="s">
        <v>1566</v>
      </c>
      <c r="C59" s="3469"/>
      <c r="D59" s="2485">
        <v>0</v>
      </c>
      <c r="E59" s="261" t="s">
        <v>1542</v>
      </c>
      <c r="F59" s="235"/>
      <c r="G59" s="2493"/>
      <c r="H59" s="2899"/>
      <c r="I59" s="2899"/>
      <c r="J59" s="2772"/>
      <c r="K59" s="3553">
        <f>IF(AND(K57="",K58=""),4,IF(项目基本情况!I6="上海银行",K58+1,K57+1))</f>
        <v>5</v>
      </c>
      <c r="L59" s="3553" t="s">
        <v>1567</v>
      </c>
      <c r="M59" s="2438" t="s">
        <v>1568</v>
      </c>
      <c r="N59" s="2439"/>
      <c r="O59" s="2440">
        <f ca="1">SUMIF(N54:N58,"&lt;9e307")</f>
        <v>917</v>
      </c>
      <c r="P59" s="2441"/>
      <c r="Q59" s="1233">
        <f ca="1">O59/N51</f>
        <v>0.63024054982817868</v>
      </c>
    </row>
    <row r="60" spans="1:17" ht="24.75">
      <c r="A60" s="2009" t="s">
        <v>1551</v>
      </c>
      <c r="B60" s="3430" t="s">
        <v>1569</v>
      </c>
      <c r="C60" s="3468"/>
      <c r="D60" s="12">
        <f ca="1">IF(H60="转让取得",C83,C99)</f>
        <v>825</v>
      </c>
      <c r="E60" s="2019" t="s">
        <v>1564</v>
      </c>
      <c r="F60" s="235" t="s">
        <v>48</v>
      </c>
      <c r="G60" s="2493"/>
      <c r="H60" s="2495" t="s">
        <v>1570</v>
      </c>
      <c r="I60" s="2899"/>
      <c r="J60" s="2772"/>
      <c r="K60" s="3553"/>
      <c r="L60" s="3553"/>
      <c r="M60" s="2438" t="s">
        <v>1571</v>
      </c>
      <c r="N60" s="2442"/>
      <c r="O60" s="2443" t="str">
        <f ca="1">IF(H19="元",NUMBERSTRING(INT(O59),2)&amp;"元整",NUMBERSTRING(INT(O59*10000),2)&amp;"元整")</f>
        <v>玖佰壹拾柒万元整</v>
      </c>
      <c r="P60" s="2444"/>
    </row>
    <row r="61" spans="1:17" ht="26.25" thickBot="1">
      <c r="A61" s="3452" t="s">
        <v>1572</v>
      </c>
      <c r="B61" s="3453"/>
      <c r="C61" s="3453"/>
      <c r="D61" s="69">
        <f ca="1">IF(H61="非个人房产","——",IF(H61="个人住宅（满五唯一有凭证）",0,IF(H61="个人其他（无凭证）",ROUND(D47*F61,0),ROUND(C69*F61,0))))</f>
        <v>15</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51">
        <f>K59+1</f>
        <v>6</v>
      </c>
      <c r="L61" s="3553" t="s">
        <v>1573</v>
      </c>
      <c r="M61" s="2430" t="s">
        <v>1568</v>
      </c>
      <c r="N61" s="2445"/>
      <c r="O61" s="2446">
        <f ca="1">N51-O59</f>
        <v>538</v>
      </c>
      <c r="P61" s="2447"/>
    </row>
    <row r="62" spans="1:17" ht="12" customHeight="1">
      <c r="A62" s="1384"/>
      <c r="B62" s="2480"/>
      <c r="C62" s="2480"/>
      <c r="D62" s="2480"/>
      <c r="E62" s="1384"/>
      <c r="F62" s="2899"/>
      <c r="G62" s="2899"/>
      <c r="H62" s="2894"/>
      <c r="I62" s="905"/>
      <c r="J62" s="2772"/>
      <c r="K62" s="3552"/>
      <c r="L62" s="3553"/>
      <c r="M62" s="2438" t="s">
        <v>1571</v>
      </c>
      <c r="N62" s="2442"/>
      <c r="O62" s="2443" t="str">
        <f ca="1">IF(H19="元",NUMBERSTRING(INT(O61),2)&amp;"元整",NUMBERSTRING(INT(O61*10000),2)&amp;"元整")</f>
        <v>伍佰叁拾捌万元整</v>
      </c>
      <c r="P62" s="2444"/>
    </row>
    <row r="63" spans="1:17" ht="13.5" thickBot="1">
      <c r="A63" s="3554" t="s">
        <v>1574</v>
      </c>
      <c r="B63" s="3554"/>
      <c r="C63" s="3554"/>
      <c r="D63" s="3554"/>
      <c r="E63" s="3554"/>
      <c r="F63" s="2899"/>
      <c r="G63" s="2899"/>
      <c r="H63" s="2894"/>
      <c r="I63" s="905"/>
      <c r="J63" s="2764"/>
      <c r="K63" s="2430">
        <f>K61+1</f>
        <v>7</v>
      </c>
      <c r="L63" s="3553" t="s">
        <v>1575</v>
      </c>
      <c r="M63" s="3553"/>
      <c r="N63" s="2448"/>
      <c r="O63" s="2449">
        <f ca="1">IF(H19="元",ROUND(O61/项目基本情况!C12,0),ROUND(O61*10000/项目基本情况!C12,0))</f>
        <v>5976</v>
      </c>
      <c r="P63" s="2450"/>
    </row>
    <row r="64" spans="1:17" ht="12.75">
      <c r="A64" s="3487" t="s">
        <v>1576</v>
      </c>
      <c r="B64" s="3488"/>
      <c r="C64" s="1534"/>
      <c r="D64" s="1534" t="s">
        <v>1577</v>
      </c>
      <c r="E64" s="45" t="s">
        <v>1578</v>
      </c>
      <c r="F64" s="2899"/>
      <c r="G64" s="2899"/>
      <c r="H64" s="2894"/>
      <c r="I64" s="905"/>
      <c r="J64" s="2764"/>
      <c r="K64" s="1235"/>
      <c r="L64" s="1235"/>
      <c r="M64" s="1235"/>
      <c r="N64" s="1235"/>
      <c r="O64" s="1235"/>
    </row>
    <row r="65" spans="1:36" ht="12.75">
      <c r="A65" s="46">
        <v>1</v>
      </c>
      <c r="B65" s="47" t="s">
        <v>1579</v>
      </c>
      <c r="C65" s="2703">
        <f ca="1">ROUND((C66+C67)/(1+'数据-取费表'!F30),0)</f>
        <v>1386</v>
      </c>
      <c r="D65" s="47"/>
      <c r="E65" s="48"/>
      <c r="F65" s="2899"/>
      <c r="G65" s="2899"/>
      <c r="H65" s="2894"/>
      <c r="I65" s="905"/>
      <c r="J65" s="2764"/>
      <c r="K65" s="3561" t="s">
        <v>1580</v>
      </c>
      <c r="L65" s="1234" t="s">
        <v>1581</v>
      </c>
      <c r="M65" s="1234">
        <f ca="1">IF(N51&gt;10000,N51*0.5%,IF(AND(N51&gt;1000,N51&lt;=10000),N51*1%,IF(AND(N51&gt;100,N51&lt;=1000),N51*3%,IF(AND(N51&gt;10,N51&lt;=100),N51*5%,N51*8%))))</f>
        <v>14.55</v>
      </c>
      <c r="N65" s="235">
        <f ca="1">ROUND(M65,1)</f>
        <v>14.6</v>
      </c>
      <c r="O65" s="2451"/>
    </row>
    <row r="66" spans="1:36" ht="12.75">
      <c r="A66" s="49" t="s">
        <v>71</v>
      </c>
      <c r="B66" s="50" t="s">
        <v>1582</v>
      </c>
      <c r="C66" s="2704">
        <f ca="1">D47</f>
        <v>1455</v>
      </c>
      <c r="D66" s="50" t="s">
        <v>41</v>
      </c>
      <c r="E66" s="52"/>
      <c r="F66" s="2899"/>
      <c r="G66" s="2899"/>
      <c r="H66" s="2894"/>
      <c r="I66" s="905"/>
      <c r="J66" s="2764"/>
      <c r="K66" s="3561"/>
      <c r="L66" s="1234" t="s">
        <v>1583</v>
      </c>
      <c r="M66" s="1234">
        <f ca="1">IF(N51&gt;2000,N51*0.5%,IF(AND(N51&gt;1000,N51&lt;=2000),N51*0.6%,IF(AND(N51&gt;500,N51&lt;=1000),N51*0.7%,IF(AND(N51&gt;200,N51&lt;=500),N51*0.8%,IF(AND(N51&gt;100,N51&lt;=200),N51*0.9%,IF(AND(N51&gt;50,N51&lt;=100),N51*1%,IF(AND(N51&gt;20,N51&lt;=50),N51*1.5%,IF(AND(N51&gt;10,N51&lt;=20),N51*2%,IF(AND(N51&gt;1,N51&lt;=10),N51*2.5%)))))))))</f>
        <v>8.73</v>
      </c>
      <c r="N66" s="235">
        <f t="shared" ref="N66:N67" ca="1" si="2">ROUND(M66,1)</f>
        <v>8.6999999999999993</v>
      </c>
      <c r="O66" s="2451" t="s">
        <v>1584</v>
      </c>
    </row>
    <row r="67" spans="1:36" ht="12.75">
      <c r="A67" s="49" t="s">
        <v>72</v>
      </c>
      <c r="B67" s="50" t="s">
        <v>1585</v>
      </c>
      <c r="C67" s="2705"/>
      <c r="D67" s="50"/>
      <c r="E67" s="52"/>
      <c r="F67" s="2899"/>
      <c r="G67" s="2899"/>
      <c r="H67" s="2894"/>
      <c r="I67" s="905"/>
      <c r="J67" s="2764"/>
      <c r="K67" s="3561"/>
      <c r="L67" s="1234" t="s">
        <v>1586</v>
      </c>
      <c r="M67" s="1234">
        <f ca="1">IF(N51&gt;1000,N51*0.1%,IF(AND(N51&gt;500,N51&lt;=1000),N51*0.5%,IF(AND(N51&gt;50,N51&lt;=500),N51*1%,IF(AND(N51&gt;1,N51&lt;=50),N51*1.5%))))</f>
        <v>1.4550000000000001</v>
      </c>
      <c r="N67" s="235">
        <f t="shared" ca="1" si="2"/>
        <v>1.5</v>
      </c>
      <c r="O67" s="2451" t="s">
        <v>1584</v>
      </c>
    </row>
    <row r="68" spans="1:36" ht="12.75">
      <c r="A68" s="53" t="s">
        <v>47</v>
      </c>
      <c r="B68" s="54" t="s">
        <v>1587</v>
      </c>
      <c r="C68" s="2706"/>
      <c r="D68" s="54" t="s">
        <v>41</v>
      </c>
      <c r="E68" s="1243" t="s">
        <v>1588</v>
      </c>
      <c r="F68" s="2899"/>
      <c r="G68" s="2899"/>
      <c r="H68" s="2894"/>
      <c r="I68" s="905"/>
      <c r="J68" s="2764"/>
      <c r="K68" s="3561"/>
      <c r="L68" s="1234" t="s">
        <v>1589</v>
      </c>
      <c r="M68" s="1234">
        <f ca="1">N51*0.5%</f>
        <v>7.2750000000000004</v>
      </c>
      <c r="N68" s="235">
        <f ca="1">IF(M68&gt;0.5,0.5,ROUND(M68,0))</f>
        <v>0.5</v>
      </c>
      <c r="O68" s="2451" t="s">
        <v>1590</v>
      </c>
    </row>
    <row r="69" spans="1:36" ht="12.75">
      <c r="A69" s="53" t="s">
        <v>42</v>
      </c>
      <c r="B69" s="54" t="s">
        <v>1591</v>
      </c>
      <c r="C69" s="2707">
        <f ca="1">C65-C68</f>
        <v>1386</v>
      </c>
      <c r="D69" s="50" t="s">
        <v>41</v>
      </c>
      <c r="E69" s="52"/>
      <c r="F69" s="2899"/>
      <c r="G69" s="2899"/>
      <c r="H69" s="2894"/>
      <c r="I69" s="905"/>
      <c r="J69" s="2764"/>
      <c r="K69" s="3561"/>
      <c r="L69" s="1234" t="s">
        <v>1592</v>
      </c>
      <c r="M69" s="1234">
        <f ca="1">IF(N51&gt;=10000,(8.25+(N51-10000)*0.01%),IF(AND(N51&gt;=8000,N51&lt;10000),(7.85+(N51-8000)*0.02%),IF(AND(N51&gt;=5000,N51&lt;8000),(6.65+(N51-5000)*0.04%),IF(AND(N51&gt;=2000,N51&lt;5000),(4.25+(PN51-2000)*0.08%),IF(AND(N51&gt;=1000,N51&lt;2000),(2.75+(N51-1000)*0.15%),IF(AND(N51&gt;=100,N51&lt;1000),(0.5+(N51-100)*0.25%),IF(AND(N51&gt;0,N51&lt;100),N51*0.5%)))))))</f>
        <v>3.4325000000000001</v>
      </c>
      <c r="N69" s="235">
        <f ca="1">ROUND(M69*0.9,1)</f>
        <v>3.1</v>
      </c>
      <c r="O69" s="2451"/>
    </row>
    <row r="70" spans="1:36" ht="13.5" thickBot="1">
      <c r="A70" s="55" t="s">
        <v>46</v>
      </c>
      <c r="B70" s="56" t="s">
        <v>1593</v>
      </c>
      <c r="C70" s="2708">
        <f ca="1">IF(C69&lt;=0,0,ROUND(C69*D70,0))</f>
        <v>76</v>
      </c>
      <c r="D70" s="2169">
        <f>'数据-取费表'!E29</f>
        <v>5.5000000000000007E-2</v>
      </c>
      <c r="E70" s="57"/>
      <c r="F70" s="2899"/>
      <c r="G70" s="2899"/>
      <c r="H70" s="2894"/>
      <c r="I70" s="905"/>
      <c r="J70" s="2764"/>
      <c r="K70" s="3561"/>
      <c r="L70" s="1234" t="s">
        <v>1594</v>
      </c>
      <c r="M70" s="1234">
        <f ca="1">IF(N51&gt;10000,N51*0.5%,IF(AND(N51&gt;5000,N51&lt;=10000),N51*1%,IF(AND(N51&gt;1000,N51&lt;=5000),N51*2%,IF(AND(N51&gt;200,N51&lt;=1000),N51*3%,N51*5%))))</f>
        <v>29.1</v>
      </c>
      <c r="N70" s="235">
        <f ca="1">ROUND(M70,1)</f>
        <v>29.1</v>
      </c>
      <c r="O70" s="2451"/>
    </row>
    <row r="71" spans="1:36" s="1392" customFormat="1" ht="7.5" customHeight="1">
      <c r="A71" s="1404"/>
      <c r="B71" s="1405"/>
      <c r="C71" s="2709"/>
      <c r="D71" s="2212"/>
      <c r="E71" s="1408"/>
      <c r="F71" s="1384"/>
      <c r="G71" s="1384"/>
      <c r="H71" s="1408"/>
      <c r="I71" s="2480"/>
      <c r="J71" s="2764"/>
      <c r="K71" s="3561"/>
      <c r="L71" s="1234" t="s">
        <v>1595</v>
      </c>
      <c r="M71" s="1234"/>
      <c r="N71" s="235">
        <f ca="1">ROUND(SUM(N65:N70),0)</f>
        <v>58</v>
      </c>
      <c r="O71" s="2452">
        <f ca="1">N71/N51</f>
        <v>3.9862542955326458E-2</v>
      </c>
      <c r="P71" s="659"/>
      <c r="Q71" s="659"/>
      <c r="R71" s="659"/>
      <c r="S71" s="659"/>
      <c r="T71" s="659"/>
      <c r="U71" s="659"/>
      <c r="V71" s="659"/>
      <c r="W71" s="659"/>
      <c r="X71" s="659"/>
      <c r="Y71" s="659"/>
      <c r="Z71" s="659"/>
      <c r="AA71" s="659"/>
      <c r="AB71" s="1235"/>
      <c r="AC71" s="1235"/>
      <c r="AD71" s="1235"/>
      <c r="AE71" s="1235"/>
      <c r="AF71" s="1235"/>
      <c r="AG71" s="1235"/>
      <c r="AH71" s="1235"/>
      <c r="AI71" s="1235"/>
      <c r="AJ71" s="1235"/>
    </row>
    <row r="72" spans="1:36" s="1410" customFormat="1" ht="15" thickBot="1">
      <c r="A72" s="3548" t="s">
        <v>1596</v>
      </c>
      <c r="B72" s="3549"/>
      <c r="C72" s="3549"/>
      <c r="D72" s="3549"/>
      <c r="E72" s="3549"/>
      <c r="F72" s="3549"/>
      <c r="G72" s="3549"/>
      <c r="H72" s="3549"/>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87" t="s">
        <v>1576</v>
      </c>
      <c r="B73" s="3488"/>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 ca="1">ROUND(D47/(1+'数据-取费表'!F30),0)</f>
        <v>1386</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 ca="1">C76+C80</f>
        <v>7</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30" t="s">
        <v>1606</v>
      </c>
      <c r="F78" s="3468"/>
      <c r="G78" s="3468"/>
      <c r="H78" s="3482"/>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 ca="1">ROUND(D47*D80/(1+'数据-取费表'!F30),0)</f>
        <v>7</v>
      </c>
      <c r="D80" s="2716">
        <f>'数据-取费表'!E31</f>
        <v>5.000000000000001E-3</v>
      </c>
      <c r="E80" s="3462" t="s">
        <v>1611</v>
      </c>
      <c r="F80" s="3463"/>
      <c r="G80" s="3463"/>
      <c r="H80" s="3464"/>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 ca="1">C74-C75</f>
        <v>1379</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 ca="1">IF(C81&lt;=0,0,C81/C75)</f>
        <v>197</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 ca="1">ROUND(IF(C81&lt;=0,0,IF(C82&gt;=200%,C81*60%-C75*35%,IF(C82&gt;=100%,C81*50%-C75*15%,IF(C82&gt;=50%,C81*40%-C75*5%,IF(C82&lt;50%,C81*30%,0))))),0)</f>
        <v>825</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8" t="s">
        <v>1615</v>
      </c>
      <c r="B85" s="3549"/>
      <c r="C85" s="3549"/>
      <c r="D85" s="3549"/>
      <c r="E85" s="3549"/>
      <c r="F85" s="3549"/>
      <c r="G85" s="3549"/>
      <c r="H85" s="3549"/>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87" t="s">
        <v>1576</v>
      </c>
      <c r="B86" s="3488"/>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 ca="1">ROUND(D47/(1+'数据-取费表'!F30),0)</f>
        <v>1386</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 ca="1">IF(H90="仅含出让金",C89+C92+C93+C94+C95+C96,C89+C93+C94+C95+C96)</f>
        <v>7</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2575</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523" t="s">
        <v>2492</v>
      </c>
      <c r="H92" s="3550"/>
      <c r="I92" s="608"/>
      <c r="J92" s="2796"/>
      <c r="K92" s="2891" t="s">
        <v>2576</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62" t="s">
        <v>1623</v>
      </c>
      <c r="F93" s="3463"/>
      <c r="G93" s="3463"/>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62" t="s">
        <v>1626</v>
      </c>
      <c r="F94" s="3463"/>
      <c r="G94" s="3463"/>
      <c r="H94" s="3464"/>
      <c r="I94" s="608"/>
      <c r="J94" s="2796"/>
      <c r="K94" s="2892" t="s">
        <v>2577</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 ca="1">ROUND(D47*D95/(1+'数据-取费表'!F30),0)</f>
        <v>7</v>
      </c>
      <c r="D95" s="2716">
        <f>'数据-取费表'!E31</f>
        <v>5.000000000000001E-3</v>
      </c>
      <c r="E95" s="3462" t="s">
        <v>1611</v>
      </c>
      <c r="F95" s="3463"/>
      <c r="G95" s="3463"/>
      <c r="H95" s="3464"/>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62" t="s">
        <v>1628</v>
      </c>
      <c r="F96" s="3463"/>
      <c r="G96" s="3463"/>
      <c r="H96" s="3464"/>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 ca="1">ROUND(C87-C88,0)</f>
        <v>1379</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 ca="1">IF(C97&lt;=0,0,C97/C88)</f>
        <v>197</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 ca="1">ROUND(IF(C97&lt;=0,0,IF(C98&gt;=200%,C97*60%-C88*35%,IF(C98&gt;=100%,C97*50%-C88*15%,IF(C98&gt;=50%,C97*40%-C88*5%,IF(C98&lt;50%,C97*30%,0))))),0)</f>
        <v>825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509" t="s">
        <v>1630</v>
      </c>
      <c r="B101" s="3510"/>
      <c r="C101" s="3510"/>
      <c r="D101" s="3511"/>
      <c r="E101" s="1388"/>
      <c r="F101" s="3545" t="s">
        <v>2534</v>
      </c>
      <c r="G101" s="3546"/>
      <c r="H101" s="3546"/>
      <c r="I101" s="3547"/>
      <c r="J101" s="2799"/>
    </row>
    <row r="102" spans="1:36" ht="15">
      <c r="A102" s="3521" t="s">
        <v>1632</v>
      </c>
      <c r="B102" s="3522"/>
      <c r="C102" s="2722" t="str">
        <f>C4</f>
        <v>成本法</v>
      </c>
      <c r="D102" s="2723" t="str">
        <f>D4</f>
        <v>收益法</v>
      </c>
      <c r="E102" s="1388"/>
      <c r="F102" s="3433" t="s">
        <v>2535</v>
      </c>
      <c r="G102" s="3434"/>
      <c r="H102" s="3439" t="s">
        <v>2536</v>
      </c>
      <c r="I102" s="3432"/>
      <c r="J102" s="2779"/>
    </row>
    <row r="103" spans="1:36" ht="12.75">
      <c r="A103" s="3542" t="s">
        <v>2530</v>
      </c>
      <c r="B103" s="2234" t="str">
        <f>IF(H19="元","总价（元）","总价（万元）")</f>
        <v>总价（万元）</v>
      </c>
      <c r="C103" s="1234">
        <f ca="1">C19</f>
        <v>189</v>
      </c>
      <c r="D103" s="2726">
        <f ca="1">D19</f>
        <v>178</v>
      </c>
      <c r="E103" s="1388"/>
      <c r="F103" s="3543"/>
      <c r="G103" s="3544"/>
      <c r="H103" s="3431">
        <f>典型户型修正!B25</f>
        <v>900.27</v>
      </c>
      <c r="I103" s="3432"/>
      <c r="J103" s="2779"/>
    </row>
    <row r="104" spans="1:36" ht="12.75">
      <c r="A104" s="3542"/>
      <c r="B104" s="2234" t="s">
        <v>2531</v>
      </c>
      <c r="C104" s="2727">
        <f ca="1">C20</f>
        <v>16817</v>
      </c>
      <c r="D104" s="2728">
        <f ca="1">D20</f>
        <v>15866</v>
      </c>
      <c r="E104" s="1388"/>
      <c r="F104" s="3443" t="s">
        <v>2537</v>
      </c>
      <c r="G104" s="3444"/>
      <c r="H104" s="2736" t="str">
        <f>C110</f>
        <v>总价（万元）</v>
      </c>
      <c r="I104" s="2737">
        <f ca="1">H125</f>
        <v>1455</v>
      </c>
      <c r="J104" s="2779"/>
    </row>
    <row r="105" spans="1:36" ht="12.75">
      <c r="A105" s="3542" t="s">
        <v>2532</v>
      </c>
      <c r="B105" s="2172" t="str">
        <f>B103</f>
        <v>总价（万元）</v>
      </c>
      <c r="C105" s="12">
        <f ca="1">ROUND(IF('数据-取费表'!B4="总价",G19,IF(H19="元",G20*'数据-取费表'!E5,G20*'数据-取费表'!E5/10000)),0)</f>
        <v>184</v>
      </c>
      <c r="D105" s="2729"/>
      <c r="E105" s="1388"/>
      <c r="F105" s="3443"/>
      <c r="G105" s="3444"/>
      <c r="H105" s="2736" t="s">
        <v>2538</v>
      </c>
      <c r="I105" s="52">
        <f ca="1">I125</f>
        <v>16162</v>
      </c>
      <c r="J105" s="2763"/>
    </row>
    <row r="106" spans="1:36" ht="12.75">
      <c r="A106" s="3542"/>
      <c r="B106" s="2234" t="s">
        <v>2531</v>
      </c>
      <c r="C106" s="1408">
        <f ca="1">ROUND(IF('数据-取费表'!B4="楼面单价",G20,IF(H19="元",G19/'数据-取费表'!E5,G19*10000/'数据-取费表'!E5)),0)</f>
        <v>16342</v>
      </c>
      <c r="D106" s="2729"/>
      <c r="E106" s="1388"/>
      <c r="F106" s="3443"/>
      <c r="G106" s="3444"/>
      <c r="H106" s="3503"/>
      <c r="I106" s="3504"/>
      <c r="J106" s="2780"/>
    </row>
    <row r="107" spans="1:36" ht="12.75">
      <c r="A107" s="3536" t="s">
        <v>2533</v>
      </c>
      <c r="B107" s="2730" t="str">
        <f>B103</f>
        <v>总价（万元）</v>
      </c>
      <c r="C107" s="2731">
        <f ca="1">H125</f>
        <v>1455</v>
      </c>
      <c r="D107" s="2732"/>
      <c r="E107" s="1388"/>
      <c r="F107" s="3507" t="s">
        <v>2539</v>
      </c>
      <c r="G107" s="3508"/>
      <c r="H107" s="2738" t="str">
        <f>C112</f>
        <v>总额（万元）</v>
      </c>
      <c r="I107" s="2737">
        <f>SUMIF(I108:I110,"&lt;9E307")</f>
        <v>0</v>
      </c>
      <c r="J107" s="2779"/>
    </row>
    <row r="108" spans="1:36" ht="15" thickBot="1">
      <c r="A108" s="3502"/>
      <c r="B108" s="2733" t="s">
        <v>2531</v>
      </c>
      <c r="C108" s="2734">
        <f ca="1">I125</f>
        <v>16162</v>
      </c>
      <c r="D108" s="2735"/>
      <c r="E108" s="1388"/>
      <c r="F108" s="3445" t="s">
        <v>2540</v>
      </c>
      <c r="G108" s="3446"/>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39" t="s">
        <v>1633</v>
      </c>
      <c r="B109" s="3540"/>
      <c r="C109" s="3540"/>
      <c r="D109" s="3541"/>
      <c r="E109" s="1388"/>
      <c r="F109" s="3445" t="s">
        <v>2541</v>
      </c>
      <c r="G109" s="3446"/>
      <c r="H109" s="2738" t="str">
        <f>C114</f>
        <v>总额（万元）</v>
      </c>
      <c r="I109" s="52">
        <f>C39</f>
        <v>0</v>
      </c>
      <c r="J109" s="2763"/>
    </row>
    <row r="110" spans="1:36" ht="12.75">
      <c r="A110" s="3443" t="s">
        <v>2544</v>
      </c>
      <c r="B110" s="3444"/>
      <c r="C110" s="2736" t="str">
        <f>B103</f>
        <v>总价（万元）</v>
      </c>
      <c r="D110" s="2737">
        <f ca="1">H125</f>
        <v>1455</v>
      </c>
      <c r="E110" s="1388"/>
      <c r="F110" s="3445" t="s">
        <v>2542</v>
      </c>
      <c r="G110" s="3446"/>
      <c r="H110" s="2738" t="str">
        <f>C115</f>
        <v>总额（万元）</v>
      </c>
      <c r="I110" s="52">
        <f>C40</f>
        <v>0</v>
      </c>
      <c r="J110" s="2763"/>
    </row>
    <row r="111" spans="1:36" ht="12.75">
      <c r="A111" s="3443"/>
      <c r="B111" s="3444"/>
      <c r="C111" s="2736" t="s">
        <v>2545</v>
      </c>
      <c r="D111" s="52">
        <f ca="1">I125</f>
        <v>16162</v>
      </c>
      <c r="E111" s="1388"/>
      <c r="F111" s="3443"/>
      <c r="G111" s="3444"/>
      <c r="H111" s="3505"/>
      <c r="I111" s="3506"/>
      <c r="J111" s="2781"/>
    </row>
    <row r="112" spans="1:36" ht="28.5" customHeight="1">
      <c r="A112" s="3450" t="s">
        <v>2539</v>
      </c>
      <c r="B112" s="3451"/>
      <c r="C112" s="2738" t="str">
        <f>IF(H19="元","总额（元）","总额（万元）")</f>
        <v>总额（万元）</v>
      </c>
      <c r="D112" s="2737">
        <f>IF(D38="正常操作",I108+I109+I110,I109+I110)</f>
        <v>0</v>
      </c>
      <c r="E112" s="1388"/>
      <c r="F112" s="3435" t="str">
        <f>IF(项目基本情况!F5="已注销","——","3.房地产抵押价值")</f>
        <v>3.房地产抵押价值</v>
      </c>
      <c r="G112" s="3436"/>
      <c r="H112" s="1408" t="str">
        <f>C116</f>
        <v>总价（万元）</v>
      </c>
      <c r="I112" s="2737">
        <f ca="1">IF(F112="——","——",I104-I107)</f>
        <v>1455</v>
      </c>
      <c r="J112" s="2779"/>
    </row>
    <row r="113" spans="1:27" ht="12.75">
      <c r="A113" s="3445" t="s">
        <v>2546</v>
      </c>
      <c r="B113" s="3446"/>
      <c r="C113" s="2738" t="str">
        <f>C112</f>
        <v>总额（万元）</v>
      </c>
      <c r="D113" s="52">
        <f>IF(D38="同一抵押权人同一抵押物续贷",C38&amp;"（未扣减，详见特别提示）",C38)</f>
        <v>0</v>
      </c>
      <c r="E113" s="1388"/>
      <c r="F113" s="3534"/>
      <c r="G113" s="3535"/>
      <c r="H113" s="2736" t="s">
        <v>2538</v>
      </c>
      <c r="I113" s="2740">
        <f ca="1">D117</f>
        <v>16162</v>
      </c>
      <c r="J113" s="2782"/>
    </row>
    <row r="114" spans="1:27" ht="12.75">
      <c r="A114" s="3445" t="s">
        <v>2547</v>
      </c>
      <c r="B114" s="3446"/>
      <c r="C114" s="2738" t="str">
        <f>C112</f>
        <v>总额（万元）</v>
      </c>
      <c r="D114" s="52">
        <f>C39</f>
        <v>0</v>
      </c>
      <c r="E114" s="1388"/>
      <c r="F114" s="3435" t="str">
        <f>IF(项目基本情况!F5="已注销及未注销","4.抵押担保权已注销时的房地产抵押价值",IF(项目基本情况!F5="已注销","3.抵押担保权已注销时的房地产抵押价值","——"))</f>
        <v>——</v>
      </c>
      <c r="G114" s="3436"/>
      <c r="H114" s="1408" t="str">
        <f>C118</f>
        <v>总价（万元）</v>
      </c>
      <c r="I114" s="2737" t="str">
        <f>IF(F114="——","——",I104-I109-I110)</f>
        <v>——</v>
      </c>
      <c r="J114" s="2779"/>
    </row>
    <row r="115" spans="1:27" ht="12.75">
      <c r="A115" s="3445" t="s">
        <v>2548</v>
      </c>
      <c r="B115" s="3446"/>
      <c r="C115" s="2738" t="str">
        <f>C112</f>
        <v>总额（万元）</v>
      </c>
      <c r="D115" s="52">
        <f>C40</f>
        <v>0</v>
      </c>
      <c r="E115" s="1388"/>
      <c r="F115" s="3534"/>
      <c r="G115" s="3535"/>
      <c r="H115" s="2736" t="s">
        <v>2538</v>
      </c>
      <c r="I115" s="52" t="str">
        <f>D119</f>
        <v>——</v>
      </c>
      <c r="J115" s="2763"/>
    </row>
    <row r="116" spans="1:27" ht="12.75">
      <c r="A116" s="3443" t="str">
        <f>IF(项目基本情况!F5="已注销","——","3.房地产抵押价值")</f>
        <v>3.房地产抵押价值</v>
      </c>
      <c r="B116" s="3444"/>
      <c r="C116" s="2736" t="str">
        <f>B103</f>
        <v>总价（万元）</v>
      </c>
      <c r="D116" s="2737">
        <f ca="1">IF(A116="——","——",D110-D112)</f>
        <v>1455</v>
      </c>
      <c r="E116" s="1388"/>
      <c r="F116" s="3435" t="str">
        <f>IF(项目基本情况!G5="抵押净值",IF(OR(项目基本情况!F5="已注销",项目基本情况!F5="房地产抵押价值"),"4.抵押净值","5.抵押净值"),"——")</f>
        <v>——</v>
      </c>
      <c r="G116" s="3436"/>
      <c r="H116" s="2736" t="str">
        <f>C120</f>
        <v>总价（万元）</v>
      </c>
      <c r="I116" s="2737" t="str">
        <f>IF(F116="——","——",O61)</f>
        <v>——</v>
      </c>
      <c r="J116" s="2779"/>
    </row>
    <row r="117" spans="1:27" ht="13.5" thickBot="1">
      <c r="A117" s="3443"/>
      <c r="B117" s="3444"/>
      <c r="C117" s="2736" t="s">
        <v>2545</v>
      </c>
      <c r="D117" s="52">
        <f ca="1">ROUND(IF(D116=D110,D111,IF(H19="元",D116/B125,D116*10000/B125)),0)</f>
        <v>16162</v>
      </c>
      <c r="E117" s="1388"/>
      <c r="F117" s="3437"/>
      <c r="G117" s="3438"/>
      <c r="H117" s="2741" t="s">
        <v>2538</v>
      </c>
      <c r="I117" s="2725" t="str">
        <f ca="1">D121</f>
        <v>——</v>
      </c>
      <c r="J117" s="2763"/>
    </row>
    <row r="118" spans="1:27" ht="15.75">
      <c r="A118" s="3443" t="str">
        <f>IF(项目基本情况!F5="已注销及未注销","4.抵押担保权已注销时的房地产抵押价值",IF(项目基本情况!F5="已注销","3.抵押担保权已注销时的房地产抵押价值","——"))</f>
        <v>——</v>
      </c>
      <c r="B118" s="3444"/>
      <c r="C118" s="2736" t="str">
        <f>B103</f>
        <v>总价（万元）</v>
      </c>
      <c r="D118" s="2737" t="str">
        <f>IF(A118="——","——",D110-D114-D115)</f>
        <v>——</v>
      </c>
      <c r="E118" s="1388"/>
      <c r="F118" s="3529"/>
      <c r="G118" s="3529"/>
      <c r="H118" s="3493"/>
      <c r="I118" s="3493"/>
      <c r="J118" s="2783"/>
      <c r="O118" s="32"/>
      <c r="P118" s="32"/>
    </row>
    <row r="119" spans="1:27" s="1235" customFormat="1" ht="12.75">
      <c r="A119" s="3443"/>
      <c r="B119" s="3444"/>
      <c r="C119" s="2736" t="s">
        <v>2545</v>
      </c>
      <c r="D119" s="52" t="str">
        <f>IF(A118="——","——",IF(H19="元",ROUND(D118/B125,0),ROUND(D118*10000/B125,0)))</f>
        <v>——</v>
      </c>
      <c r="E119" s="1388"/>
      <c r="F119" s="3538" t="str">
        <f>IF(B33="总价","（以上估价结果中楼面单价为总价除以建筑面积得出）","（以上估价结果中总价为楼面单价乘以建筑面积得出）")</f>
        <v>（以上估价结果中总价为楼面单价乘以建筑面积得出）</v>
      </c>
      <c r="G119" s="3538"/>
      <c r="H119" s="3538"/>
      <c r="I119" s="3538"/>
      <c r="J119" s="2784"/>
      <c r="K119" s="659"/>
      <c r="L119" s="659"/>
      <c r="M119" s="659"/>
      <c r="N119" s="659"/>
      <c r="O119" s="32"/>
      <c r="P119" s="32"/>
      <c r="Q119" s="659"/>
      <c r="R119" s="659"/>
      <c r="S119" s="659"/>
      <c r="T119" s="659"/>
      <c r="U119" s="659"/>
      <c r="V119" s="659"/>
      <c r="W119" s="659"/>
      <c r="X119" s="659"/>
      <c r="Y119" s="659"/>
      <c r="Z119" s="659"/>
      <c r="AA119" s="659"/>
    </row>
    <row r="120" spans="1:27" s="1235" customFormat="1" ht="12.75">
      <c r="A120" s="3443" t="str">
        <f>IF(项目基本情况!G5="抵押净值",IF(OR(项目基本情况!F5="已注销",项目基本情况!F5="房地产抵押价值"),"4.抵押净值","5.抵押净值"),"——")</f>
        <v>——</v>
      </c>
      <c r="B120" s="3444"/>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5" customFormat="1" ht="13.5" thickBot="1">
      <c r="A121" s="3448"/>
      <c r="B121" s="3449"/>
      <c r="C121" s="2741" t="s">
        <v>2545</v>
      </c>
      <c r="D121" s="2725" t="str">
        <f ca="1">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5" customFormat="1" ht="15">
      <c r="A122" s="3494" t="s">
        <v>1672</v>
      </c>
      <c r="B122" s="3495"/>
      <c r="C122" s="3495"/>
      <c r="D122" s="3495"/>
      <c r="E122" s="3495"/>
      <c r="F122" s="3495"/>
      <c r="G122" s="3495"/>
      <c r="H122" s="3495"/>
      <c r="I122" s="3495"/>
      <c r="J122" s="2785"/>
      <c r="K122" s="659"/>
      <c r="L122" s="659"/>
      <c r="M122" s="659"/>
      <c r="N122" s="659"/>
      <c r="O122" s="659"/>
      <c r="P122" s="659"/>
      <c r="Q122" s="659"/>
      <c r="R122" s="659"/>
      <c r="S122" s="659"/>
      <c r="T122" s="659"/>
      <c r="U122" s="659"/>
      <c r="V122" s="659"/>
      <c r="W122" s="659"/>
      <c r="X122" s="659"/>
      <c r="Y122" s="659"/>
      <c r="Z122" s="659"/>
      <c r="AA122" s="659"/>
    </row>
    <row r="123" spans="1:27" s="1235" customFormat="1" ht="12.75">
      <c r="A123" s="3428" t="s">
        <v>2549</v>
      </c>
      <c r="B123" s="3454" t="s">
        <v>2550</v>
      </c>
      <c r="C123" s="3454" t="s">
        <v>2556</v>
      </c>
      <c r="D123" s="3516" t="s">
        <v>2551</v>
      </c>
      <c r="E123" s="3517"/>
      <c r="F123" s="3429" t="s">
        <v>2557</v>
      </c>
      <c r="G123" s="3429"/>
      <c r="H123" s="3429" t="s">
        <v>2552</v>
      </c>
      <c r="I123" s="3515"/>
      <c r="J123" s="2763"/>
      <c r="K123" s="659"/>
      <c r="L123" s="659"/>
      <c r="M123" s="659"/>
      <c r="N123" s="659"/>
      <c r="O123" s="659"/>
      <c r="P123" s="659"/>
      <c r="Q123" s="659"/>
      <c r="R123" s="659"/>
      <c r="S123" s="659"/>
      <c r="T123" s="659"/>
      <c r="U123" s="659"/>
      <c r="V123" s="659"/>
      <c r="W123" s="659"/>
      <c r="X123" s="659"/>
      <c r="Y123" s="659"/>
      <c r="Z123" s="659"/>
      <c r="AA123" s="659"/>
    </row>
    <row r="124" spans="1:27" s="1235" customFormat="1" ht="12.75">
      <c r="A124" s="3428"/>
      <c r="B124" s="3455"/>
      <c r="C124" s="3455"/>
      <c r="D124" s="2019" t="s">
        <v>2553</v>
      </c>
      <c r="E124" s="2019" t="s">
        <v>2558</v>
      </c>
      <c r="F124" s="2019" t="s">
        <v>2553</v>
      </c>
      <c r="G124" s="2019" t="s">
        <v>2554</v>
      </c>
      <c r="H124" s="2019" t="s">
        <v>2553</v>
      </c>
      <c r="I124" s="52" t="s">
        <v>2554</v>
      </c>
      <c r="J124" s="2763"/>
      <c r="K124" s="659"/>
      <c r="L124" s="659"/>
      <c r="M124" s="659"/>
      <c r="N124" s="659"/>
      <c r="O124" s="659"/>
      <c r="P124" s="659"/>
      <c r="Q124" s="659"/>
      <c r="R124" s="659"/>
      <c r="S124" s="659"/>
      <c r="T124" s="659"/>
      <c r="U124" s="659"/>
      <c r="V124" s="659"/>
      <c r="W124" s="659"/>
      <c r="X124" s="659"/>
      <c r="Y124" s="659"/>
      <c r="Z124" s="659"/>
      <c r="AA124" s="659"/>
    </row>
    <row r="125" spans="1:27" s="1235" customFormat="1" ht="12.75">
      <c r="A125" s="2009" t="str">
        <f>项目基本情况!I1</f>
        <v>北京市房地产</v>
      </c>
      <c r="B125" s="2019">
        <f>典型户型修正!B25</f>
        <v>900.27</v>
      </c>
      <c r="C125" s="1383"/>
      <c r="D125" s="2019">
        <f>C36</f>
        <v>0</v>
      </c>
      <c r="E125" s="2019">
        <f>ROUND(IF(H19="元",D125/B125,D125*10000/B125),0)</f>
        <v>0</v>
      </c>
      <c r="F125" s="2019">
        <f>C37</f>
        <v>0</v>
      </c>
      <c r="G125" s="2019">
        <f>ROUND(IF(H19="元",F125/B125,F125*10000/B125),0)</f>
        <v>0</v>
      </c>
      <c r="H125" s="2019">
        <f ca="1">C34</f>
        <v>1455</v>
      </c>
      <c r="I125" s="52">
        <f ca="1">C35</f>
        <v>16162</v>
      </c>
      <c r="J125" s="2763"/>
      <c r="K125" s="659"/>
      <c r="L125" s="659"/>
      <c r="M125" s="659"/>
      <c r="N125" s="659"/>
      <c r="O125" s="659"/>
      <c r="P125" s="659"/>
      <c r="Q125" s="659"/>
      <c r="R125" s="659"/>
      <c r="S125" s="659"/>
      <c r="T125" s="659"/>
      <c r="U125" s="659"/>
      <c r="V125" s="659"/>
      <c r="W125" s="659"/>
      <c r="X125" s="659"/>
      <c r="Y125" s="659"/>
      <c r="Z125" s="659"/>
      <c r="AA125" s="659"/>
    </row>
    <row r="126" spans="1:27" s="1235" customFormat="1" ht="12.75">
      <c r="A126" s="3428" t="s">
        <v>2555</v>
      </c>
      <c r="B126" s="3429"/>
      <c r="C126" s="3429"/>
      <c r="D126" s="3456" t="str">
        <f>IF(H19="元",NUMBERSTRING(INT(D125),2)&amp;"元整",NUMBERSTRING(INT(D125*10000),2)&amp;"元整")</f>
        <v>零元整</v>
      </c>
      <c r="E126" s="3499"/>
      <c r="F126" s="3456" t="str">
        <f>IF(H19="元",NUMBERSTRING(INT(F125),2)&amp;"元整",NUMBERSTRING(INT(F125*10000),2)&amp;"元整")</f>
        <v>零元整</v>
      </c>
      <c r="G126" s="3499"/>
      <c r="H126" s="3456" t="str">
        <f ca="1">IF(H19="元",NUMBERSTRING(INT(H125),2)&amp;"元整",NUMBERSTRING(INT(H125*10000),2)&amp;"元整")</f>
        <v>壹仟肆佰伍拾伍万元整</v>
      </c>
      <c r="I126" s="3457"/>
      <c r="J126" s="2786"/>
      <c r="K126" s="659"/>
      <c r="L126" s="659"/>
      <c r="M126" s="659"/>
      <c r="N126" s="659"/>
      <c r="O126" s="659"/>
      <c r="P126" s="659"/>
      <c r="Q126" s="659"/>
      <c r="R126" s="659"/>
      <c r="S126" s="659"/>
      <c r="T126" s="659"/>
      <c r="U126" s="659"/>
      <c r="V126" s="659"/>
      <c r="W126" s="659"/>
      <c r="X126" s="659"/>
      <c r="Y126" s="659"/>
      <c r="Z126" s="659"/>
      <c r="AA126" s="659"/>
    </row>
    <row r="127" spans="1:27" s="1235" customFormat="1" ht="12.75">
      <c r="A127" s="3433" t="str">
        <f>IF(项目基本情况!D5="房地产市场价值","——",MID(A112,3,LEN(A112)-2))</f>
        <v>估价师所知悉的法定优先受偿款</v>
      </c>
      <c r="B127" s="3439"/>
      <c r="C127" s="3434"/>
      <c r="D127" s="3431">
        <f>I107</f>
        <v>0</v>
      </c>
      <c r="E127" s="3439"/>
      <c r="F127" s="3439"/>
      <c r="G127" s="3439"/>
      <c r="H127" s="3439"/>
      <c r="I127" s="3432"/>
      <c r="J127" s="2779"/>
      <c r="K127" s="659"/>
      <c r="L127" s="659"/>
      <c r="M127" s="659"/>
      <c r="N127" s="659"/>
      <c r="O127" s="659"/>
      <c r="P127" s="659"/>
      <c r="Q127" s="659"/>
      <c r="R127" s="659"/>
      <c r="S127" s="659"/>
      <c r="T127" s="659"/>
      <c r="U127" s="659"/>
      <c r="V127" s="659"/>
      <c r="W127" s="659"/>
      <c r="X127" s="659"/>
      <c r="Y127" s="659"/>
      <c r="Z127" s="659"/>
      <c r="AA127" s="659"/>
    </row>
    <row r="128" spans="1:27" s="1235" customFormat="1" ht="12.75">
      <c r="A128" s="3500" t="s">
        <v>2555</v>
      </c>
      <c r="B128" s="3468"/>
      <c r="C128" s="3469"/>
      <c r="D128" s="3440">
        <f>H111</f>
        <v>0</v>
      </c>
      <c r="E128" s="3441"/>
      <c r="F128" s="3441"/>
      <c r="G128" s="3441"/>
      <c r="H128" s="3441"/>
      <c r="I128" s="3442"/>
      <c r="J128" s="2787"/>
      <c r="K128" s="659"/>
      <c r="L128" s="659"/>
      <c r="M128" s="659"/>
      <c r="N128" s="659"/>
      <c r="O128" s="659"/>
      <c r="P128" s="659"/>
      <c r="Q128" s="659"/>
      <c r="R128" s="659"/>
      <c r="S128" s="659"/>
      <c r="T128" s="659"/>
      <c r="U128" s="659"/>
      <c r="V128" s="659"/>
      <c r="W128" s="659"/>
      <c r="X128" s="659"/>
      <c r="Y128" s="659"/>
      <c r="Z128" s="659"/>
      <c r="AA128" s="659"/>
    </row>
    <row r="129" spans="1:27" s="1235" customFormat="1" ht="12.75">
      <c r="A129" s="3443" t="str">
        <f>IF(项目基本情况!D5="房地产市场价值","——",MID(A116,3,LEN(A116)-2))</f>
        <v>房地产抵押价值</v>
      </c>
      <c r="B129" s="3444"/>
      <c r="C129" s="3444"/>
      <c r="D129" s="3431">
        <f ca="1">I112</f>
        <v>1455</v>
      </c>
      <c r="E129" s="3439"/>
      <c r="F129" s="3439"/>
      <c r="G129" s="3439"/>
      <c r="H129" s="3439"/>
      <c r="I129" s="3432"/>
      <c r="J129" s="2779"/>
      <c r="K129" s="659"/>
      <c r="L129" s="659"/>
      <c r="M129" s="659"/>
      <c r="N129" s="659"/>
      <c r="O129" s="659"/>
      <c r="P129" s="659"/>
      <c r="Q129" s="659"/>
      <c r="R129" s="659"/>
      <c r="S129" s="659"/>
      <c r="T129" s="659"/>
      <c r="U129" s="659"/>
      <c r="V129" s="659"/>
      <c r="W129" s="659"/>
      <c r="X129" s="659"/>
      <c r="Y129" s="659"/>
      <c r="Z129" s="659"/>
      <c r="AA129" s="659"/>
    </row>
    <row r="130" spans="1:27" s="1235" customFormat="1" ht="12.75">
      <c r="A130" s="3428" t="s">
        <v>2555</v>
      </c>
      <c r="B130" s="3429"/>
      <c r="C130" s="3429"/>
      <c r="D130" s="3440">
        <f ca="1">I113</f>
        <v>16162</v>
      </c>
      <c r="E130" s="3441"/>
      <c r="F130" s="3441"/>
      <c r="G130" s="3441"/>
      <c r="H130" s="3441"/>
      <c r="I130" s="3442"/>
      <c r="J130" s="2787"/>
      <c r="K130" s="659"/>
      <c r="L130" s="659"/>
      <c r="M130" s="659"/>
      <c r="N130" s="659"/>
      <c r="O130" s="659"/>
      <c r="P130" s="659"/>
      <c r="Q130" s="659"/>
      <c r="R130" s="659"/>
      <c r="S130" s="659"/>
      <c r="T130" s="659"/>
      <c r="U130" s="659"/>
      <c r="V130" s="659"/>
      <c r="W130" s="659"/>
      <c r="X130" s="659"/>
      <c r="Y130" s="659"/>
      <c r="Z130" s="659"/>
      <c r="AA130" s="659"/>
    </row>
    <row r="131" spans="1:27" s="1235" customFormat="1" ht="13.5" thickBot="1">
      <c r="A131" s="3443" t="str">
        <f>IF(项目基本情况!D5="房地产市场价值","——",MID(A118,3,LEN(A118)-2))</f>
        <v/>
      </c>
      <c r="B131" s="3444"/>
      <c r="C131" s="3444"/>
      <c r="D131" s="3476" t="str">
        <f>I114</f>
        <v>——</v>
      </c>
      <c r="E131" s="3477"/>
      <c r="F131" s="3477"/>
      <c r="G131" s="3477"/>
      <c r="H131" s="3477"/>
      <c r="I131" s="3528"/>
      <c r="J131" s="2779"/>
      <c r="K131" s="659"/>
      <c r="L131" s="659"/>
      <c r="M131" s="659"/>
      <c r="N131" s="659"/>
      <c r="O131" s="659"/>
      <c r="P131" s="659"/>
      <c r="Q131" s="659"/>
      <c r="R131" s="659"/>
      <c r="S131" s="659"/>
      <c r="T131" s="659"/>
      <c r="U131" s="659"/>
      <c r="V131" s="659"/>
      <c r="W131" s="659"/>
      <c r="X131" s="659"/>
      <c r="Y131" s="659"/>
      <c r="Z131" s="659"/>
      <c r="AA131" s="659"/>
    </row>
    <row r="132" spans="1:27" s="1235" customFormat="1" ht="14.25" thickTop="1" thickBot="1">
      <c r="A132" s="3428" t="s">
        <v>2555</v>
      </c>
      <c r="B132" s="3429"/>
      <c r="C132" s="3430"/>
      <c r="D132" s="3492" t="str">
        <f>I115</f>
        <v>——</v>
      </c>
      <c r="E132" s="3492"/>
      <c r="F132" s="3492"/>
      <c r="G132" s="3492"/>
      <c r="H132" s="3492"/>
      <c r="I132" s="3492"/>
      <c r="J132" s="2787"/>
      <c r="K132" s="659"/>
      <c r="L132" s="659"/>
      <c r="M132" s="659"/>
      <c r="N132" s="659"/>
      <c r="O132" s="659"/>
      <c r="P132" s="659"/>
      <c r="Q132" s="659"/>
      <c r="R132" s="659"/>
      <c r="S132" s="659"/>
      <c r="T132" s="659"/>
      <c r="U132" s="659"/>
      <c r="V132" s="659"/>
      <c r="W132" s="659"/>
      <c r="X132" s="659"/>
      <c r="Y132" s="659"/>
      <c r="Z132" s="659"/>
      <c r="AA132" s="659"/>
    </row>
    <row r="133" spans="1:27" s="1235" customFormat="1" ht="14.25" thickTop="1" thickBot="1">
      <c r="A133" s="3443" t="str">
        <f>IF(项目基本情况!D5="房地产市场价值","——",MID(F116,3,LEN(F116)-2))</f>
        <v/>
      </c>
      <c r="B133" s="3444"/>
      <c r="C133" s="3431"/>
      <c r="D133" s="3447" t="str">
        <f>I116</f>
        <v>——</v>
      </c>
      <c r="E133" s="3447"/>
      <c r="F133" s="3447"/>
      <c r="G133" s="3447"/>
      <c r="H133" s="3447"/>
      <c r="I133" s="3447"/>
      <c r="J133" s="2779"/>
      <c r="K133" s="659"/>
      <c r="L133" s="659"/>
      <c r="M133" s="659"/>
      <c r="N133" s="659"/>
      <c r="O133" s="659"/>
      <c r="P133" s="659"/>
      <c r="Q133" s="659"/>
      <c r="R133" s="659"/>
      <c r="S133" s="659"/>
      <c r="T133" s="659"/>
      <c r="U133" s="659"/>
      <c r="V133" s="659"/>
      <c r="W133" s="659"/>
      <c r="X133" s="659"/>
      <c r="Y133" s="659"/>
      <c r="Z133" s="659"/>
      <c r="AA133" s="659"/>
    </row>
    <row r="134" spans="1:27" s="1235" customFormat="1" ht="14.25" thickTop="1" thickBot="1">
      <c r="A134" s="3452" t="s">
        <v>2555</v>
      </c>
      <c r="B134" s="3453"/>
      <c r="C134" s="3453"/>
      <c r="D134" s="3458">
        <f>H118</f>
        <v>0</v>
      </c>
      <c r="E134" s="3459"/>
      <c r="F134" s="3459"/>
      <c r="G134" s="3459"/>
      <c r="H134" s="3459"/>
      <c r="I134" s="3460"/>
      <c r="J134" s="2787"/>
      <c r="K134" s="659"/>
      <c r="L134" s="659"/>
      <c r="M134" s="659"/>
      <c r="N134" s="659"/>
      <c r="O134" s="659"/>
      <c r="P134" s="659"/>
      <c r="Q134" s="659"/>
      <c r="R134" s="659"/>
      <c r="S134" s="659"/>
      <c r="T134" s="659"/>
      <c r="U134" s="659"/>
      <c r="V134" s="659"/>
      <c r="W134" s="659"/>
      <c r="X134" s="659"/>
      <c r="Y134" s="659"/>
      <c r="Z134" s="659"/>
      <c r="AA134" s="659"/>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5" customFormat="1" ht="13.5" thickBot="1">
      <c r="A136" s="3426" t="str">
        <f>IF(B33="总价","（以上估价结果中楼面单价为总价除以建筑面积得出）","（以上估价结果中总价为楼面单价乘以建筑面积得出）")</f>
        <v>（以上估价结果中总价为楼面单价乘以建筑面积得出）</v>
      </c>
      <c r="B136" s="3426"/>
      <c r="C136" s="3426"/>
      <c r="D136" s="3426"/>
      <c r="E136" s="3426"/>
      <c r="F136" s="3426"/>
      <c r="G136" s="3426"/>
      <c r="H136" s="3426"/>
      <c r="I136" s="3426"/>
      <c r="J136" s="2781"/>
      <c r="K136" s="659"/>
      <c r="L136" s="659"/>
      <c r="M136" s="659"/>
      <c r="N136" s="659"/>
      <c r="O136" s="659"/>
      <c r="P136" s="659"/>
      <c r="Q136" s="659"/>
      <c r="R136" s="659"/>
      <c r="S136" s="659"/>
      <c r="T136" s="659"/>
      <c r="U136" s="659"/>
      <c r="V136" s="659"/>
      <c r="W136" s="659"/>
      <c r="X136" s="659"/>
      <c r="Y136" s="659"/>
      <c r="Z136" s="659"/>
      <c r="AA136" s="659"/>
    </row>
    <row r="137" spans="1:27" s="1235"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5"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5"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5"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5"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5"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5"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5"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5"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5"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5"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5"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5"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5"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5"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5"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5"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5"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5"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5"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5"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5"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5"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5"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5"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5"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5"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5"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5"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5"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5"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5"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5"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5"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5"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5"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5"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5"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5"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5"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5"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5"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5"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5"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5"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5"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5"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5"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5"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5"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5"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5"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5"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5"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5"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5"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5"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5"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5"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5"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5"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5"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5"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5"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5"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5"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5"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5"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5"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5"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5"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5"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5"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5"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5"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5"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5"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5"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5"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5"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5"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5"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5"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5"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5"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5"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5"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5"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5"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5"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5"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5"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5"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5"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5"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5"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5"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5"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5"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5"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5"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5"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5"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5"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5"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5"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5"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5"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5"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5"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5"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5"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5"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5"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5"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5"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5"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5"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5"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5"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5"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5"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5"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5"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5"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5"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5"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5"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5"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5"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5"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5"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5"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5"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5"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5"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5"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5"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5"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5"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5"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5"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5"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5"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5"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5"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5"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5"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5"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5"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5"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5"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B1" zoomScale="80" zoomScaleNormal="80" zoomScaleSheetLayoutView="80" workbookViewId="0">
      <selection activeCell="I7" sqref="I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3146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IF(D2="——",IF(C2="元",C52,ROUND(C52/10000,0)),IF(C2="元",C52,ROUND(C52/10000,0))-E2)</f>
        <v>189</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ROUND(C52/IF(B1="仅计算典型户型",'数据-取费表'!E5,'数据-取费表'!B5),0)</f>
        <v>16817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772446</v>
      </c>
      <c r="D5" s="111" t="s">
        <v>1680</v>
      </c>
      <c r="E5" s="1094" t="s">
        <v>1681</v>
      </c>
      <c r="F5" s="1094"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3">
        <f>ROUND(D10*I6,0)</f>
        <v>727773</v>
      </c>
      <c r="D6" s="1095"/>
      <c r="E6" s="1096"/>
      <c r="F6" s="1096"/>
      <c r="G6" s="95"/>
      <c r="H6" s="96"/>
      <c r="I6" s="96">
        <f>[3]基准地价修正!$C$33</f>
        <v>6476</v>
      </c>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22197</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22476</v>
      </c>
      <c r="D8" s="1098"/>
      <c r="E8" s="115"/>
      <c r="F8" s="1097"/>
      <c r="G8" s="1445" t="s">
        <v>3040</v>
      </c>
    </row>
    <row r="9" spans="1:123" s="91" customFormat="1" ht="13.5" customHeight="1">
      <c r="A9" s="951" t="s">
        <v>763</v>
      </c>
      <c r="B9" s="97" t="s">
        <v>1689</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099">
        <f>ROUND(D10*E10,0)</f>
        <v>22476</v>
      </c>
      <c r="D10" s="1100">
        <f>IF('数据-取费表'!B10&lt;&gt;"住宅",IF(B1="仅计算典型户型",'数据-取费表'!E5,'数据-取费表'!B5),0)</f>
        <v>112.38</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6"/>
      <c r="F14" s="1096"/>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6"/>
      <c r="F15" s="1096"/>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2"/>
      <c r="D17" s="1102"/>
      <c r="E17" s="1102"/>
      <c r="F17" s="1102"/>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6"/>
      <c r="F18" s="1097">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3">
        <f>IF(B1="仅计算典型户型",'数据-取费表'!E5,'数据-取费表'!B5)</f>
        <v>112.38</v>
      </c>
      <c r="E19" s="111">
        <f>'数据-取费表'!E15</f>
        <v>200</v>
      </c>
      <c r="F19" s="112"/>
      <c r="G19" s="1445" t="s">
        <v>3041</v>
      </c>
    </row>
    <row r="20" spans="1:123" s="91" customFormat="1" ht="13.5" customHeight="1">
      <c r="A20" s="120" t="s">
        <v>1702</v>
      </c>
      <c r="B20" s="89" t="s">
        <v>1703</v>
      </c>
      <c r="C20" s="99">
        <f>ROUND((C5+C19)*F20,0)</f>
        <v>23173</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ROUND(SUM(C23:C25),0)</f>
        <v>66405</v>
      </c>
      <c r="D22" s="101">
        <f>C26</f>
        <v>1.1999999999999999E-3</v>
      </c>
      <c r="E22" s="102" t="s">
        <v>1707</v>
      </c>
      <c r="F22" s="103">
        <f>'数据-取费表'!E27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3">
        <f>ROUND(IF('数据-取费表'!B24&lt;=1,C5*F22*'数据-取费表'!B25,C5*(POWER((1+F22),'数据-取费表'!B25)-1)),0)</f>
        <v>65443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3">
        <f>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3">
        <f>ROUND(IF('数据-取费表'!B24&lt;=1,C20*F22*'数据-取费表'!B25/2,C20*(POWER((1+F22),'数据-取费表'!B25/2)-1)),0)</f>
        <v>962</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198905</v>
      </c>
      <c r="D27" s="101">
        <f>C29</f>
        <v>7.4999999999999997E-3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198905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ROUND((C5+C19+C20+C22+C27)/(1-C21-D22-D27-C30),0)</f>
        <v>1167267</v>
      </c>
      <c r="D31" s="1103"/>
      <c r="E31" s="111"/>
      <c r="F31" s="1104"/>
      <c r="G31" s="100" t="s">
        <v>1729</v>
      </c>
    </row>
    <row r="32" spans="1:123" s="88" customFormat="1" ht="15.75">
      <c r="A32" s="117" t="s">
        <v>1730</v>
      </c>
      <c r="B32" s="118"/>
      <c r="C32" s="1105"/>
      <c r="D32" s="1105"/>
      <c r="E32" s="1105"/>
      <c r="F32" s="1105"/>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561058</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505710</v>
      </c>
      <c r="D34" s="1095"/>
      <c r="E34" s="115"/>
      <c r="F34" s="1106" t="str">
        <f>IF('数据-取费表'!B26=0,"",'数据-取费表'!E20)</f>
        <v/>
      </c>
      <c r="G34" s="95"/>
    </row>
    <row r="35" spans="1:123" ht="13.5" customHeight="1">
      <c r="A35" s="92" t="s">
        <v>1685</v>
      </c>
      <c r="B35" s="93" t="s">
        <v>1734</v>
      </c>
      <c r="C35" s="115">
        <f>ROUND(C34*F35,0)</f>
        <v>25286</v>
      </c>
      <c r="D35" s="115"/>
      <c r="E35" s="115"/>
      <c r="F35" s="1107">
        <f>'数据-取费表'!E21</f>
        <v>0.05</v>
      </c>
      <c r="G35" s="95" t="s">
        <v>1735</v>
      </c>
    </row>
    <row r="36" spans="1:123" ht="24">
      <c r="A36" s="92" t="s">
        <v>1687</v>
      </c>
      <c r="B36" s="93" t="s">
        <v>1736</v>
      </c>
      <c r="C36" s="115">
        <f>ROUND(IF('数据-取费表'!B10="住宅",C34*F36,0),0)</f>
        <v>0</v>
      </c>
      <c r="D36" s="115"/>
      <c r="E36" s="115"/>
      <c r="F36" s="1107">
        <f>'数据-取费表'!E22</f>
        <v>0.05</v>
      </c>
      <c r="G36" s="123" t="s">
        <v>1737</v>
      </c>
    </row>
    <row r="37" spans="1:123" s="122" customFormat="1" ht="13.5" customHeight="1">
      <c r="A37" s="92" t="s">
        <v>1718</v>
      </c>
      <c r="B37" s="93" t="s">
        <v>1738</v>
      </c>
      <c r="C37" s="115">
        <f>ROUND(E37*D37,0)</f>
        <v>22476</v>
      </c>
      <c r="D37" s="1095">
        <f>IF(B1="仅计算典型户型",'数据-取费表'!E5,'数据-取费表'!B5)</f>
        <v>112.38</v>
      </c>
      <c r="E37" s="115">
        <f>'数据-取费表'!E23</f>
        <v>200</v>
      </c>
      <c r="F37" s="1107"/>
      <c r="G37" s="124" t="s">
        <v>1739</v>
      </c>
    </row>
    <row r="38" spans="1:123" ht="13.5" customHeight="1">
      <c r="A38" s="92" t="s">
        <v>1740</v>
      </c>
      <c r="B38" s="93" t="s">
        <v>1741</v>
      </c>
      <c r="C38" s="115">
        <f>ROUND(C34*F38,0)</f>
        <v>7586</v>
      </c>
      <c r="D38" s="115"/>
      <c r="E38" s="115"/>
      <c r="F38" s="1107">
        <f>'数据-取费表'!E24</f>
        <v>1.4999999999999999E-2</v>
      </c>
      <c r="G38" s="95" t="s">
        <v>1735</v>
      </c>
    </row>
    <row r="39" spans="1:123" s="91" customFormat="1" ht="13.5" customHeight="1">
      <c r="A39" s="120" t="s">
        <v>1700</v>
      </c>
      <c r="B39" s="89" t="s">
        <v>1703</v>
      </c>
      <c r="C39" s="99">
        <f>ROUND(C33*F20,0)</f>
        <v>16832</v>
      </c>
      <c r="D39" s="99"/>
      <c r="E39" s="99"/>
      <c r="F39" s="2805">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0">
        <f>F21</f>
        <v>0.03</v>
      </c>
      <c r="D40" s="102" t="s">
        <v>1743</v>
      </c>
      <c r="E40" s="99"/>
      <c r="F40" s="2805">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ROUND(SUM(C42:C43),0)</f>
        <v>23983</v>
      </c>
      <c r="D41" s="101">
        <f>C44</f>
        <v>1.1999999999999999E-3</v>
      </c>
      <c r="E41" s="102" t="s">
        <v>1743</v>
      </c>
      <c r="F41" s="2805">
        <f>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ROUND(IF('数据-取费表'!B24&lt;=1,C33*F22*'数据-取费表'!B23/2,C33*(POWER((1+F22),'数据-取费表'!B23/2)-1)),0)</f>
        <v>23284</v>
      </c>
      <c r="D42" s="104"/>
      <c r="E42" s="104"/>
      <c r="F42" s="105"/>
      <c r="G42" s="3565" t="s">
        <v>1745</v>
      </c>
    </row>
    <row r="43" spans="1:123" ht="13.5" customHeight="1">
      <c r="A43" s="92" t="s">
        <v>1685</v>
      </c>
      <c r="B43" s="93" t="s">
        <v>1714</v>
      </c>
      <c r="C43" s="104">
        <f>ROUND(IF('数据-取费表'!B24&lt;=1,C39*F22*'数据-取费表'!B23/2,C39*(POWER((1+F22),'数据-取费表'!B23/2)-1)),0)</f>
        <v>699</v>
      </c>
      <c r="D43" s="104"/>
      <c r="E43" s="104"/>
      <c r="F43" s="105"/>
      <c r="G43" s="3566"/>
    </row>
    <row r="44" spans="1:123" ht="13.5" customHeight="1">
      <c r="A44" s="92" t="s">
        <v>1687</v>
      </c>
      <c r="B44" s="93" t="s">
        <v>1716</v>
      </c>
      <c r="C44" s="104">
        <f>ROUND(IF('数据-取费表'!B24&lt;=1,C40*F22*'数据-取费表'!B23/2,C40*(POWER((1+F22),'数据-取费表'!B23/2)-1)),4)</f>
        <v>1.1999999999999999E-3</v>
      </c>
      <c r="D44" s="104"/>
      <c r="E44" s="104"/>
      <c r="F44" s="105"/>
      <c r="G44" s="3567"/>
    </row>
    <row r="45" spans="1:123" s="91" customFormat="1" ht="13.5" customHeight="1">
      <c r="A45" s="120" t="s">
        <v>1709</v>
      </c>
      <c r="B45" s="110" t="s">
        <v>1721</v>
      </c>
      <c r="C45" s="111">
        <f>C46</f>
        <v>144473</v>
      </c>
      <c r="D45" s="101">
        <f>C47</f>
        <v>7.4999999999999997E-3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144473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0">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ROUND((C33+C39+C41+C45)/(1-C40-D41-D45-C48),0)</f>
        <v>821153</v>
      </c>
      <c r="D49" s="99"/>
      <c r="E49" s="99"/>
      <c r="F49" s="126"/>
      <c r="G49" s="100" t="s">
        <v>1753</v>
      </c>
    </row>
    <row r="50" spans="1:123" s="122" customFormat="1" ht="24">
      <c r="A50" s="952" t="s">
        <v>1754</v>
      </c>
      <c r="B50" s="89" t="s">
        <v>1755</v>
      </c>
      <c r="C50" s="99"/>
      <c r="D50" s="99"/>
      <c r="E50" s="99"/>
      <c r="F50" s="126">
        <f>IF('数据-取费表'!B26=0,'数据-取费表'!E20,1)</f>
        <v>0.88</v>
      </c>
      <c r="G50" s="113" t="s">
        <v>1756</v>
      </c>
    </row>
    <row r="51" spans="1:123" ht="16.5" customHeight="1">
      <c r="A51" s="952" t="s">
        <v>1757</v>
      </c>
      <c r="B51" s="89" t="s">
        <v>1758</v>
      </c>
      <c r="C51" s="99">
        <f>ROUND(C49*F50,0)</f>
        <v>722615</v>
      </c>
      <c r="D51" s="99"/>
      <c r="E51" s="99"/>
      <c r="F51" s="126"/>
      <c r="G51" s="100" t="s">
        <v>1759</v>
      </c>
    </row>
    <row r="52" spans="1:123" s="88" customFormat="1" ht="16.5" thickBot="1">
      <c r="A52" s="127" t="s">
        <v>1760</v>
      </c>
      <c r="B52" s="128"/>
      <c r="C52" s="129">
        <f>C31+C51</f>
        <v>1889882</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ROUND(C51/C52,3)</f>
        <v>0.38200000000000001</v>
      </c>
    </row>
    <row r="57" spans="1:123">
      <c r="B57" s="135" t="s">
        <v>1763</v>
      </c>
      <c r="C57" s="137">
        <f>1-C56</f>
        <v>0.61799999999999999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2"/>
      <c r="E1" s="882"/>
      <c r="F1" s="882"/>
      <c r="G1" s="882"/>
      <c r="H1" s="882"/>
      <c r="I1" s="882"/>
      <c r="J1" s="882"/>
      <c r="K1" s="882"/>
    </row>
    <row r="2" spans="1:33" s="139" customFormat="1" ht="18" customHeight="1">
      <c r="A2" s="81" t="s">
        <v>1048</v>
      </c>
      <c r="B2" s="84">
        <f>IF(C2="元",C32,ROUND(C32/10000,0))</f>
        <v>234</v>
      </c>
      <c r="C2" s="1328" t="str">
        <f>'数据-取费表'!B3</f>
        <v>万元</v>
      </c>
      <c r="D2" s="882"/>
      <c r="E2" s="882"/>
      <c r="F2" s="882"/>
      <c r="G2" s="882"/>
      <c r="H2" s="882"/>
      <c r="I2" s="882"/>
      <c r="J2" s="882"/>
      <c r="K2" s="882"/>
    </row>
    <row r="3" spans="1:33" s="139" customFormat="1" ht="18" customHeight="1" thickBot="1">
      <c r="A3" s="83" t="s">
        <v>1049</v>
      </c>
      <c r="B3" s="84">
        <f>ROUND(C32/IF(C1="仅计算典型户型",'数据-取费表'!E5,'数据-取费表'!B5),0)</f>
        <v>20841</v>
      </c>
      <c r="C3" s="1328" t="s">
        <v>1050</v>
      </c>
      <c r="D3" s="882"/>
      <c r="E3" s="882"/>
      <c r="F3" s="882"/>
      <c r="G3" s="882"/>
      <c r="H3" s="882"/>
      <c r="I3" s="882"/>
      <c r="J3" s="882"/>
      <c r="K3" s="882"/>
    </row>
    <row r="4" spans="1:33" s="143" customFormat="1" ht="16.5" customHeight="1">
      <c r="A4" s="140" t="s">
        <v>1051</v>
      </c>
      <c r="B4" s="141"/>
      <c r="C4" s="1051">
        <f>SUM(C8:K8)</f>
        <v>3933300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8"/>
      <c r="E6" s="1048"/>
      <c r="F6" s="1048"/>
      <c r="G6" s="1048"/>
      <c r="H6" s="1048"/>
      <c r="I6" s="1048"/>
      <c r="J6" s="1048"/>
      <c r="K6" s="1049"/>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112.38</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29" t="s">
        <v>1058</v>
      </c>
      <c r="B8" s="147" t="s">
        <v>1059</v>
      </c>
      <c r="C8" s="610">
        <f>C6*C7</f>
        <v>3933300</v>
      </c>
      <c r="D8" s="1050"/>
      <c r="E8" s="1050"/>
      <c r="F8" s="1048"/>
      <c r="G8" s="1048"/>
      <c r="H8" s="1048"/>
      <c r="I8" s="1048"/>
      <c r="J8" s="1048"/>
      <c r="K8" s="1049"/>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505710</v>
      </c>
      <c r="D11" s="164"/>
      <c r="E11" s="34"/>
      <c r="F11" s="165">
        <f>1-'数据-取费表'!E20</f>
        <v>0.12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25286</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2697</v>
      </c>
      <c r="D14" s="164">
        <f>IF(C1="仅计算典型户型",'数据-取费表'!E5,'数据-取费表'!B5)</f>
        <v>112.38</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7586</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541279</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112.38</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22476</v>
      </c>
      <c r="D20" s="164">
        <f>IF('数据-取费表'!B10&lt;&gt;"住宅",IF(C1="仅计算典型户型",'数据-取费表'!E5,'数据-取费表'!B5),0)</f>
        <v>112.38</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541279</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16238</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14160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C27</f>
        <v>0</v>
      </c>
      <c r="D25" s="183">
        <f>C26</f>
        <v>0</v>
      </c>
      <c r="E25" s="189" t="s">
        <v>12</v>
      </c>
      <c r="F25" s="190">
        <f>'数据-取费表'!E27</f>
        <v>4.1499999999999995E-2</v>
      </c>
      <c r="G25" s="147" t="s">
        <v>1095</v>
      </c>
      <c r="H25" s="186"/>
      <c r="I25" s="186"/>
      <c r="J25" s="186"/>
      <c r="K25" s="187"/>
    </row>
    <row r="26" spans="1:33" s="196" customFormat="1" ht="13.5" customHeight="1">
      <c r="A26" s="954" t="s">
        <v>1096</v>
      </c>
      <c r="B26" s="191" t="s">
        <v>1097</v>
      </c>
      <c r="C26" s="192">
        <f>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142919</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142919</v>
      </c>
      <c r="D30" s="193"/>
      <c r="E30" s="206"/>
      <c r="F30" s="203"/>
      <c r="G30" s="147"/>
      <c r="H30" s="170"/>
      <c r="I30" s="170"/>
      <c r="J30" s="170"/>
      <c r="K30" s="171"/>
    </row>
    <row r="31" spans="1:33" s="182" customFormat="1" ht="13.5" customHeight="1" thickBot="1">
      <c r="A31" s="1330" t="s">
        <v>1107</v>
      </c>
      <c r="B31" s="177" t="s">
        <v>1108</v>
      </c>
      <c r="C31" s="207">
        <f>ROUND(C4*F31/(1+'数据-取费表'!F30),0)</f>
        <v>206030</v>
      </c>
      <c r="D31" s="152"/>
      <c r="E31" s="208"/>
      <c r="F31" s="209">
        <f>'数据-取费表'!E29</f>
        <v>5.5000000000000007E-2</v>
      </c>
      <c r="G31" s="210" t="s">
        <v>1109</v>
      </c>
      <c r="H31" s="211"/>
      <c r="I31" s="211"/>
      <c r="J31" s="211"/>
      <c r="K31" s="212"/>
    </row>
    <row r="32" spans="1:33" s="161" customFormat="1" ht="13.5" customHeight="1" thickBot="1">
      <c r="A32" s="213" t="s">
        <v>1110</v>
      </c>
      <c r="B32" s="214"/>
      <c r="C32" s="215">
        <f>ROUND((C4-C21-C22-C23-C25-C28-C31)/(1+C24+D25+D28),0)</f>
        <v>2342124</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A45" sqref="A4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3146</v>
      </c>
      <c r="E1" s="1553" t="s">
        <v>1001</v>
      </c>
      <c r="F1" s="1554"/>
      <c r="G1" s="1555" t="e">
        <f>MATCH(C1,'数据-取费表'!A19:A19,0)+5</f>
        <v>#N/A</v>
      </c>
      <c r="H1" s="2904"/>
      <c r="I1" s="883"/>
      <c r="J1" s="883"/>
      <c r="K1" s="884"/>
      <c r="L1" s="883"/>
      <c r="M1" s="883"/>
      <c r="N1" s="658"/>
      <c r="O1" s="658"/>
      <c r="P1" s="658"/>
      <c r="Q1" s="996"/>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178</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15866</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103496</v>
      </c>
      <c r="D5" s="1560" t="s">
        <v>2483</v>
      </c>
      <c r="E5" s="885"/>
      <c r="F5" s="1013"/>
      <c r="G5" s="909"/>
      <c r="H5" s="232">
        <v>1</v>
      </c>
      <c r="I5" s="233" t="s">
        <v>1772</v>
      </c>
      <c r="J5" s="234">
        <f ca="1">J6+J10+J12</f>
        <v>0</v>
      </c>
      <c r="K5" s="1447" t="s">
        <v>1773</v>
      </c>
      <c r="L5" s="885"/>
      <c r="M5" s="1013"/>
    </row>
    <row r="6" spans="1:37" ht="18" customHeight="1">
      <c r="A6" s="1014" t="s">
        <v>1774</v>
      </c>
      <c r="B6" s="1369" t="s">
        <v>1775</v>
      </c>
      <c r="C6" s="234">
        <f>ROUND(F6*F8*F7*(1-F9),0)</f>
        <v>103367</v>
      </c>
      <c r="D6" s="36" t="s">
        <v>2459</v>
      </c>
      <c r="E6" s="235" t="s">
        <v>1776</v>
      </c>
      <c r="F6" s="236">
        <f>'数据-取费表'!B30</f>
        <v>2.8</v>
      </c>
      <c r="G6" s="909"/>
      <c r="H6" s="1014" t="s">
        <v>1774</v>
      </c>
      <c r="I6" s="1369" t="s">
        <v>1775</v>
      </c>
      <c r="J6" s="234">
        <f>ROUND(M6*M8*M7*(1-M9),0)</f>
        <v>0</v>
      </c>
      <c r="K6" s="36" t="s">
        <v>2459</v>
      </c>
      <c r="L6" s="235" t="s">
        <v>1776</v>
      </c>
      <c r="M6" s="236">
        <f>'数据-取费表'!B37</f>
        <v>0</v>
      </c>
    </row>
    <row r="7" spans="1:37" ht="18" customHeight="1">
      <c r="A7" s="1047"/>
      <c r="B7" s="238"/>
      <c r="C7" s="239"/>
      <c r="D7" s="240"/>
      <c r="E7" s="235" t="s">
        <v>1777</v>
      </c>
      <c r="F7" s="236">
        <f>IF('数据-取费表'!B42="",IF(D1="仅计算典型户型",'数据-取费表'!E5,'数据-取费表'!B5),'数据-取费表'!B42)</f>
        <v>112.38</v>
      </c>
      <c r="G7" s="909"/>
      <c r="H7" s="237"/>
      <c r="I7" s="238"/>
      <c r="J7" s="239"/>
      <c r="K7" s="240"/>
      <c r="L7" s="235" t="s">
        <v>1777</v>
      </c>
      <c r="M7" s="236">
        <f>IF('数据-取费表'!B42="",IF(D1="仅计算典型户型",'数据-取费表'!E5,'数据-取费表'!B5),'数据-取费表'!B42)</f>
        <v>112.38</v>
      </c>
    </row>
    <row r="8" spans="1:37" ht="18" customHeight="1">
      <c r="A8" s="1047"/>
      <c r="B8" s="238"/>
      <c r="C8" s="239"/>
      <c r="D8" s="240"/>
      <c r="E8" s="235" t="s">
        <v>1778</v>
      </c>
      <c r="F8" s="236">
        <f>'数据-取费表'!B43</f>
        <v>365</v>
      </c>
      <c r="G8" s="909"/>
      <c r="H8" s="237"/>
      <c r="I8" s="238"/>
      <c r="J8" s="239"/>
      <c r="K8" s="240"/>
      <c r="L8" s="235" t="s">
        <v>1779</v>
      </c>
      <c r="M8" s="236">
        <f>'数据-取费表'!B43</f>
        <v>365</v>
      </c>
    </row>
    <row r="9" spans="1:37" ht="18" customHeight="1">
      <c r="A9" s="1047"/>
      <c r="B9" s="238"/>
      <c r="C9" s="239"/>
      <c r="D9" s="244"/>
      <c r="E9" s="235" t="s">
        <v>1780</v>
      </c>
      <c r="F9" s="245">
        <f>'数据-取费表'!B33</f>
        <v>0.1</v>
      </c>
      <c r="G9" s="909"/>
      <c r="H9" s="237"/>
      <c r="I9" s="238"/>
      <c r="J9" s="1016"/>
      <c r="K9" s="43"/>
      <c r="L9" s="246" t="s">
        <v>1780</v>
      </c>
      <c r="M9" s="245">
        <f>'数据-取费表'!B39</f>
        <v>0</v>
      </c>
    </row>
    <row r="10" spans="1:37" ht="18" customHeight="1">
      <c r="A10" s="1014" t="s">
        <v>1781</v>
      </c>
      <c r="B10" s="1448" t="s">
        <v>1782</v>
      </c>
      <c r="C10" s="1015">
        <f ca="1">ROUND(IF(F10="押一",C6/12*F11,IF(F10="押二",C6/12*2*F11,IF(F10="押三",C6/12*3*F11,C11*F11))),0)</f>
        <v>129</v>
      </c>
      <c r="D10" s="1449" t="s">
        <v>2464</v>
      </c>
      <c r="E10" s="246" t="s">
        <v>1783</v>
      </c>
      <c r="F10" s="1450" t="s">
        <v>1784</v>
      </c>
      <c r="G10" s="909"/>
      <c r="H10" s="1014" t="s">
        <v>1781</v>
      </c>
      <c r="I10" s="1448" t="s">
        <v>1782</v>
      </c>
      <c r="J10" s="1015">
        <f ca="1">ROUND(IF(M10="押一",J6/12*M11,IF(M10="押二",J6/12*2*M11,IF(M10="押三",J6/12*3*M11,J11*M11))),0)</f>
        <v>0</v>
      </c>
      <c r="K10" s="36" t="s">
        <v>2464</v>
      </c>
      <c r="L10" s="246" t="s">
        <v>1783</v>
      </c>
      <c r="M10" s="1450"/>
    </row>
    <row r="11" spans="1:37" s="257" customFormat="1" ht="18" customHeight="1">
      <c r="A11" s="263"/>
      <c r="B11" s="1451" t="s">
        <v>1785</v>
      </c>
      <c r="C11" s="1019"/>
      <c r="D11" s="240"/>
      <c r="E11" s="246" t="s">
        <v>1786</v>
      </c>
      <c r="F11" s="247">
        <f ca="1">'数据-取费表'!B31</f>
        <v>1.4999999999999999E-2</v>
      </c>
      <c r="G11" s="910"/>
      <c r="H11" s="241"/>
      <c r="I11" s="1451" t="s">
        <v>1787</v>
      </c>
      <c r="J11" s="1019"/>
      <c r="K11" s="240"/>
      <c r="L11" s="246" t="s">
        <v>1786</v>
      </c>
      <c r="M11" s="247">
        <f ca="1">'数据-取费表'!B31</f>
        <v>1.4999999999999999E-2</v>
      </c>
      <c r="N11" s="657"/>
      <c r="O11" s="657"/>
      <c r="P11" s="657"/>
      <c r="Q11" s="997"/>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4" t="s">
        <v>1788</v>
      </c>
      <c r="B12" s="1452" t="s">
        <v>1789</v>
      </c>
      <c r="C12" s="1025"/>
      <c r="D12" s="1453"/>
      <c r="E12" s="1031"/>
      <c r="F12" s="1026"/>
      <c r="G12" s="909"/>
      <c r="H12" s="1024" t="s">
        <v>1788</v>
      </c>
      <c r="I12" s="1452" t="s">
        <v>1789</v>
      </c>
      <c r="J12" s="1025"/>
      <c r="K12" s="1041"/>
      <c r="L12" s="1031"/>
      <c r="M12" s="1042"/>
    </row>
    <row r="13" spans="1:37" s="257" customFormat="1" ht="18" customHeight="1" thickTop="1">
      <c r="A13" s="1020">
        <v>2</v>
      </c>
      <c r="B13" s="1021" t="s">
        <v>1790</v>
      </c>
      <c r="C13" s="243">
        <f>ROUND(C29*F13,0)</f>
        <v>722615</v>
      </c>
      <c r="D13" s="1022" t="s">
        <v>1791</v>
      </c>
      <c r="E13" s="1022" t="s">
        <v>1792</v>
      </c>
      <c r="F13" s="1023">
        <f>'数据-取费表'!E20</f>
        <v>0.88</v>
      </c>
      <c r="G13" s="910"/>
      <c r="H13" s="1020">
        <v>2</v>
      </c>
      <c r="I13" s="1021" t="s">
        <v>1790</v>
      </c>
      <c r="J13" s="1016">
        <f>ROUND(J14*J15,0)</f>
        <v>0</v>
      </c>
      <c r="K13" s="1027" t="s">
        <v>1791</v>
      </c>
      <c r="L13" s="1039"/>
      <c r="M13" s="1040"/>
      <c r="N13" s="657"/>
      <c r="O13" s="657"/>
      <c r="P13" s="657"/>
      <c r="Q13" s="997"/>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505710</v>
      </c>
      <c r="D14" s="1255" t="s">
        <v>1795</v>
      </c>
      <c r="E14" s="1256"/>
      <c r="F14" s="757"/>
      <c r="G14" s="910"/>
      <c r="H14" s="253" t="s">
        <v>1774</v>
      </c>
      <c r="I14" s="235" t="s">
        <v>1796</v>
      </c>
      <c r="J14" s="13">
        <f>C29</f>
        <v>821153</v>
      </c>
      <c r="K14" s="12"/>
      <c r="L14" s="251"/>
      <c r="M14" s="252"/>
      <c r="N14" s="657"/>
      <c r="O14" s="657"/>
      <c r="P14" s="657"/>
      <c r="Q14" s="997"/>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25286</v>
      </c>
      <c r="D15" s="255" t="s">
        <v>1799</v>
      </c>
      <c r="E15" s="255" t="s">
        <v>1800</v>
      </c>
      <c r="F15" s="256">
        <f>'数据-取费表'!E21</f>
        <v>0.05</v>
      </c>
      <c r="G15" s="909"/>
      <c r="H15" s="1030" t="s">
        <v>1801</v>
      </c>
      <c r="I15" s="1031" t="s">
        <v>1802</v>
      </c>
      <c r="J15" s="1043">
        <f>'数据-取费表'!B40</f>
        <v>0</v>
      </c>
      <c r="K15" s="1044"/>
      <c r="L15" s="1045"/>
      <c r="M15" s="1046"/>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0" t="s">
        <v>14</v>
      </c>
      <c r="I16" s="1021" t="s">
        <v>1805</v>
      </c>
      <c r="J16" s="243">
        <f ca="1">ROUND(J17+J22+J23+J24,0)</f>
        <v>11004</v>
      </c>
      <c r="K16" s="1027" t="s">
        <v>1806</v>
      </c>
      <c r="L16" s="1028"/>
      <c r="M16" s="1029"/>
      <c r="N16" s="657"/>
      <c r="O16" s="657"/>
      <c r="P16" s="657"/>
      <c r="Q16" s="997"/>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22476</v>
      </c>
      <c r="D17" s="235" t="s">
        <v>1809</v>
      </c>
      <c r="E17" s="235" t="s">
        <v>1810</v>
      </c>
      <c r="F17" s="15">
        <f>'数据-取费表'!E23</f>
        <v>200</v>
      </c>
      <c r="G17" s="910"/>
      <c r="H17" s="253" t="s">
        <v>1811</v>
      </c>
      <c r="I17" s="235" t="s">
        <v>1812</v>
      </c>
      <c r="J17" s="2744">
        <f>ROUND(IF(AND(项目基本情况!B7="自然人",项目基本情况!B6="北京市"),J6*M17/(1+'数据-取费表'!F30),J18+J19+J20),0)</f>
        <v>6898</v>
      </c>
      <c r="K17" s="1255" t="s">
        <v>1813</v>
      </c>
      <c r="L17" s="1258" t="s">
        <v>1814</v>
      </c>
      <c r="M17" s="2743" t="str">
        <f>IF(项目基本情况!B7="企业","——",IF('数据-取费表'!B10="住宅",IF(M6*M7*M8/12/(1+'数据-取费表'!F30)&gt;100000,4%,2.5%),IF(M6*M7*M8/12/(1+'数据-取费表'!F30)&gt;100000,12%,7%)))</f>
        <v>——</v>
      </c>
      <c r="N17" s="657"/>
      <c r="O17" s="657"/>
      <c r="P17" s="657"/>
      <c r="Q17" s="997"/>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7586</v>
      </c>
      <c r="D18" s="235" t="s">
        <v>1799</v>
      </c>
      <c r="E18" s="235" t="s">
        <v>1800</v>
      </c>
      <c r="F18" s="258">
        <f>'数据-取费表'!E24</f>
        <v>1.4999999999999999E-2</v>
      </c>
      <c r="G18" s="909"/>
      <c r="H18" s="253" t="s">
        <v>1817</v>
      </c>
      <c r="I18" s="235" t="s">
        <v>1818</v>
      </c>
      <c r="J18" s="13">
        <f>IF(项目基本情况!B7="自然人","——",ROUND(J6*M18/(1+'数据-取费表'!F30),0))</f>
        <v>0</v>
      </c>
      <c r="K18" s="1258" t="s">
        <v>2485</v>
      </c>
      <c r="L18" s="235" t="s">
        <v>1800</v>
      </c>
      <c r="M18" s="258">
        <f>'数据-取费表'!E29</f>
        <v>5.5000000000000007E-2</v>
      </c>
    </row>
    <row r="19" spans="1:37" s="257" customFormat="1" ht="18" customHeight="1">
      <c r="A19" s="253" t="s">
        <v>1811</v>
      </c>
      <c r="B19" s="235" t="s">
        <v>1819</v>
      </c>
      <c r="C19" s="13">
        <f>SUM(C14:C18)</f>
        <v>561058</v>
      </c>
      <c r="D19" s="33" t="s">
        <v>1820</v>
      </c>
      <c r="E19" s="1260"/>
      <c r="F19" s="15"/>
      <c r="G19" s="910"/>
      <c r="H19" s="253" t="s">
        <v>1797</v>
      </c>
      <c r="I19" s="235" t="s">
        <v>1821</v>
      </c>
      <c r="J19" s="13">
        <f>IF(项目基本情况!B7="自然人","——",IF(K19="按租金收入计税",ROUND(J6*M19/(1+'数据-取费表'!F30),0),ROUND(C29*M19*0.7,0)))</f>
        <v>6898</v>
      </c>
      <c r="K19" s="1363"/>
      <c r="L19" s="235" t="s">
        <v>1800</v>
      </c>
      <c r="M19" s="258">
        <f>IF(K19="按租金收入计税",'数据-取费表'!E39,'数据-取费表'!E38)</f>
        <v>1.2E-2</v>
      </c>
      <c r="N19" s="657"/>
      <c r="O19" s="657"/>
      <c r="P19" s="657"/>
      <c r="Q19" s="997"/>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16832</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1.5</v>
      </c>
      <c r="N20" s="657"/>
      <c r="O20" s="657"/>
      <c r="P20" s="657"/>
      <c r="Q20" s="997"/>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0"/>
      <c r="F22" s="15"/>
      <c r="G22" s="909"/>
      <c r="H22" s="253" t="s">
        <v>1801</v>
      </c>
      <c r="I22" s="235" t="s">
        <v>1836</v>
      </c>
      <c r="J22" s="13">
        <f>ROUND(J14*M22,0)</f>
        <v>4106</v>
      </c>
      <c r="K22" s="1258" t="s">
        <v>1837</v>
      </c>
      <c r="L22" s="235" t="s">
        <v>1800</v>
      </c>
      <c r="M22" s="265">
        <f>'数据-取费表'!B45</f>
        <v>5.0000000000000001E-3</v>
      </c>
    </row>
    <row r="23" spans="1:37" ht="18" customHeight="1">
      <c r="A23" s="253" t="s">
        <v>1817</v>
      </c>
      <c r="B23" s="235" t="s">
        <v>1838</v>
      </c>
      <c r="C23" s="13">
        <f>IF('数据-取费表'!B24&lt;=1,ROUND(C19*F24*F23/2,0)+ROUND(C20*F24*F23/2,0),ROUND(C19*(POWER((1+F24),F23/2)-1),0)+ROUND(C20*(POWER((1+F24),F23/2)-1),0))</f>
        <v>23983</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ROUND(J13*M23,0)</f>
        <v>0</v>
      </c>
      <c r="K23" s="1258" t="s">
        <v>1841</v>
      </c>
      <c r="L23" s="235" t="s">
        <v>1842</v>
      </c>
      <c r="M23" s="266">
        <f>'数据-取费表'!B46</f>
        <v>1E-3</v>
      </c>
    </row>
    <row r="24" spans="1:37" s="257" customFormat="1" ht="18" customHeight="1" thickBot="1">
      <c r="A24" s="253" t="s">
        <v>1843</v>
      </c>
      <c r="B24" s="235" t="s">
        <v>1844</v>
      </c>
      <c r="C24" s="13">
        <f>ROUND(IF('数据-取费表'!B24&lt;=1,F21*F24*F23/2,F21*(POWER((1+F24),F23/2)-1)),4)</f>
        <v>1.1999999999999999E-3</v>
      </c>
      <c r="D24" s="1359" t="str">
        <f>IF(F23&lt;=1,"销售费用×利率×(建设周期÷2)","销售费用×((1+利率)^(建设周期÷2)-1)")</f>
        <v>销售费用×((1+利率)^(建设周期÷2)-1)</v>
      </c>
      <c r="E24" s="235" t="s">
        <v>1845</v>
      </c>
      <c r="F24" s="267">
        <f>'数据-取费表'!E27</f>
        <v>4.1499999999999995E-2</v>
      </c>
      <c r="G24" s="910"/>
      <c r="H24" s="1030" t="s">
        <v>1834</v>
      </c>
      <c r="I24" s="1031" t="s">
        <v>1823</v>
      </c>
      <c r="J24" s="1032">
        <f ca="1">ROUND(J5*M24,0)</f>
        <v>0</v>
      </c>
      <c r="K24" s="1033" t="s">
        <v>1846</v>
      </c>
      <c r="L24" s="1031" t="s">
        <v>1842</v>
      </c>
      <c r="M24" s="1026">
        <f>'数据-取费表'!B47</f>
        <v>0.01</v>
      </c>
      <c r="N24" s="657"/>
      <c r="O24" s="657"/>
      <c r="P24" s="657"/>
      <c r="Q24" s="997"/>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0"/>
      <c r="F25" s="15"/>
      <c r="G25" s="910"/>
      <c r="H25" s="1020" t="s">
        <v>22</v>
      </c>
      <c r="I25" s="1035" t="s">
        <v>1850</v>
      </c>
      <c r="J25" s="243">
        <f ca="1">J5-J16</f>
        <v>-11004</v>
      </c>
      <c r="K25" s="1036" t="s">
        <v>1851</v>
      </c>
      <c r="L25" s="1037"/>
      <c r="M25" s="1038"/>
      <c r="N25" s="657"/>
      <c r="O25" s="657"/>
      <c r="P25" s="657"/>
      <c r="Q25" s="997"/>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144473</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4.9999999999999996E-2</v>
      </c>
    </row>
    <row r="27" spans="1:37" ht="18" customHeight="1">
      <c r="A27" s="253" t="s">
        <v>1858</v>
      </c>
      <c r="B27" s="235" t="s">
        <v>1859</v>
      </c>
      <c r="C27" s="13">
        <f>ROUND(F21*F26,4)</f>
        <v>7.4999999999999997E-3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0" t="s">
        <v>1867</v>
      </c>
      <c r="B29" s="1031" t="s">
        <v>1868</v>
      </c>
      <c r="C29" s="1032">
        <f>ROUND((C19+C20+C23+C26)/(1-F21-C24-C27-C28),0)</f>
        <v>821153</v>
      </c>
      <c r="D29" s="1033"/>
      <c r="E29" s="1031"/>
      <c r="F29" s="1034"/>
      <c r="G29" s="652"/>
      <c r="H29" s="271" t="s">
        <v>24</v>
      </c>
      <c r="I29" s="272" t="s">
        <v>1869</v>
      </c>
      <c r="J29" s="273">
        <f ca="1">ROUND(J26/(1+F40)^F41,0)</f>
        <v>0</v>
      </c>
      <c r="K29" s="274" t="s">
        <v>1870</v>
      </c>
      <c r="L29" s="275"/>
      <c r="M29" s="276">
        <f>IF(D1="仅计算典型户型",'数据-取费表'!E5,'数据-取费表'!B5)</f>
        <v>112.38</v>
      </c>
    </row>
    <row r="30" spans="1:37" ht="18" customHeight="1" thickTop="1">
      <c r="A30" s="1020" t="s">
        <v>14</v>
      </c>
      <c r="B30" s="1021" t="s">
        <v>1871</v>
      </c>
      <c r="C30" s="243">
        <f ca="1">ROUND(C31+C36+C37+C38,0)</f>
        <v>23091</v>
      </c>
      <c r="D30" s="1027" t="s">
        <v>1872</v>
      </c>
      <c r="E30" s="1028"/>
      <c r="F30" s="1029"/>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17227</v>
      </c>
      <c r="D31" s="1255" t="s">
        <v>1873</v>
      </c>
      <c r="E31" s="1258" t="s">
        <v>1874</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5414</v>
      </c>
      <c r="D32" s="1258" t="s">
        <v>2484</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11813</v>
      </c>
      <c r="D33" s="1363" t="s">
        <v>2642</v>
      </c>
      <c r="E33" s="235" t="s">
        <v>1800</v>
      </c>
      <c r="F33" s="258">
        <f>IF(D33="按票据","——",IF(D33="按租金收入计税",'数据-取费表'!E39,'数据-取费表'!E38))</f>
        <v>0.12</v>
      </c>
      <c r="G33" s="652"/>
      <c r="H33" s="901"/>
      <c r="I33" s="278" t="s">
        <v>1877</v>
      </c>
      <c r="J33" s="279"/>
      <c r="K33" s="902"/>
      <c r="L33" s="901"/>
      <c r="M33" s="901"/>
    </row>
    <row r="34" spans="1:18" ht="18" customHeight="1">
      <c r="A34" s="1014" t="s">
        <v>1803</v>
      </c>
      <c r="B34" s="36" t="s">
        <v>1826</v>
      </c>
      <c r="C34" s="14">
        <f>IF(项目基本情况!B7="自然人","——",ROUND(F34*F35,0))</f>
        <v>0</v>
      </c>
      <c r="D34" s="261" t="s">
        <v>1827</v>
      </c>
      <c r="E34" s="235" t="s">
        <v>1828</v>
      </c>
      <c r="F34" s="262">
        <f>'数据-取费表'!E40</f>
        <v>1.5</v>
      </c>
      <c r="G34" s="652"/>
      <c r="H34" s="889"/>
      <c r="I34" s="280" t="s">
        <v>1878</v>
      </c>
      <c r="J34" s="281">
        <f>ROUND(C13*J35,0)</f>
        <v>46970</v>
      </c>
      <c r="K34" s="903"/>
      <c r="L34" s="904"/>
      <c r="M34" s="904"/>
    </row>
    <row r="35" spans="1:18" ht="24.6" customHeight="1">
      <c r="A35" s="1018"/>
      <c r="B35" s="244"/>
      <c r="C35" s="17"/>
      <c r="D35" s="264"/>
      <c r="E35" s="235" t="s">
        <v>1833</v>
      </c>
      <c r="F35" s="236">
        <f>IF(D1="仅计算典型户型",'数据-取费表'!E6,'数据-取费表'!B6)</f>
        <v>0</v>
      </c>
      <c r="G35" s="652" t="s">
        <v>2572</v>
      </c>
      <c r="H35" s="889"/>
      <c r="I35" s="282" t="s">
        <v>1879</v>
      </c>
      <c r="J35" s="283">
        <f>'数据-取费表'!B18</f>
        <v>6.5000000000000002E-2</v>
      </c>
      <c r="K35" s="902"/>
      <c r="L35" s="901"/>
      <c r="M35" s="901"/>
    </row>
    <row r="36" spans="1:18" ht="18" customHeight="1">
      <c r="A36" s="1017" t="s">
        <v>1781</v>
      </c>
      <c r="B36" s="235" t="s">
        <v>1880</v>
      </c>
      <c r="C36" s="13">
        <f>ROUND(C29*F36,0)</f>
        <v>4106</v>
      </c>
      <c r="D36" s="1258"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ROUND(C13*F37,0)</f>
        <v>723</v>
      </c>
      <c r="D37" s="1258" t="s">
        <v>1841</v>
      </c>
      <c r="E37" s="235" t="s">
        <v>1842</v>
      </c>
      <c r="F37" s="266">
        <f>'数据-取费表'!B46</f>
        <v>1E-3</v>
      </c>
      <c r="G37" s="652"/>
      <c r="H37" s="901"/>
      <c r="I37" s="132" t="s">
        <v>1883</v>
      </c>
      <c r="J37" s="286"/>
      <c r="K37" s="905"/>
      <c r="L37" s="901"/>
      <c r="M37" s="901"/>
    </row>
    <row r="38" spans="1:18" ht="18" customHeight="1" thickBot="1">
      <c r="A38" s="1030" t="s">
        <v>1834</v>
      </c>
      <c r="B38" s="1031" t="s">
        <v>1823</v>
      </c>
      <c r="C38" s="1032">
        <f ca="1">ROUND(C5*F38,0)</f>
        <v>1035</v>
      </c>
      <c r="D38" s="1033" t="s">
        <v>1846</v>
      </c>
      <c r="E38" s="1031" t="s">
        <v>1842</v>
      </c>
      <c r="F38" s="1026">
        <f>'数据-取费表'!B47</f>
        <v>0.01</v>
      </c>
      <c r="G38" s="652"/>
      <c r="H38" s="901"/>
      <c r="I38" s="280" t="s">
        <v>1884</v>
      </c>
      <c r="J38" s="136">
        <f ca="1">ROUND(J34/C39,3)</f>
        <v>0.58399999999999996</v>
      </c>
      <c r="K38" s="906"/>
      <c r="L38" s="901"/>
      <c r="M38" s="901"/>
    </row>
    <row r="39" spans="1:18" ht="18" customHeight="1" thickTop="1">
      <c r="A39" s="1020" t="s">
        <v>22</v>
      </c>
      <c r="B39" s="1035" t="s">
        <v>1885</v>
      </c>
      <c r="C39" s="243">
        <f ca="1">C5-C30</f>
        <v>80405</v>
      </c>
      <c r="D39" s="1036" t="s">
        <v>1886</v>
      </c>
      <c r="E39" s="1037"/>
      <c r="F39" s="1038"/>
      <c r="G39" s="652"/>
      <c r="H39" s="901"/>
      <c r="I39" s="280" t="s">
        <v>1887</v>
      </c>
      <c r="J39" s="136">
        <f ca="1">1-J38</f>
        <v>0.41600000000000004</v>
      </c>
      <c r="K39" s="906"/>
      <c r="L39" s="901"/>
      <c r="M39" s="901"/>
    </row>
    <row r="40" spans="1:18" s="652" customFormat="1" ht="18" customHeight="1">
      <c r="A40" s="232" t="s">
        <v>23</v>
      </c>
      <c r="B40" s="233" t="s">
        <v>1888</v>
      </c>
      <c r="C40" s="234">
        <f ca="1">ROUND(C39*(1-((1+F42)/(1+F40))^F41)/(F40-F42),0)</f>
        <v>1746541</v>
      </c>
      <c r="D40" s="261" t="s">
        <v>1856</v>
      </c>
      <c r="E40" s="235" t="s">
        <v>1857</v>
      </c>
      <c r="F40" s="245">
        <f>'数据-取费表'!B16</f>
        <v>4.9999999999999996E-2</v>
      </c>
      <c r="H40" s="907"/>
      <c r="I40" s="132" t="s">
        <v>1889</v>
      </c>
      <c r="J40" s="133"/>
      <c r="K40" s="906"/>
      <c r="L40" s="907"/>
      <c r="M40" s="907"/>
      <c r="Q40" s="656"/>
    </row>
    <row r="41" spans="1:18" s="652" customFormat="1" ht="18" customHeight="1">
      <c r="A41" s="237"/>
      <c r="B41" s="238"/>
      <c r="C41" s="239"/>
      <c r="D41" s="269" t="s">
        <v>1890</v>
      </c>
      <c r="E41" s="1231" t="s">
        <v>2467</v>
      </c>
      <c r="F41" s="270">
        <f>IF('数据-取费表'!B29="租赁期内按合同租金",'数据-取费表'!B35,IF(E41="收益年期(n)",'数据-取费表'!B34,'数据-取费表'!B13))</f>
        <v>32.5</v>
      </c>
      <c r="H41" s="908"/>
      <c r="I41" s="135" t="s">
        <v>1762</v>
      </c>
      <c r="J41" s="136">
        <f ca="1">ROUND(C13/C40,3)</f>
        <v>0.41399999999999998</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0.58600000000000008</v>
      </c>
      <c r="K42" s="905"/>
      <c r="L42" s="908"/>
      <c r="M42" s="908"/>
      <c r="Q42" s="656"/>
    </row>
    <row r="43" spans="1:18" s="652" customFormat="1" ht="18" customHeight="1" thickBot="1">
      <c r="A43" s="271" t="s">
        <v>24</v>
      </c>
      <c r="B43" s="272" t="s">
        <v>1891</v>
      </c>
      <c r="C43" s="273">
        <f ca="1">ROUND(C40/F43,0)</f>
        <v>15541</v>
      </c>
      <c r="D43" s="274" t="s">
        <v>1892</v>
      </c>
      <c r="E43" s="275" t="s">
        <v>1893</v>
      </c>
      <c r="F43" s="276">
        <f>IF(D1="仅计算典型户型",'数据-取费表'!E5,'数据-取费表'!B5)</f>
        <v>112.38</v>
      </c>
      <c r="G43" s="654"/>
      <c r="H43" s="908"/>
      <c r="I43" s="908"/>
      <c r="J43" s="908"/>
      <c r="K43" s="905"/>
      <c r="L43" s="908"/>
      <c r="M43" s="908"/>
      <c r="O43" s="998" t="s">
        <v>1894</v>
      </c>
      <c r="P43" s="999"/>
      <c r="Q43" s="995"/>
      <c r="R43" s="999"/>
    </row>
    <row r="44" spans="1:18" s="652" customFormat="1" ht="18" customHeight="1" thickBot="1">
      <c r="A44" s="649"/>
      <c r="B44" s="649"/>
      <c r="C44" s="651"/>
      <c r="D44" s="649"/>
      <c r="E44" s="649"/>
      <c r="F44" s="649"/>
      <c r="G44" s="654"/>
      <c r="K44" s="653"/>
      <c r="O44" s="1000" t="s">
        <v>1895</v>
      </c>
      <c r="P44" s="1001" t="s">
        <v>1896</v>
      </c>
      <c r="Q44" s="1002" t="s">
        <v>1897</v>
      </c>
      <c r="R44" s="1003" t="s">
        <v>1898</v>
      </c>
    </row>
    <row r="45" spans="1:18" s="652" customFormat="1" ht="18" customHeight="1" thickBot="1">
      <c r="A45" s="649"/>
      <c r="B45" s="649"/>
      <c r="C45" s="651"/>
      <c r="D45" s="649"/>
      <c r="E45" s="649"/>
      <c r="F45" s="649"/>
      <c r="G45" s="655"/>
      <c r="K45" s="653"/>
      <c r="O45" s="1004" t="s">
        <v>767</v>
      </c>
      <c r="P45" s="1005" t="s">
        <v>1899</v>
      </c>
      <c r="Q45" s="1006">
        <f ca="1">C40+J29</f>
        <v>1746541</v>
      </c>
      <c r="R45" s="1007" t="s">
        <v>1900</v>
      </c>
    </row>
    <row r="46" spans="1:18" s="652" customFormat="1" ht="18" customHeight="1" thickBot="1">
      <c r="A46" s="649"/>
      <c r="D46" s="649"/>
      <c r="E46" s="649"/>
      <c r="F46" s="649"/>
      <c r="K46" s="653"/>
      <c r="O46" s="1004" t="s">
        <v>768</v>
      </c>
      <c r="P46" s="1005" t="s">
        <v>1901</v>
      </c>
      <c r="Q46" s="1006">
        <f>J61</f>
        <v>36434</v>
      </c>
      <c r="R46" s="1007" t="s">
        <v>1902</v>
      </c>
    </row>
    <row r="47" spans="1:18" s="652" customFormat="1" ht="21.75" thickBot="1">
      <c r="A47" s="1454" t="s">
        <v>1903</v>
      </c>
      <c r="C47" s="950">
        <f ca="1">IF(C2="元",C69-C40,ROUND((C69-C40)/10000,0))</f>
        <v>-292</v>
      </c>
      <c r="D47" s="1455" t="str">
        <f>C2</f>
        <v>万元</v>
      </c>
      <c r="E47" s="649"/>
      <c r="F47" s="649"/>
      <c r="I47" s="1456" t="s">
        <v>1904</v>
      </c>
      <c r="J47" s="980"/>
      <c r="K47" s="981"/>
      <c r="L47" s="994">
        <f>IF(M48="住宅",0,IF(L49&gt;J52,L61,J61))</f>
        <v>36434</v>
      </c>
      <c r="O47" s="1008" t="s">
        <v>769</v>
      </c>
      <c r="P47" s="1005" t="s">
        <v>1905</v>
      </c>
      <c r="Q47" s="1006">
        <f>C29</f>
        <v>821153</v>
      </c>
      <c r="R47" s="1007" t="s">
        <v>1900</v>
      </c>
    </row>
    <row r="48" spans="1:18" s="652" customFormat="1" ht="15.75" thickBot="1">
      <c r="A48" s="228" t="s">
        <v>1906</v>
      </c>
      <c r="B48" s="229" t="s">
        <v>1907</v>
      </c>
      <c r="C48" s="229" t="s">
        <v>1908</v>
      </c>
      <c r="D48" s="229" t="s">
        <v>1909</v>
      </c>
      <c r="E48" s="944" t="s">
        <v>1910</v>
      </c>
      <c r="F48" s="945"/>
      <c r="I48" s="1457" t="s">
        <v>1911</v>
      </c>
      <c r="J48" s="1458" t="s">
        <v>3038</v>
      </c>
      <c r="K48" s="1459" t="s">
        <v>1912</v>
      </c>
      <c r="L48" s="982">
        <f>'数据-取费表'!B11</f>
        <v>50</v>
      </c>
      <c r="M48" s="995" t="str">
        <f>IF('数据-取费表'!B10="住宅","住宅","非住宅")</f>
        <v>非住宅</v>
      </c>
      <c r="O48" s="1008" t="s">
        <v>770</v>
      </c>
      <c r="P48" s="1005" t="s">
        <v>1913</v>
      </c>
      <c r="Q48" s="1009">
        <f>J59</f>
        <v>0.4</v>
      </c>
      <c r="R48" s="1007"/>
    </row>
    <row r="49" spans="1:18" s="652" customFormat="1" ht="15.75" thickBot="1">
      <c r="A49" s="1055" t="s">
        <v>781</v>
      </c>
      <c r="B49" s="233" t="s">
        <v>1914</v>
      </c>
      <c r="C49" s="1056">
        <f ca="1">C50+C54+C56</f>
        <v>0</v>
      </c>
      <c r="D49" s="1057"/>
      <c r="E49" s="44"/>
      <c r="F49" s="15"/>
      <c r="I49" s="1460" t="s">
        <v>1915</v>
      </c>
      <c r="J49" s="1461" t="s">
        <v>3039</v>
      </c>
      <c r="K49" s="1462" t="s">
        <v>1916</v>
      </c>
      <c r="L49" s="821">
        <f>'数据-取费表'!B13</f>
        <v>32.5</v>
      </c>
      <c r="O49" s="1008" t="s">
        <v>771</v>
      </c>
      <c r="P49" s="1005" t="s">
        <v>1917</v>
      </c>
      <c r="Q49" s="1009">
        <f>J53</f>
        <v>6.9999999999999993E-2</v>
      </c>
      <c r="R49" s="1007"/>
    </row>
    <row r="50" spans="1:18" s="652" customFormat="1" ht="15.75" thickBot="1">
      <c r="A50" s="260" t="s">
        <v>1774</v>
      </c>
      <c r="B50" s="1369" t="s">
        <v>1918</v>
      </c>
      <c r="C50" s="234">
        <f>ROUND(F50*F52*F51*(1-F53),0)</f>
        <v>0</v>
      </c>
      <c r="D50" s="42" t="s">
        <v>2460</v>
      </c>
      <c r="E50" s="1463" t="s">
        <v>1919</v>
      </c>
      <c r="F50" s="946"/>
      <c r="I50" s="1460" t="s">
        <v>1920</v>
      </c>
      <c r="J50" s="821">
        <f>'数据-取费表'!B27</f>
        <v>2015</v>
      </c>
      <c r="K50" s="1464" t="s">
        <v>1921</v>
      </c>
      <c r="L50" s="983"/>
      <c r="O50" s="1008" t="s">
        <v>772</v>
      </c>
      <c r="P50" s="1005" t="s">
        <v>1922</v>
      </c>
      <c r="Q50" s="1006">
        <f>J54</f>
        <v>32.5</v>
      </c>
      <c r="R50" s="1007" t="s">
        <v>1923</v>
      </c>
    </row>
    <row r="51" spans="1:18" s="652" customFormat="1" ht="15.75" thickBot="1">
      <c r="A51" s="237"/>
      <c r="B51" s="238"/>
      <c r="C51" s="239"/>
      <c r="D51" s="240"/>
      <c r="E51" s="255" t="s">
        <v>1777</v>
      </c>
      <c r="F51" s="943">
        <f>F7</f>
        <v>112.38</v>
      </c>
      <c r="I51" s="1460" t="s">
        <v>1924</v>
      </c>
      <c r="J51" s="984">
        <f>SUMPRODUCT((I64:I66=J48)*(J63:L63=J49)*(J64:L66))</f>
        <v>60</v>
      </c>
      <c r="K51" s="1464" t="s">
        <v>1925</v>
      </c>
      <c r="L51" s="983"/>
      <c r="O51" s="1004" t="s">
        <v>773</v>
      </c>
      <c r="P51" s="1005" t="str">
        <f>IF(C2="元","收益价值(元)","收益价值(万元)")</f>
        <v>收益价值(万元)</v>
      </c>
      <c r="Q51" s="1006">
        <f ca="1">ROUND(IF(C2="元",Q45+Q46,(Q45+Q46)/10000),0)</f>
        <v>178</v>
      </c>
      <c r="R51" s="1007" t="s">
        <v>774</v>
      </c>
    </row>
    <row r="52" spans="1:18" s="652" customFormat="1" ht="16.5" thickBot="1">
      <c r="A52" s="237"/>
      <c r="B52" s="238"/>
      <c r="C52" s="239"/>
      <c r="D52" s="240"/>
      <c r="E52" s="235" t="s">
        <v>1779</v>
      </c>
      <c r="F52" s="236">
        <f>F8</f>
        <v>365</v>
      </c>
      <c r="I52" s="1465" t="s">
        <v>1926</v>
      </c>
      <c r="J52" s="985">
        <f>IF(J50="",J51,J50+J51-YEAR('数据-取费表'!B2))</f>
        <v>53</v>
      </c>
      <c r="K52" s="1466" t="s">
        <v>1927</v>
      </c>
      <c r="L52" s="986">
        <f ca="1">ROUND(-PV('数据-取费表'!B15,J52,(C40-C13*J35)),0)</f>
        <v>34104178</v>
      </c>
      <c r="O52" s="998" t="s">
        <v>1928</v>
      </c>
      <c r="P52" s="999"/>
      <c r="Q52" s="995"/>
      <c r="R52" s="999"/>
    </row>
    <row r="53" spans="1:18" s="652" customFormat="1" ht="15.75" thickBot="1">
      <c r="A53" s="241"/>
      <c r="B53" s="242"/>
      <c r="C53" s="243"/>
      <c r="D53" s="244"/>
      <c r="E53" s="235" t="s">
        <v>1780</v>
      </c>
      <c r="F53" s="993"/>
      <c r="I53" s="1467" t="s">
        <v>1929</v>
      </c>
      <c r="J53" s="987">
        <f>'数据-取费表'!B17</f>
        <v>6.9999999999999993E-2</v>
      </c>
      <c r="K53" s="1467" t="s">
        <v>1930</v>
      </c>
      <c r="L53" s="987"/>
      <c r="O53" s="1000" t="s">
        <v>1895</v>
      </c>
      <c r="P53" s="1001" t="s">
        <v>1896</v>
      </c>
      <c r="Q53" s="1002" t="s">
        <v>1897</v>
      </c>
      <c r="R53" s="1003" t="s">
        <v>1898</v>
      </c>
    </row>
    <row r="54" spans="1:18" s="652" customFormat="1" ht="29.25" customHeight="1" thickBot="1">
      <c r="A54" s="1014" t="s">
        <v>1781</v>
      </c>
      <c r="B54" s="1448" t="s">
        <v>1782</v>
      </c>
      <c r="C54" s="1015">
        <f ca="1">ROUND(IF(F54="押一",C50/12*F11,IF(F54="押二",C50/12*2*F11,IF(F54="押三",C50/12*3*F11,C55*F11))),0)</f>
        <v>0</v>
      </c>
      <c r="D54" s="1449" t="s">
        <v>2465</v>
      </c>
      <c r="E54" s="246" t="s">
        <v>1783</v>
      </c>
      <c r="F54" s="1450"/>
      <c r="I54" s="1556" t="s">
        <v>2468</v>
      </c>
      <c r="J54" s="988">
        <f>IF(M48="住宅",IF(E1="——",MAX(J52,L49),MAX(J52,L49-'数据-取费表'!B26)),IF(E1="——",MIN(J52,L49),MIN(J52,L49-'数据-取费表'!B26)))</f>
        <v>32.5</v>
      </c>
      <c r="K54" s="3568" t="s">
        <v>2458</v>
      </c>
      <c r="L54" s="3569"/>
      <c r="O54" s="1004" t="s">
        <v>767</v>
      </c>
      <c r="P54" s="1005" t="s">
        <v>1899</v>
      </c>
      <c r="Q54" s="1006">
        <f ca="1">C40+J29</f>
        <v>1746541</v>
      </c>
      <c r="R54" s="1007" t="s">
        <v>1900</v>
      </c>
    </row>
    <row r="55" spans="1:18" s="652" customFormat="1" ht="20.25" thickBot="1">
      <c r="A55" s="1014"/>
      <c r="B55" s="1468" t="s">
        <v>1787</v>
      </c>
      <c r="C55" s="1019"/>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1931</v>
      </c>
      <c r="Q55" s="1006">
        <f>L61</f>
        <v>0</v>
      </c>
      <c r="R55" s="1007" t="s">
        <v>1932</v>
      </c>
    </row>
    <row r="56" spans="1:18" s="652" customFormat="1" ht="20.25" thickBot="1">
      <c r="A56" s="1024" t="s">
        <v>1788</v>
      </c>
      <c r="B56" s="1452" t="s">
        <v>1789</v>
      </c>
      <c r="C56" s="1025"/>
      <c r="D56" s="1041"/>
      <c r="E56" s="1471"/>
      <c r="F56" s="1080"/>
      <c r="I56" s="1472" t="s">
        <v>1933</v>
      </c>
      <c r="J56" s="1247">
        <f>ROUND(IF(J48="钢混",J58/J51,1-(1-2%)*(J51-J58)/J51),3)</f>
        <v>0.34200000000000003</v>
      </c>
      <c r="K56" s="1473" t="s">
        <v>1934</v>
      </c>
      <c r="L56" s="989"/>
      <c r="O56" s="1008" t="s">
        <v>769</v>
      </c>
      <c r="P56" s="1005" t="s">
        <v>1935</v>
      </c>
      <c r="Q56" s="1006">
        <f>IF(L56="比较法",L50,IF(L56="基准地价",L51,0))</f>
        <v>0</v>
      </c>
      <c r="R56" s="1007" t="s">
        <v>1900</v>
      </c>
    </row>
    <row r="57" spans="1:18" s="652" customFormat="1" ht="44.25" thickTop="1" thickBot="1">
      <c r="A57" s="1020">
        <v>2</v>
      </c>
      <c r="B57" s="1021" t="s">
        <v>1790</v>
      </c>
      <c r="C57" s="1079">
        <f>C13</f>
        <v>722615</v>
      </c>
      <c r="D57" s="941"/>
      <c r="E57" s="942"/>
      <c r="F57" s="949"/>
      <c r="I57" s="1474" t="s">
        <v>1936</v>
      </c>
      <c r="J57" s="992" t="s">
        <v>3036</v>
      </c>
      <c r="K57" s="1460" t="s">
        <v>1937</v>
      </c>
      <c r="L57" s="821" t="str">
        <f>IF(L49&lt;J52,"——",L49-J52)</f>
        <v>——</v>
      </c>
      <c r="O57" s="1008" t="s">
        <v>770</v>
      </c>
      <c r="P57" s="1005" t="s">
        <v>1938</v>
      </c>
      <c r="Q57" s="1009">
        <f>L53</f>
        <v>0</v>
      </c>
      <c r="R57" s="1007"/>
    </row>
    <row r="58" spans="1:18" s="652" customFormat="1" ht="29.25" thickBot="1">
      <c r="A58" s="948"/>
      <c r="B58" s="235" t="s">
        <v>1868</v>
      </c>
      <c r="C58" s="104">
        <f>C29</f>
        <v>821153</v>
      </c>
      <c r="D58" s="941"/>
      <c r="E58" s="942"/>
      <c r="F58" s="949"/>
      <c r="I58" s="1475" t="s">
        <v>1939</v>
      </c>
      <c r="J58" s="991">
        <f>IF(OR(M48="住宅",J52&lt;L49,J57="是"),"——",J52-L49)</f>
        <v>20.5</v>
      </c>
      <c r="K58" s="1460" t="s">
        <v>1940</v>
      </c>
      <c r="L58" s="821" t="str">
        <f>IF(L49&lt;J52,"——",IF(L56="比较法",L50,IF(L56="基准地价",L51,L52)))</f>
        <v>——</v>
      </c>
      <c r="O58" s="1008" t="s">
        <v>771</v>
      </c>
      <c r="P58" s="1005" t="s">
        <v>1941</v>
      </c>
      <c r="Q58" s="1006" t="e">
        <f>L59</f>
        <v>#DIV/0!</v>
      </c>
      <c r="R58" s="1007" t="s">
        <v>1942</v>
      </c>
    </row>
    <row r="59" spans="1:18" s="652" customFormat="1" ht="29.25" thickBot="1">
      <c r="A59" s="248" t="s">
        <v>14</v>
      </c>
      <c r="B59" s="249" t="s">
        <v>1871</v>
      </c>
      <c r="C59" s="250">
        <f ca="1">ROUND(C60+C65+C66+C67,0)</f>
        <v>73806</v>
      </c>
      <c r="D59" s="12" t="s">
        <v>1872</v>
      </c>
      <c r="E59" s="1260"/>
      <c r="F59" s="15"/>
      <c r="I59" s="1475" t="s">
        <v>1943</v>
      </c>
      <c r="J59" s="1246">
        <f>IF(J56&lt;0.4,0.4,J56)</f>
        <v>0.4</v>
      </c>
      <c r="K59" s="1466" t="s">
        <v>1944</v>
      </c>
      <c r="L59" s="821" t="e">
        <f>ROUND(POWER(1+L53,L48-L49)*(POWER(1+L53,L49)-1)/(POWER(1+L53,L48)-1),4)</f>
        <v>#DIV/0!</v>
      </c>
      <c r="O59" s="1008" t="s">
        <v>772</v>
      </c>
      <c r="P59" s="1005" t="str">
        <f>K60</f>
        <v>建筑物剩余耐用年限下的土地年期修正系数Kn</v>
      </c>
      <c r="Q59" s="1006" t="e">
        <f>L60</f>
        <v>#DIV/0!</v>
      </c>
      <c r="R59" s="1007" t="s">
        <v>1945</v>
      </c>
    </row>
    <row r="60" spans="1:18" s="652" customFormat="1" ht="29.25" thickBot="1">
      <c r="A60" s="253" t="s">
        <v>15</v>
      </c>
      <c r="B60" s="235" t="s">
        <v>1812</v>
      </c>
      <c r="C60" s="2744">
        <f ca="1">ROUND(IF(AND(项目基本情况!B7="自然人",项目基本情况!B6="北京市"),C50*F60/(1+'数据-取费表'!F30),C61+C62+C63),0)</f>
        <v>68977</v>
      </c>
      <c r="D60" s="1255" t="s">
        <v>1873</v>
      </c>
      <c r="E60" s="1258" t="s">
        <v>1874</v>
      </c>
      <c r="F60" s="2743" t="str">
        <f>IF(项目基本情况!B7="企业","——",IF('数据-取费表'!B10="住宅",IF(F50*F51*F52/12/(1+'数据-取费表'!F30)&gt;100000,4%,2.5%),IF(F50*F51*F52/12/(1+'数据-取费表'!F30)&gt;100000,12%,7%)))</f>
        <v>——</v>
      </c>
      <c r="I60" s="1475" t="s">
        <v>1946</v>
      </c>
      <c r="J60" s="991">
        <f>IF(OR(M48="住宅",J52&lt;L49,J57="是"),"——",ROUND(C29*J59,0))</f>
        <v>328461</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175</v>
      </c>
      <c r="R60" s="1007" t="s">
        <v>774</v>
      </c>
    </row>
    <row r="61" spans="1:18" s="652" customFormat="1" ht="16.5" thickBot="1">
      <c r="A61" s="253" t="s">
        <v>16</v>
      </c>
      <c r="B61" s="235" t="s">
        <v>1875</v>
      </c>
      <c r="C61" s="13">
        <f ca="1">IF(项目基本情况!B7="自然人","——",ROUND(C49*F61/(1+'数据-取费表'!F30),0))</f>
        <v>0</v>
      </c>
      <c r="D61" s="1258" t="s">
        <v>1876</v>
      </c>
      <c r="E61" s="235" t="s">
        <v>1825</v>
      </c>
      <c r="F61" s="267">
        <f t="shared" ref="F61:F67" si="0">F32</f>
        <v>5.5000000000000007E-2</v>
      </c>
      <c r="I61" s="1476" t="s">
        <v>1947</v>
      </c>
      <c r="J61" s="990">
        <f>IF(OR(M48="住宅",J52&lt;L49,J57="是"),"0",ROUND(J60/(1+J53)^J54,0))</f>
        <v>36434</v>
      </c>
      <c r="K61" s="1477" t="s">
        <v>1948</v>
      </c>
      <c r="L61" s="990">
        <f>IF(OR(M48="住宅",L49&lt;J52),0,ROUND(L58*(L59/L60-1),0))</f>
        <v>0</v>
      </c>
      <c r="O61" s="998" t="s">
        <v>1949</v>
      </c>
      <c r="P61" s="999"/>
      <c r="Q61" s="995"/>
      <c r="R61" s="999"/>
    </row>
    <row r="62" spans="1:18" s="652" customFormat="1" ht="15.75" thickBot="1">
      <c r="A62" s="253" t="s">
        <v>17</v>
      </c>
      <c r="B62" s="235" t="s">
        <v>1950</v>
      </c>
      <c r="C62" s="13">
        <f>IF(项目基本情况!B7="自然人","——",IF(D62="按租金收入计税",ROUND(C50*F62/(1+'数据-取费表'!F30),0),IF(D62="按房产原值计税",ROUND(C58*F62*0.7,0),'数据-取费表'!B44)))</f>
        <v>68977</v>
      </c>
      <c r="D62" s="1363" t="s">
        <v>1822</v>
      </c>
      <c r="E62" s="235" t="s">
        <v>1825</v>
      </c>
      <c r="F62" s="258">
        <f t="shared" si="0"/>
        <v>0.12</v>
      </c>
      <c r="O62" s="1000" t="s">
        <v>1895</v>
      </c>
      <c r="P62" s="1001" t="s">
        <v>1896</v>
      </c>
      <c r="Q62" s="1002" t="s">
        <v>1897</v>
      </c>
      <c r="R62" s="1003" t="s">
        <v>1898</v>
      </c>
    </row>
    <row r="63" spans="1:18" s="652" customFormat="1" ht="15.75" thickBot="1">
      <c r="A63" s="260" t="s">
        <v>18</v>
      </c>
      <c r="B63" s="36" t="s">
        <v>1951</v>
      </c>
      <c r="C63" s="14">
        <f>IF(项目基本情况!B7="自然人","——",ROUND(F63*F64,0))</f>
        <v>0</v>
      </c>
      <c r="D63" s="261" t="s">
        <v>1952</v>
      </c>
      <c r="E63" s="235" t="s">
        <v>1953</v>
      </c>
      <c r="F63" s="262">
        <f t="shared" si="0"/>
        <v>1.5</v>
      </c>
      <c r="I63" s="1478" t="s">
        <v>1954</v>
      </c>
      <c r="J63" s="1250" t="s">
        <v>1955</v>
      </c>
      <c r="K63" s="1250" t="s">
        <v>1956</v>
      </c>
      <c r="L63" s="1250" t="s">
        <v>1957</v>
      </c>
      <c r="M63" s="1249" t="s">
        <v>1958</v>
      </c>
      <c r="O63" s="1004" t="s">
        <v>767</v>
      </c>
      <c r="P63" s="1005" t="s">
        <v>1899</v>
      </c>
      <c r="Q63" s="1006">
        <f ca="1">C40+J29</f>
        <v>1746541</v>
      </c>
      <c r="R63" s="1007" t="s">
        <v>1900</v>
      </c>
    </row>
    <row r="64" spans="1:18" s="652" customFormat="1" ht="20.25" thickBot="1">
      <c r="A64" s="263"/>
      <c r="B64" s="244"/>
      <c r="C64" s="17"/>
      <c r="D64" s="264"/>
      <c r="E64" s="235" t="s">
        <v>1959</v>
      </c>
      <c r="F64" s="236">
        <f t="shared" si="0"/>
        <v>0</v>
      </c>
      <c r="I64" s="1478" t="s">
        <v>1960</v>
      </c>
      <c r="J64" s="1250">
        <v>70</v>
      </c>
      <c r="K64" s="1250">
        <v>50</v>
      </c>
      <c r="L64" s="1250">
        <v>80</v>
      </c>
      <c r="M64" s="1248">
        <v>0.02</v>
      </c>
      <c r="O64" s="1004" t="s">
        <v>768</v>
      </c>
      <c r="P64" s="1005" t="s">
        <v>1931</v>
      </c>
      <c r="Q64" s="1006">
        <f>L61</f>
        <v>0</v>
      </c>
      <c r="R64" s="1007" t="s">
        <v>1932</v>
      </c>
    </row>
    <row r="65" spans="1:18" s="652" customFormat="1" ht="23.25" thickBot="1">
      <c r="A65" s="253" t="s">
        <v>19</v>
      </c>
      <c r="B65" s="235" t="s">
        <v>1880</v>
      </c>
      <c r="C65" s="13">
        <f>ROUND(C58*F65,0)</f>
        <v>4106</v>
      </c>
      <c r="D65" s="1258" t="s">
        <v>1881</v>
      </c>
      <c r="E65" s="235" t="s">
        <v>1825</v>
      </c>
      <c r="F65" s="265">
        <f t="shared" si="0"/>
        <v>5.0000000000000001E-3</v>
      </c>
      <c r="I65" s="1478" t="s">
        <v>1961</v>
      </c>
      <c r="J65" s="1250">
        <v>50</v>
      </c>
      <c r="K65" s="1250">
        <v>35</v>
      </c>
      <c r="L65" s="1250">
        <v>60</v>
      </c>
      <c r="M65" s="1249">
        <v>0</v>
      </c>
      <c r="O65" s="1008" t="s">
        <v>769</v>
      </c>
      <c r="P65" s="1005" t="s">
        <v>1935</v>
      </c>
      <c r="Q65" s="1010">
        <f ca="1">L52</f>
        <v>34104178</v>
      </c>
      <c r="R65" s="1011" t="s">
        <v>1962</v>
      </c>
    </row>
    <row r="66" spans="1:18" s="652" customFormat="1" ht="20.25" thickBot="1">
      <c r="A66" s="253" t="s">
        <v>20</v>
      </c>
      <c r="B66" s="235" t="s">
        <v>1840</v>
      </c>
      <c r="C66" s="13">
        <f>ROUND(C57*F66,0)</f>
        <v>723</v>
      </c>
      <c r="D66" s="1258" t="s">
        <v>1841</v>
      </c>
      <c r="E66" s="235" t="s">
        <v>1842</v>
      </c>
      <c r="F66" s="266">
        <f t="shared" si="0"/>
        <v>1E-3</v>
      </c>
      <c r="I66" s="1478" t="s">
        <v>1963</v>
      </c>
      <c r="J66" s="1250">
        <v>40</v>
      </c>
      <c r="K66" s="1250">
        <v>30</v>
      </c>
      <c r="L66" s="1250">
        <v>50</v>
      </c>
      <c r="M66" s="1248">
        <v>0.02</v>
      </c>
      <c r="O66" s="1008" t="s">
        <v>770</v>
      </c>
      <c r="P66" s="1012" t="s">
        <v>1964</v>
      </c>
      <c r="Q66" s="1006">
        <f ca="1">ROUND(Q67-Q68*Q69,0)</f>
        <v>33435</v>
      </c>
      <c r="R66" s="1007"/>
    </row>
    <row r="67" spans="1:18" s="652" customFormat="1" ht="15.75" thickBot="1">
      <c r="A67" s="253" t="s">
        <v>21</v>
      </c>
      <c r="B67" s="235" t="s">
        <v>1823</v>
      </c>
      <c r="C67" s="13">
        <f ca="1">ROUND(C49*F67,0)</f>
        <v>0</v>
      </c>
      <c r="D67" s="1258" t="s">
        <v>1846</v>
      </c>
      <c r="E67" s="235" t="s">
        <v>1842</v>
      </c>
      <c r="F67" s="245">
        <f t="shared" si="0"/>
        <v>0.01</v>
      </c>
      <c r="O67" s="1008" t="s">
        <v>775</v>
      </c>
      <c r="P67" s="1012" t="s">
        <v>1965</v>
      </c>
      <c r="Q67" s="1006">
        <f ca="1">C39</f>
        <v>80405</v>
      </c>
      <c r="R67" s="1007" t="s">
        <v>1900</v>
      </c>
    </row>
    <row r="68" spans="1:18" ht="15.75" thickBot="1">
      <c r="A68" s="248" t="s">
        <v>22</v>
      </c>
      <c r="B68" s="41" t="s">
        <v>1850</v>
      </c>
      <c r="C68" s="250">
        <f ca="1">C49-C59</f>
        <v>-73806</v>
      </c>
      <c r="D68" s="1255" t="s">
        <v>1851</v>
      </c>
      <c r="E68" s="1257"/>
      <c r="F68" s="268"/>
      <c r="H68" s="652"/>
      <c r="I68" s="652"/>
      <c r="J68" s="652"/>
      <c r="K68" s="652"/>
      <c r="L68" s="652"/>
      <c r="M68" s="652"/>
      <c r="O68" s="1008" t="s">
        <v>776</v>
      </c>
      <c r="P68" s="1012" t="s">
        <v>1966</v>
      </c>
      <c r="Q68" s="1006">
        <f>C13</f>
        <v>722615</v>
      </c>
      <c r="R68" s="1007" t="s">
        <v>1900</v>
      </c>
    </row>
    <row r="69" spans="1:18" ht="15.75" thickBot="1">
      <c r="A69" s="232" t="s">
        <v>23</v>
      </c>
      <c r="B69" s="233" t="s">
        <v>1888</v>
      </c>
      <c r="C69" s="234">
        <f ca="1">ROUND(C68*(1-((1+F71)/(1+F69))^F70)/(F69-F71),0)</f>
        <v>-1173798</v>
      </c>
      <c r="D69" s="261" t="s">
        <v>1856</v>
      </c>
      <c r="E69" s="235" t="s">
        <v>1857</v>
      </c>
      <c r="F69" s="245">
        <f>F40</f>
        <v>4.9999999999999996E-2</v>
      </c>
      <c r="H69" s="652"/>
      <c r="I69" s="652"/>
      <c r="J69" s="652"/>
      <c r="K69" s="652"/>
      <c r="L69" s="652"/>
      <c r="M69" s="652"/>
      <c r="O69" s="1008" t="s">
        <v>777</v>
      </c>
      <c r="P69" s="1012" t="s">
        <v>1967</v>
      </c>
      <c r="Q69" s="1009">
        <f>J35</f>
        <v>6.5000000000000002E-2</v>
      </c>
      <c r="R69" s="1007"/>
    </row>
    <row r="70" spans="1:18" ht="15.75" thickBot="1">
      <c r="A70" s="237"/>
      <c r="B70" s="238"/>
      <c r="C70" s="239"/>
      <c r="D70" s="269" t="s">
        <v>1890</v>
      </c>
      <c r="E70" s="235" t="s">
        <v>1862</v>
      </c>
      <c r="F70" s="270">
        <f>F41</f>
        <v>32.5</v>
      </c>
      <c r="H70" s="652"/>
      <c r="I70" s="652"/>
      <c r="J70" s="652"/>
      <c r="K70" s="652"/>
      <c r="L70" s="652"/>
      <c r="M70" s="652"/>
      <c r="O70" s="1008" t="s">
        <v>771</v>
      </c>
      <c r="P70" s="1005" t="s">
        <v>1938</v>
      </c>
      <c r="Q70" s="1009">
        <f>L53</f>
        <v>0</v>
      </c>
      <c r="R70" s="1007"/>
    </row>
    <row r="71" spans="1:18" ht="20.25" thickBot="1">
      <c r="A71" s="241"/>
      <c r="B71" s="242"/>
      <c r="C71" s="243"/>
      <c r="D71" s="264"/>
      <c r="E71" s="235" t="s">
        <v>1866</v>
      </c>
      <c r="F71" s="993"/>
      <c r="H71" s="652"/>
      <c r="M71" s="652"/>
      <c r="O71" s="1008" t="s">
        <v>772</v>
      </c>
      <c r="P71" s="1005" t="s">
        <v>1941</v>
      </c>
      <c r="Q71" s="1006" t="e">
        <f>L59</f>
        <v>#DIV/0!</v>
      </c>
      <c r="R71" s="1007" t="s">
        <v>1942</v>
      </c>
    </row>
    <row r="72" spans="1:18" ht="15.75" thickBot="1">
      <c r="A72" s="271" t="s">
        <v>24</v>
      </c>
      <c r="B72" s="272" t="s">
        <v>1891</v>
      </c>
      <c r="C72" s="273">
        <f ca="1">ROUND(C69/F72,0)</f>
        <v>-10445</v>
      </c>
      <c r="D72" s="274" t="s">
        <v>1892</v>
      </c>
      <c r="E72" s="275" t="s">
        <v>1893</v>
      </c>
      <c r="F72" s="276">
        <f>F43</f>
        <v>112.38</v>
      </c>
      <c r="O72" s="1008" t="s">
        <v>778</v>
      </c>
      <c r="P72" s="1005" t="str">
        <f>K60</f>
        <v>建筑物剩余耐用年限下的土地年期修正系数Kn</v>
      </c>
      <c r="Q72" s="1006" t="e">
        <f>L60</f>
        <v>#DIV/0!</v>
      </c>
      <c r="R72" s="1007" t="s">
        <v>1945</v>
      </c>
    </row>
    <row r="73" spans="1:18" ht="15.75" thickBot="1">
      <c r="A73" s="652"/>
      <c r="B73" s="656"/>
      <c r="C73" s="656"/>
      <c r="D73" s="652"/>
      <c r="E73" s="652"/>
      <c r="F73" s="652"/>
      <c r="O73" s="1004" t="s">
        <v>773</v>
      </c>
      <c r="P73" s="1005" t="str">
        <f>IF(C2="元","收益价值(元)","收益价值(万元)")</f>
        <v>收益价值(万元)</v>
      </c>
      <c r="Q73" s="1006">
        <f ca="1">ROUND(IF(C2="元",Q63+Q64,(Q63+Q64)/10000),0)</f>
        <v>175</v>
      </c>
      <c r="R73" s="1007"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6"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7" t="str">
        <f>项目基本情况!B4</f>
        <v>xx</v>
      </c>
      <c r="C12" s="771"/>
    </row>
    <row r="13" spans="1:7">
      <c r="A13" s="861"/>
      <c r="B13" s="791"/>
      <c r="C13" s="771"/>
    </row>
    <row r="14" spans="1:7">
      <c r="A14" s="864" t="s">
        <v>758</v>
      </c>
      <c r="B14" s="863" t="s">
        <v>760</v>
      </c>
      <c r="C14" s="771"/>
    </row>
    <row r="15" spans="1:7">
      <c r="A15" s="861"/>
      <c r="B15" s="1267" t="s">
        <v>589</v>
      </c>
      <c r="C15" s="771"/>
    </row>
    <row r="16" spans="1:7">
      <c r="A16" s="861"/>
      <c r="B16" s="791"/>
      <c r="C16" s="771"/>
    </row>
    <row r="17" spans="1:5">
      <c r="A17" s="864" t="s">
        <v>758</v>
      </c>
      <c r="B17" s="863" t="s">
        <v>761</v>
      </c>
      <c r="C17" s="771"/>
    </row>
    <row r="18" spans="1:5" s="775" customFormat="1">
      <c r="A18" s="862"/>
      <c r="B18" s="1267"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7"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570" t="s">
        <v>2651</v>
      </c>
      <c r="K2" s="3571"/>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572" t="s">
        <v>2661</v>
      </c>
      <c r="K3" s="3573"/>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572" t="s">
        <v>2663</v>
      </c>
      <c r="K4" s="3573"/>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574" t="s">
        <v>2667</v>
      </c>
      <c r="B6" s="3575"/>
      <c r="C6" s="3576"/>
      <c r="D6" s="3152"/>
      <c r="E6" s="3096"/>
      <c r="F6" s="3097"/>
      <c r="G6" s="3197"/>
      <c r="H6" s="3183"/>
      <c r="I6" s="3184"/>
      <c r="J6" s="3577">
        <v>1</v>
      </c>
      <c r="K6" s="3578"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577"/>
      <c r="K7" s="3579"/>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581" t="s">
        <v>2680</v>
      </c>
      <c r="C8" s="3582"/>
      <c r="D8" s="3106" t="s">
        <v>2681</v>
      </c>
      <c r="E8" s="3107" t="s">
        <v>2682</v>
      </c>
      <c r="F8" s="3090" t="s">
        <v>2683</v>
      </c>
      <c r="G8" s="3260" t="s">
        <v>2791</v>
      </c>
      <c r="H8" s="3183"/>
      <c r="I8" s="3184"/>
      <c r="J8" s="3577"/>
      <c r="K8" s="3579"/>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581" t="s">
        <v>2685</v>
      </c>
      <c r="C9" s="3582"/>
      <c r="D9" s="3106">
        <f>ROUND(D6*E9,0)</f>
        <v>0</v>
      </c>
      <c r="E9" s="3153"/>
      <c r="F9" s="3108" t="s">
        <v>2686</v>
      </c>
      <c r="G9" s="3206" t="s">
        <v>2789</v>
      </c>
      <c r="H9" s="3183"/>
      <c r="I9" s="3184"/>
      <c r="J9" s="3577"/>
      <c r="K9" s="3579"/>
      <c r="L9" s="3201" t="s">
        <v>2779</v>
      </c>
      <c r="M9" s="3202"/>
      <c r="N9" s="3202"/>
      <c r="O9" s="3203"/>
      <c r="P9" s="3203"/>
      <c r="Q9" s="3204">
        <v>365</v>
      </c>
      <c r="R9" s="3205">
        <f t="shared" si="0"/>
        <v>0</v>
      </c>
      <c r="S9" s="3181"/>
      <c r="T9" s="3181"/>
      <c r="U9" s="3181"/>
      <c r="V9" s="3184"/>
      <c r="W9" s="3183"/>
    </row>
    <row r="10" spans="1:23" s="3089" customFormat="1" ht="13.15" customHeight="1">
      <c r="A10" s="3105">
        <v>2</v>
      </c>
      <c r="B10" s="3581" t="s">
        <v>2687</v>
      </c>
      <c r="C10" s="3582"/>
      <c r="D10" s="3106">
        <f>ROUND(D6*E10,0)</f>
        <v>0</v>
      </c>
      <c r="E10" s="3153"/>
      <c r="F10" s="3108" t="s">
        <v>2688</v>
      </c>
      <c r="G10" s="3206" t="s">
        <v>2790</v>
      </c>
      <c r="H10" s="3183"/>
      <c r="I10" s="3184"/>
      <c r="J10" s="3577"/>
      <c r="K10" s="3579"/>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581" t="s">
        <v>2689</v>
      </c>
      <c r="C11" s="3582"/>
      <c r="D11" s="3106">
        <f>D12+D14+D15+D16</f>
        <v>0</v>
      </c>
      <c r="E11" s="3109" t="e">
        <f>D11/D6</f>
        <v>#DIV/0!</v>
      </c>
      <c r="F11" s="3090"/>
      <c r="G11" s="3206"/>
      <c r="H11" s="3183"/>
      <c r="I11" s="3184"/>
      <c r="J11" s="3577"/>
      <c r="K11" s="3579"/>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583" t="s">
        <v>2691</v>
      </c>
      <c r="C12" s="3584"/>
      <c r="D12" s="3111">
        <f>ROUND(D13*1.2%*(1-30%),0)</f>
        <v>0</v>
      </c>
      <c r="E12" s="3112">
        <v>1.2E-2</v>
      </c>
      <c r="F12" s="3090" t="s">
        <v>2692</v>
      </c>
      <c r="G12" s="3206"/>
      <c r="H12" s="3183"/>
      <c r="I12" s="3184"/>
      <c r="J12" s="3577"/>
      <c r="K12" s="3579"/>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577"/>
      <c r="K13" s="3579"/>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583" t="s">
        <v>2695</v>
      </c>
      <c r="C14" s="3584"/>
      <c r="D14" s="3111">
        <f>ROUND(E14*B5/10000,0)</f>
        <v>0</v>
      </c>
      <c r="E14" s="3155"/>
      <c r="F14" s="3090" t="s">
        <v>2696</v>
      </c>
      <c r="G14" s="3206"/>
      <c r="H14" s="3183"/>
      <c r="I14" s="3184"/>
      <c r="J14" s="3577"/>
      <c r="K14" s="3580"/>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583" t="s">
        <v>2699</v>
      </c>
      <c r="C15" s="3584"/>
      <c r="D15" s="3111">
        <f>ROUND(D6*E15,0)</f>
        <v>0</v>
      </c>
      <c r="E15" s="3112">
        <v>5.5E-2</v>
      </c>
      <c r="F15" s="3090" t="s">
        <v>2700</v>
      </c>
      <c r="G15" s="3206"/>
      <c r="H15" s="3183"/>
      <c r="I15" s="3184"/>
      <c r="J15" s="3577">
        <v>2</v>
      </c>
      <c r="K15" s="3578"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583" t="s">
        <v>2710</v>
      </c>
      <c r="C16" s="3584"/>
      <c r="D16" s="3156">
        <f>D6*E16</f>
        <v>0</v>
      </c>
      <c r="E16" s="3157"/>
      <c r="F16" s="3108" t="s">
        <v>2711</v>
      </c>
      <c r="G16" s="3206"/>
      <c r="H16" s="3183"/>
      <c r="I16" s="3184"/>
      <c r="J16" s="3577"/>
      <c r="K16" s="3579"/>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585" t="s">
        <v>2712</v>
      </c>
      <c r="C17" s="3586"/>
      <c r="D17" s="3117">
        <f>ROUND(D6*E17,0)</f>
        <v>0</v>
      </c>
      <c r="E17" s="3158"/>
      <c r="F17" s="3118" t="s">
        <v>2713</v>
      </c>
      <c r="G17" s="3259">
        <v>0.1</v>
      </c>
      <c r="H17" s="3183"/>
      <c r="I17" s="3184"/>
      <c r="J17" s="3577"/>
      <c r="K17" s="3579"/>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577"/>
      <c r="K18" s="3579"/>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577"/>
      <c r="K19" s="3580"/>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577">
        <v>3</v>
      </c>
      <c r="K20" s="3578"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577"/>
      <c r="K21" s="3579"/>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577"/>
      <c r="K22" s="3579"/>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577"/>
      <c r="K23" s="3579"/>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577"/>
      <c r="K24" s="3580"/>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587">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588"/>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570" t="s">
        <v>2749</v>
      </c>
      <c r="K32" s="3571"/>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572" t="s">
        <v>2753</v>
      </c>
      <c r="K33" s="3573"/>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572" t="s">
        <v>2755</v>
      </c>
      <c r="K34" s="3573"/>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577">
        <v>1</v>
      </c>
      <c r="K36" s="3578"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577"/>
      <c r="K37" s="3579"/>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577"/>
      <c r="K38" s="3579"/>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577"/>
      <c r="K39" s="3579"/>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577"/>
      <c r="K40" s="3580"/>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587">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588"/>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T27" sqref="T27:T36"/>
    </sheetView>
  </sheetViews>
  <sheetFormatPr defaultColWidth="9" defaultRowHeight="12.75"/>
  <cols>
    <col min="1" max="1" width="12.375" style="32" customWidth="1"/>
    <col min="2" max="2" width="9.25" style="16" customWidth="1"/>
    <col min="3" max="3" width="5" style="16" customWidth="1"/>
    <col min="4" max="4" width="9" style="16" hidden="1" customWidth="1"/>
    <col min="5" max="5" width="5" style="16" hidden="1" customWidth="1"/>
    <col min="6" max="6" width="9" style="16" hidden="1" customWidth="1"/>
    <col min="7" max="7" width="5" style="16" hidden="1" customWidth="1"/>
    <col min="8" max="8" width="9" style="16" hidden="1" customWidth="1"/>
    <col min="9" max="9" width="5" style="16" hidden="1" customWidth="1"/>
    <col min="10" max="10" width="9" style="16" hidden="1" customWidth="1"/>
    <col min="11" max="11" width="5" style="16" hidden="1" customWidth="1"/>
    <col min="12" max="12" width="9" style="16" hidden="1" customWidth="1"/>
    <col min="13" max="13" width="5" style="16" hidden="1" customWidth="1"/>
    <col min="14" max="14" width="9" style="16"/>
    <col min="15" max="15" width="5" style="16" customWidth="1"/>
    <col min="16" max="16" width="9" style="16"/>
    <col min="17" max="17" width="5" style="16" customWidth="1"/>
    <col min="18" max="18" width="9" style="582"/>
    <col min="19" max="19" width="0" style="32" hidden="1" customWidth="1"/>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 ca="1">B23</f>
        <v>1455</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f ca="1">B24</f>
        <v>16162</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92" t="s">
        <v>1973</v>
      </c>
      <c r="D4" s="3593"/>
      <c r="E4" s="3593"/>
      <c r="F4" s="3593"/>
      <c r="G4" s="3593"/>
      <c r="H4" s="3593"/>
      <c r="I4" s="3593"/>
      <c r="J4" s="3593"/>
      <c r="K4" s="3593"/>
      <c r="L4" s="3593"/>
      <c r="M4" s="3593"/>
      <c r="N4" s="3593"/>
      <c r="O4" s="3593"/>
      <c r="P4" s="3593"/>
      <c r="Q4" s="3593"/>
      <c r="R4" s="3593"/>
      <c r="S4" s="3594"/>
      <c r="T4" s="575" t="s">
        <v>1974</v>
      </c>
      <c r="U4" s="957"/>
      <c r="V4" s="957"/>
      <c r="X4" s="957"/>
      <c r="Y4" s="957"/>
    </row>
    <row r="5" spans="1:44" s="587" customFormat="1" ht="38.25">
      <c r="A5" s="961"/>
      <c r="B5" s="583" t="s">
        <v>1975</v>
      </c>
      <c r="C5" s="584" t="str">
        <f t="shared" ref="C5:L5" si="0">C6&amp;"(含)"&amp;"-"&amp;D6</f>
        <v>0(含)-80</v>
      </c>
      <c r="D5" s="585" t="str">
        <f t="shared" si="0"/>
        <v>80(含)-150</v>
      </c>
      <c r="E5" s="585" t="str">
        <f t="shared" si="0"/>
        <v>150(含)-300</v>
      </c>
      <c r="F5" s="585" t="str">
        <f t="shared" si="0"/>
        <v>300(含)-400</v>
      </c>
      <c r="G5" s="585" t="str">
        <f t="shared" si="0"/>
        <v>400(含)-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v>0</v>
      </c>
      <c r="D6" s="590">
        <v>80</v>
      </c>
      <c r="E6" s="590">
        <v>150</v>
      </c>
      <c r="F6" s="590">
        <v>300</v>
      </c>
      <c r="G6" s="590">
        <v>400</v>
      </c>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v>98</v>
      </c>
      <c r="D7" s="842">
        <v>99</v>
      </c>
      <c r="E7" s="842">
        <v>100</v>
      </c>
      <c r="F7" s="842">
        <v>99</v>
      </c>
      <c r="G7" s="842">
        <v>98</v>
      </c>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3329" t="s">
        <v>3093</v>
      </c>
      <c r="C18" s="3330" t="s">
        <v>3094</v>
      </c>
      <c r="D18" s="3331" t="s">
        <v>3095</v>
      </c>
      <c r="E18" s="3331" t="s">
        <v>3096</v>
      </c>
      <c r="F18" s="3331" t="s">
        <v>3097</v>
      </c>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v>100</v>
      </c>
      <c r="D19" s="842">
        <v>98</v>
      </c>
      <c r="E19" s="842">
        <v>96</v>
      </c>
      <c r="F19" s="842">
        <v>94</v>
      </c>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1981</v>
      </c>
      <c r="B20" s="1480" t="s">
        <v>1982</v>
      </c>
      <c r="C20" s="3325" t="s">
        <v>3082</v>
      </c>
      <c r="D20" s="3326" t="s">
        <v>3083</v>
      </c>
      <c r="E20" s="3326" t="s">
        <v>3084</v>
      </c>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v>102</v>
      </c>
      <c r="D21" s="977">
        <v>100</v>
      </c>
      <c r="E21" s="977">
        <v>98</v>
      </c>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5"/>
      <c r="S22" s="31"/>
      <c r="T22" s="31"/>
      <c r="U22" s="957"/>
      <c r="V22" s="958"/>
      <c r="W22" s="662"/>
      <c r="X22" s="662"/>
      <c r="Y22" s="662"/>
      <c r="Z22" s="662"/>
    </row>
    <row r="23" spans="1:45" ht="16.5" thickBot="1">
      <c r="A23" s="81" t="s">
        <v>1984</v>
      </c>
      <c r="B23" s="224">
        <f ca="1">IF(F23="——",IF(C23="万元",T25,S25),IF(C23="万元",T25-H23,S25-H23))</f>
        <v>1455</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5"/>
      <c r="S23" s="31"/>
      <c r="T23" s="31"/>
      <c r="U23" s="957">
        <f ca="1">T25-T27</f>
        <v>1271</v>
      </c>
      <c r="V23" s="958">
        <f>B25-B27</f>
        <v>787.89</v>
      </c>
      <c r="W23" s="662">
        <f ca="1">ROUND(U23/V23*10000,0)</f>
        <v>16132</v>
      </c>
      <c r="X23" s="662"/>
      <c r="Y23" s="662"/>
      <c r="Z23" s="662"/>
    </row>
    <row r="24" spans="1:45" ht="15.75">
      <c r="A24" s="1482" t="s">
        <v>1985</v>
      </c>
      <c r="B24" s="224">
        <f ca="1">ROUND(B23*10000/B25,0)</f>
        <v>16162</v>
      </c>
      <c r="C24" s="822"/>
      <c r="D24" s="37"/>
      <c r="E24" s="37"/>
      <c r="F24" s="37"/>
      <c r="G24" s="37"/>
      <c r="H24" s="37"/>
      <c r="I24" s="37"/>
      <c r="J24" s="37"/>
      <c r="K24" s="37"/>
      <c r="L24" s="37"/>
      <c r="M24" s="37"/>
      <c r="N24" s="37"/>
      <c r="O24" s="37"/>
      <c r="P24" s="37"/>
      <c r="Q24" s="37"/>
      <c r="R24" s="645"/>
      <c r="S24" s="13" t="s">
        <v>1986</v>
      </c>
      <c r="T24" s="1259" t="s">
        <v>1987</v>
      </c>
      <c r="U24" s="2172" t="s">
        <v>1988</v>
      </c>
      <c r="V24" s="2905"/>
      <c r="W24" s="2906" t="s">
        <v>1989</v>
      </c>
      <c r="X24" s="2172" t="s">
        <v>1990</v>
      </c>
      <c r="Y24" s="2905"/>
      <c r="Z24" s="2907" t="s">
        <v>1989</v>
      </c>
    </row>
    <row r="25" spans="1:45">
      <c r="A25" s="250" t="s">
        <v>1991</v>
      </c>
      <c r="B25" s="13">
        <f>SUM(B27:B10000)</f>
        <v>900.27</v>
      </c>
      <c r="C25" s="3589" t="s">
        <v>45</v>
      </c>
      <c r="D25" s="3590"/>
      <c r="E25" s="3590"/>
      <c r="F25" s="3590"/>
      <c r="G25" s="3590"/>
      <c r="H25" s="3590"/>
      <c r="I25" s="3590"/>
      <c r="J25" s="3590"/>
      <c r="K25" s="3590"/>
      <c r="L25" s="3590"/>
      <c r="M25" s="3590"/>
      <c r="N25" s="3590"/>
      <c r="O25" s="3590"/>
      <c r="P25" s="3590"/>
      <c r="Q25" s="3591"/>
      <c r="R25" s="597">
        <f ca="1">IF(C23="万元",ROUND(T25*10000/B25,0),ROUND(S25/B25,0))</f>
        <v>16162</v>
      </c>
      <c r="S25" s="13">
        <f ca="1">SUM(S27:S10000)</f>
        <v>14535881</v>
      </c>
      <c r="T25" s="13">
        <f ca="1">SUM(T27:T10000)</f>
        <v>1455</v>
      </c>
      <c r="U25" s="17">
        <f>SUM(U27:U10000)</f>
        <v>0</v>
      </c>
      <c r="V25" s="17">
        <f>SUM(V27:V10000)</f>
        <v>0</v>
      </c>
      <c r="W25" s="2909"/>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内部装修</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tr">
        <f>Sheet1!B87</f>
        <v>2-809</v>
      </c>
      <c r="B27" s="600">
        <f>'数据-取费表'!E5</f>
        <v>112.38</v>
      </c>
      <c r="C27" s="859">
        <v>1</v>
      </c>
      <c r="D27" s="601"/>
      <c r="E27" s="859">
        <v>1</v>
      </c>
      <c r="F27" s="601"/>
      <c r="G27" s="859">
        <v>1</v>
      </c>
      <c r="H27" s="601"/>
      <c r="I27" s="859">
        <v>1</v>
      </c>
      <c r="J27" s="601"/>
      <c r="K27" s="859">
        <v>1</v>
      </c>
      <c r="L27" s="601"/>
      <c r="M27" s="859">
        <v>1</v>
      </c>
      <c r="N27" s="601" t="str">
        <f>Sheet1!F11</f>
        <v>毛坯</v>
      </c>
      <c r="O27" s="859">
        <v>1</v>
      </c>
      <c r="P27" s="3327" t="str">
        <f>Sheet1!E11</f>
        <v>中区</v>
      </c>
      <c r="Q27" s="859">
        <v>1</v>
      </c>
      <c r="R27" s="865">
        <f ca="1">结果表!G20</f>
        <v>16342</v>
      </c>
      <c r="S27" s="600">
        <f ca="1">ROUND(R27*B27,0)</f>
        <v>1836514</v>
      </c>
      <c r="T27" s="600">
        <f ca="1">ROUND(R27*B27/10000,0)</f>
        <v>184</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599" t="str">
        <f>Sheet1!B88</f>
        <v>1-202</v>
      </c>
      <c r="B28" s="599">
        <f>Sheet1!D88</f>
        <v>84.61</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t="s">
        <v>3156</v>
      </c>
      <c r="O28" s="13">
        <f t="shared" ref="O28:O91" si="20">(SUMIF($18:$18,N28,$19:$19)-SUMIF($18:$18,$N$27,$19:$19)+100)/100</f>
        <v>1.02</v>
      </c>
      <c r="P28" s="3327" t="str">
        <f>Sheet1!E12</f>
        <v>低区</v>
      </c>
      <c r="Q28" s="13">
        <f t="shared" ref="Q28:Q91" si="21">(SUMIF($20:$20,P28,$21:$21)-SUMIF($20:$20,$P$27,$21:$21)+100)/100</f>
        <v>0.98</v>
      </c>
      <c r="R28" s="597">
        <f ca="1">IF(B28="",0,ROUND($R$27*C28*E28*G28*I28*K28*M28*O28*Q28,0))</f>
        <v>16335</v>
      </c>
      <c r="S28" s="250">
        <f ca="1">ROUND(R28*B28,0)</f>
        <v>1382104</v>
      </c>
      <c r="T28" s="859">
        <f ca="1">ROUND(R28*B28/10000,0)</f>
        <v>138</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599" t="str">
        <f>Sheet1!B89</f>
        <v>1-402</v>
      </c>
      <c r="B29" s="599">
        <f>Sheet1!D89</f>
        <v>84.61</v>
      </c>
      <c r="C29" s="13">
        <f t="shared" si="14"/>
        <v>1</v>
      </c>
      <c r="D29" s="601"/>
      <c r="E29" s="13">
        <f t="shared" si="15"/>
        <v>1</v>
      </c>
      <c r="F29" s="601"/>
      <c r="G29" s="13">
        <f t="shared" si="16"/>
        <v>1</v>
      </c>
      <c r="H29" s="601"/>
      <c r="I29" s="13">
        <f t="shared" si="17"/>
        <v>1</v>
      </c>
      <c r="J29" s="601"/>
      <c r="K29" s="13">
        <f t="shared" si="18"/>
        <v>1</v>
      </c>
      <c r="L29" s="601"/>
      <c r="M29" s="13">
        <f t="shared" si="19"/>
        <v>1</v>
      </c>
      <c r="N29" s="601" t="s">
        <v>3157</v>
      </c>
      <c r="O29" s="13">
        <f t="shared" si="20"/>
        <v>1.04</v>
      </c>
      <c r="P29" s="3327" t="str">
        <f>Sheet1!E13</f>
        <v>低区</v>
      </c>
      <c r="Q29" s="13">
        <f t="shared" si="21"/>
        <v>0.98</v>
      </c>
      <c r="R29" s="597">
        <f t="shared" ref="R29:R92" ca="1" si="26">IF(B29="",0,ROUND($R$27*C29*E29*G29*I29*K29*M29*O29*Q29,0))</f>
        <v>16656</v>
      </c>
      <c r="S29" s="250">
        <f t="shared" ref="S29:S92" ca="1" si="27">ROUND(R29*B29,0)</f>
        <v>1409264</v>
      </c>
      <c r="T29" s="859">
        <f t="shared" ref="T29:T92" ca="1" si="28">ROUND(R29*B29/10000,0)</f>
        <v>141</v>
      </c>
      <c r="U29" s="2908">
        <f t="shared" si="22"/>
        <v>0</v>
      </c>
      <c r="V29" s="2908">
        <f t="shared" si="23"/>
        <v>0</v>
      </c>
      <c r="W29" s="956"/>
      <c r="X29" s="2908">
        <f t="shared" si="24"/>
        <v>0</v>
      </c>
      <c r="Y29" s="2908">
        <f t="shared" si="25"/>
        <v>0</v>
      </c>
      <c r="Z29" s="956"/>
    </row>
    <row r="30" spans="1:45">
      <c r="A30" s="599" t="str">
        <f>Sheet1!B90</f>
        <v>1-403</v>
      </c>
      <c r="B30" s="599">
        <f>Sheet1!D90</f>
        <v>81.790000000000006</v>
      </c>
      <c r="C30" s="13">
        <f t="shared" si="14"/>
        <v>1</v>
      </c>
      <c r="D30" s="601"/>
      <c r="E30" s="13">
        <f t="shared" si="15"/>
        <v>1</v>
      </c>
      <c r="F30" s="601"/>
      <c r="G30" s="13">
        <f t="shared" si="16"/>
        <v>1</v>
      </c>
      <c r="H30" s="601"/>
      <c r="I30" s="13">
        <f t="shared" si="17"/>
        <v>1</v>
      </c>
      <c r="J30" s="601"/>
      <c r="K30" s="13">
        <f t="shared" si="18"/>
        <v>1</v>
      </c>
      <c r="L30" s="601"/>
      <c r="M30" s="13">
        <f t="shared" si="19"/>
        <v>1</v>
      </c>
      <c r="N30" s="601" t="str">
        <f>Sheet1!F14</f>
        <v>毛坯</v>
      </c>
      <c r="O30" s="13">
        <f t="shared" si="20"/>
        <v>1</v>
      </c>
      <c r="P30" s="3327" t="s">
        <v>3153</v>
      </c>
      <c r="Q30" s="13">
        <f t="shared" si="21"/>
        <v>0.98</v>
      </c>
      <c r="R30" s="597">
        <f t="shared" ca="1" si="26"/>
        <v>16015</v>
      </c>
      <c r="S30" s="250">
        <f t="shared" ca="1" si="27"/>
        <v>1309867</v>
      </c>
      <c r="T30" s="859">
        <f t="shared" ca="1" si="28"/>
        <v>131</v>
      </c>
      <c r="U30" s="2908">
        <f t="shared" si="22"/>
        <v>0</v>
      </c>
      <c r="V30" s="2908">
        <f t="shared" si="23"/>
        <v>0</v>
      </c>
      <c r="W30" s="956"/>
      <c r="X30" s="2908">
        <f t="shared" si="24"/>
        <v>0</v>
      </c>
      <c r="Y30" s="2908">
        <f t="shared" si="25"/>
        <v>0</v>
      </c>
      <c r="Z30" s="956"/>
      <c r="AB30" s="659">
        <f ca="1">T28+T29+T30+T31</f>
        <v>546</v>
      </c>
    </row>
    <row r="31" spans="1:45">
      <c r="A31" s="599" t="str">
        <f>Sheet1!B91</f>
        <v>2-207</v>
      </c>
      <c r="B31" s="599">
        <f>Sheet1!D91</f>
        <v>84.61</v>
      </c>
      <c r="C31" s="13">
        <f t="shared" si="14"/>
        <v>1</v>
      </c>
      <c r="D31" s="601"/>
      <c r="E31" s="13">
        <f t="shared" si="15"/>
        <v>1</v>
      </c>
      <c r="F31" s="601"/>
      <c r="G31" s="13">
        <f t="shared" si="16"/>
        <v>1</v>
      </c>
      <c r="H31" s="601"/>
      <c r="I31" s="13">
        <f t="shared" si="17"/>
        <v>1</v>
      </c>
      <c r="J31" s="601"/>
      <c r="K31" s="13">
        <f t="shared" si="18"/>
        <v>1</v>
      </c>
      <c r="L31" s="601"/>
      <c r="M31" s="13">
        <f t="shared" si="19"/>
        <v>1</v>
      </c>
      <c r="N31" s="601" t="str">
        <f>Sheet1!F15</f>
        <v>毛坯</v>
      </c>
      <c r="O31" s="13">
        <f t="shared" si="20"/>
        <v>1</v>
      </c>
      <c r="P31" s="3327" t="s">
        <v>3153</v>
      </c>
      <c r="Q31" s="13">
        <f t="shared" si="21"/>
        <v>0.98</v>
      </c>
      <c r="R31" s="597">
        <f t="shared" ca="1" si="26"/>
        <v>16015</v>
      </c>
      <c r="S31" s="250">
        <f t="shared" ca="1" si="27"/>
        <v>1355029</v>
      </c>
      <c r="T31" s="859">
        <f t="shared" ca="1" si="28"/>
        <v>136</v>
      </c>
      <c r="U31" s="2908">
        <f t="shared" si="22"/>
        <v>0</v>
      </c>
      <c r="V31" s="2908">
        <f t="shared" si="23"/>
        <v>0</v>
      </c>
      <c r="W31" s="956"/>
      <c r="X31" s="2908">
        <f t="shared" si="24"/>
        <v>0</v>
      </c>
      <c r="Y31" s="2908">
        <f t="shared" si="25"/>
        <v>0</v>
      </c>
      <c r="Z31" s="956"/>
      <c r="AB31" s="659">
        <f>B28+B29+B30+B31</f>
        <v>335.62</v>
      </c>
    </row>
    <row r="32" spans="1:45">
      <c r="A32" s="599" t="str">
        <f>Sheet1!B92</f>
        <v>2-307</v>
      </c>
      <c r="B32" s="599">
        <f>Sheet1!D92</f>
        <v>84.61</v>
      </c>
      <c r="C32" s="13">
        <f t="shared" si="14"/>
        <v>1</v>
      </c>
      <c r="D32" s="601"/>
      <c r="E32" s="13">
        <f t="shared" si="15"/>
        <v>1</v>
      </c>
      <c r="F32" s="601"/>
      <c r="G32" s="13">
        <f t="shared" si="16"/>
        <v>1</v>
      </c>
      <c r="H32" s="601"/>
      <c r="I32" s="13">
        <f t="shared" si="17"/>
        <v>1</v>
      </c>
      <c r="J32" s="601"/>
      <c r="K32" s="13">
        <f t="shared" si="18"/>
        <v>1</v>
      </c>
      <c r="L32" s="601"/>
      <c r="M32" s="13">
        <f t="shared" si="19"/>
        <v>1</v>
      </c>
      <c r="N32" s="3327" t="s">
        <v>3155</v>
      </c>
      <c r="O32" s="13">
        <f t="shared" si="20"/>
        <v>1</v>
      </c>
      <c r="P32" s="3327" t="s">
        <v>3154</v>
      </c>
      <c r="Q32" s="13">
        <f t="shared" si="21"/>
        <v>0.98</v>
      </c>
      <c r="R32" s="597">
        <f t="shared" ca="1" si="26"/>
        <v>16015</v>
      </c>
      <c r="S32" s="250">
        <f t="shared" ca="1" si="27"/>
        <v>1355029</v>
      </c>
      <c r="T32" s="859">
        <f t="shared" ca="1" si="28"/>
        <v>136</v>
      </c>
      <c r="U32" s="2908">
        <f t="shared" si="22"/>
        <v>0</v>
      </c>
      <c r="V32" s="2908">
        <f t="shared" si="23"/>
        <v>0</v>
      </c>
      <c r="W32" s="956"/>
      <c r="X32" s="2908">
        <f t="shared" si="24"/>
        <v>0</v>
      </c>
      <c r="Y32" s="2908">
        <f t="shared" si="25"/>
        <v>0</v>
      </c>
      <c r="Z32" s="956"/>
      <c r="AB32" s="659">
        <f ca="1">AB30/AB31*10000</f>
        <v>16268.39878433943</v>
      </c>
    </row>
    <row r="33" spans="1:26">
      <c r="A33" s="599" t="str">
        <f>Sheet1!B93</f>
        <v>2-308</v>
      </c>
      <c r="B33" s="599">
        <f>Sheet1!D93</f>
        <v>87.43</v>
      </c>
      <c r="C33" s="13">
        <f t="shared" si="14"/>
        <v>1</v>
      </c>
      <c r="D33" s="601"/>
      <c r="E33" s="13">
        <f t="shared" si="15"/>
        <v>1</v>
      </c>
      <c r="F33" s="601"/>
      <c r="G33" s="13">
        <f t="shared" si="16"/>
        <v>1</v>
      </c>
      <c r="H33" s="601"/>
      <c r="I33" s="13">
        <f t="shared" si="17"/>
        <v>1</v>
      </c>
      <c r="J33" s="601"/>
      <c r="K33" s="13">
        <f t="shared" si="18"/>
        <v>1</v>
      </c>
      <c r="L33" s="601"/>
      <c r="M33" s="13">
        <f t="shared" si="19"/>
        <v>1</v>
      </c>
      <c r="N33" s="3327" t="s">
        <v>3155</v>
      </c>
      <c r="O33" s="13">
        <f t="shared" si="20"/>
        <v>1</v>
      </c>
      <c r="P33" s="3327" t="s">
        <v>3154</v>
      </c>
      <c r="Q33" s="13">
        <f t="shared" si="21"/>
        <v>0.98</v>
      </c>
      <c r="R33" s="597">
        <f t="shared" ca="1" si="26"/>
        <v>16015</v>
      </c>
      <c r="S33" s="250">
        <f t="shared" ca="1" si="27"/>
        <v>1400191</v>
      </c>
      <c r="T33" s="859">
        <f t="shared" ca="1" si="28"/>
        <v>140</v>
      </c>
      <c r="U33" s="2908">
        <f t="shared" si="22"/>
        <v>0</v>
      </c>
      <c r="V33" s="2908">
        <f t="shared" si="23"/>
        <v>0</v>
      </c>
      <c r="W33" s="956"/>
      <c r="X33" s="2908">
        <f t="shared" si="24"/>
        <v>0</v>
      </c>
      <c r="Y33" s="2908">
        <f t="shared" si="25"/>
        <v>0</v>
      </c>
      <c r="Z33" s="956"/>
    </row>
    <row r="34" spans="1:26">
      <c r="A34" s="599" t="str">
        <f>Sheet1!B94</f>
        <v>2-401</v>
      </c>
      <c r="B34" s="599">
        <f>Sheet1!D94</f>
        <v>105.37</v>
      </c>
      <c r="C34" s="13">
        <f t="shared" si="14"/>
        <v>1</v>
      </c>
      <c r="D34" s="601"/>
      <c r="E34" s="13">
        <f t="shared" si="15"/>
        <v>1</v>
      </c>
      <c r="F34" s="601"/>
      <c r="G34" s="13">
        <f t="shared" si="16"/>
        <v>1</v>
      </c>
      <c r="H34" s="601"/>
      <c r="I34" s="13">
        <f t="shared" si="17"/>
        <v>1</v>
      </c>
      <c r="J34" s="601"/>
      <c r="K34" s="13">
        <f t="shared" si="18"/>
        <v>1</v>
      </c>
      <c r="L34" s="601"/>
      <c r="M34" s="13">
        <f t="shared" si="19"/>
        <v>1</v>
      </c>
      <c r="N34" s="3327" t="s">
        <v>3155</v>
      </c>
      <c r="O34" s="13">
        <f t="shared" si="20"/>
        <v>1</v>
      </c>
      <c r="P34" s="3327" t="s">
        <v>3154</v>
      </c>
      <c r="Q34" s="13">
        <f t="shared" si="21"/>
        <v>0.98</v>
      </c>
      <c r="R34" s="597">
        <f t="shared" ca="1" si="26"/>
        <v>16015</v>
      </c>
      <c r="S34" s="250">
        <f t="shared" ca="1" si="27"/>
        <v>1687501</v>
      </c>
      <c r="T34" s="859">
        <f t="shared" ca="1" si="28"/>
        <v>169</v>
      </c>
      <c r="U34" s="2908">
        <f t="shared" si="22"/>
        <v>0</v>
      </c>
      <c r="V34" s="2908">
        <f t="shared" si="23"/>
        <v>0</v>
      </c>
      <c r="W34" s="956"/>
      <c r="X34" s="2908">
        <f t="shared" si="24"/>
        <v>0</v>
      </c>
      <c r="Y34" s="2908">
        <f t="shared" si="25"/>
        <v>0</v>
      </c>
      <c r="Z34" s="956"/>
    </row>
    <row r="35" spans="1:26">
      <c r="A35" s="599" t="str">
        <f>Sheet1!B95</f>
        <v>2-408</v>
      </c>
      <c r="B35" s="599">
        <f>Sheet1!D95</f>
        <v>87.43</v>
      </c>
      <c r="C35" s="13">
        <f t="shared" si="14"/>
        <v>1</v>
      </c>
      <c r="D35" s="601"/>
      <c r="E35" s="13">
        <f t="shared" si="15"/>
        <v>1</v>
      </c>
      <c r="F35" s="601"/>
      <c r="G35" s="13">
        <f t="shared" si="16"/>
        <v>1</v>
      </c>
      <c r="H35" s="601"/>
      <c r="I35" s="13">
        <f t="shared" si="17"/>
        <v>1</v>
      </c>
      <c r="J35" s="601"/>
      <c r="K35" s="13">
        <f t="shared" si="18"/>
        <v>1</v>
      </c>
      <c r="L35" s="601"/>
      <c r="M35" s="13">
        <f t="shared" si="19"/>
        <v>1</v>
      </c>
      <c r="N35" s="3327" t="s">
        <v>3155</v>
      </c>
      <c r="O35" s="13">
        <f t="shared" si="20"/>
        <v>1</v>
      </c>
      <c r="P35" s="3327" t="s">
        <v>3154</v>
      </c>
      <c r="Q35" s="13">
        <f t="shared" si="21"/>
        <v>0.98</v>
      </c>
      <c r="R35" s="597">
        <f t="shared" ca="1" si="26"/>
        <v>16015</v>
      </c>
      <c r="S35" s="250">
        <f t="shared" ca="1" si="27"/>
        <v>1400191</v>
      </c>
      <c r="T35" s="859">
        <f t="shared" ca="1" si="28"/>
        <v>140</v>
      </c>
      <c r="U35" s="2908">
        <f t="shared" si="22"/>
        <v>0</v>
      </c>
      <c r="V35" s="2908">
        <f t="shared" si="23"/>
        <v>0</v>
      </c>
      <c r="W35" s="956"/>
      <c r="X35" s="2908">
        <f t="shared" si="24"/>
        <v>0</v>
      </c>
      <c r="Y35" s="2908">
        <f t="shared" si="25"/>
        <v>0</v>
      </c>
      <c r="Z35" s="956"/>
    </row>
    <row r="36" spans="1:26">
      <c r="A36" s="599" t="str">
        <f>Sheet1!B96</f>
        <v>2-508</v>
      </c>
      <c r="B36" s="599">
        <f>Sheet1!D96</f>
        <v>87.43</v>
      </c>
      <c r="C36" s="13">
        <f t="shared" si="14"/>
        <v>1</v>
      </c>
      <c r="D36" s="601"/>
      <c r="E36" s="13">
        <f t="shared" si="15"/>
        <v>1</v>
      </c>
      <c r="F36" s="601"/>
      <c r="G36" s="13">
        <f t="shared" si="16"/>
        <v>1</v>
      </c>
      <c r="H36" s="601"/>
      <c r="I36" s="13">
        <f t="shared" si="17"/>
        <v>1</v>
      </c>
      <c r="J36" s="601"/>
      <c r="K36" s="13">
        <f t="shared" si="18"/>
        <v>1</v>
      </c>
      <c r="L36" s="601"/>
      <c r="M36" s="13">
        <f t="shared" si="19"/>
        <v>1</v>
      </c>
      <c r="N36" s="3327" t="s">
        <v>3155</v>
      </c>
      <c r="O36" s="13">
        <f t="shared" si="20"/>
        <v>1</v>
      </c>
      <c r="P36" s="3327" t="s">
        <v>3154</v>
      </c>
      <c r="Q36" s="13">
        <f t="shared" si="21"/>
        <v>0.98</v>
      </c>
      <c r="R36" s="597">
        <f t="shared" ca="1" si="26"/>
        <v>16015</v>
      </c>
      <c r="S36" s="250">
        <f t="shared" ca="1" si="27"/>
        <v>1400191</v>
      </c>
      <c r="T36" s="859">
        <f t="shared" ca="1" si="28"/>
        <v>140</v>
      </c>
      <c r="U36" s="2908">
        <f t="shared" si="22"/>
        <v>0</v>
      </c>
      <c r="V36" s="2908">
        <f t="shared" si="23"/>
        <v>0</v>
      </c>
      <c r="W36" s="956"/>
      <c r="X36" s="2908">
        <f t="shared" si="24"/>
        <v>0</v>
      </c>
      <c r="Y36" s="2908">
        <f t="shared" si="25"/>
        <v>0</v>
      </c>
      <c r="Z36" s="956"/>
    </row>
    <row r="37" spans="1:26">
      <c r="A37" s="599"/>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0.06</v>
      </c>
      <c r="P37" s="3327"/>
      <c r="Q37" s="13">
        <f t="shared" si="21"/>
        <v>0</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599"/>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0.06</v>
      </c>
      <c r="P38" s="3327"/>
      <c r="Q38" s="13">
        <f t="shared" si="21"/>
        <v>0</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599"/>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0.06</v>
      </c>
      <c r="P39" s="3327"/>
      <c r="Q39" s="13">
        <f t="shared" si="21"/>
        <v>0</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599"/>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0.06</v>
      </c>
      <c r="P40" s="3327"/>
      <c r="Q40" s="13">
        <f t="shared" si="21"/>
        <v>0</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599"/>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0.06</v>
      </c>
      <c r="P41" s="3327"/>
      <c r="Q41" s="13">
        <f t="shared" si="21"/>
        <v>0</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0.06</v>
      </c>
      <c r="P42" s="3327"/>
      <c r="Q42" s="13">
        <f t="shared" si="21"/>
        <v>0</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0.06</v>
      </c>
      <c r="P43" s="3327"/>
      <c r="Q43" s="13">
        <f t="shared" si="21"/>
        <v>0</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0.06</v>
      </c>
      <c r="P44" s="3327"/>
      <c r="Q44" s="13">
        <f t="shared" si="21"/>
        <v>0</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0.06</v>
      </c>
      <c r="P45" s="601"/>
      <c r="Q45" s="13">
        <f t="shared" si="21"/>
        <v>0</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0.06</v>
      </c>
      <c r="P46" s="601"/>
      <c r="Q46" s="13">
        <f t="shared" si="21"/>
        <v>0</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0.06</v>
      </c>
      <c r="P47" s="601"/>
      <c r="Q47" s="13">
        <f t="shared" si="21"/>
        <v>0</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0.06</v>
      </c>
      <c r="P48" s="601"/>
      <c r="Q48" s="13">
        <f t="shared" si="21"/>
        <v>0</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0.06</v>
      </c>
      <c r="P49" s="601"/>
      <c r="Q49" s="13">
        <f t="shared" si="21"/>
        <v>0</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0.06</v>
      </c>
      <c r="P50" s="601"/>
      <c r="Q50" s="13">
        <f t="shared" si="21"/>
        <v>0</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0.06</v>
      </c>
      <c r="P51" s="601"/>
      <c r="Q51" s="13">
        <f t="shared" si="21"/>
        <v>0</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0.06</v>
      </c>
      <c r="P52" s="601"/>
      <c r="Q52" s="13">
        <f t="shared" si="21"/>
        <v>0</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0.06</v>
      </c>
      <c r="P53" s="601"/>
      <c r="Q53" s="13">
        <f t="shared" si="21"/>
        <v>0</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0.06</v>
      </c>
      <c r="P54" s="601"/>
      <c r="Q54" s="13">
        <f t="shared" si="21"/>
        <v>0</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0.06</v>
      </c>
      <c r="P55" s="601"/>
      <c r="Q55" s="13">
        <f t="shared" si="21"/>
        <v>0</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0.06</v>
      </c>
      <c r="P56" s="601"/>
      <c r="Q56" s="13">
        <f t="shared" si="21"/>
        <v>0</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0.06</v>
      </c>
      <c r="P57" s="601"/>
      <c r="Q57" s="13">
        <f t="shared" si="21"/>
        <v>0</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0.06</v>
      </c>
      <c r="P58" s="601"/>
      <c r="Q58" s="13">
        <f t="shared" si="21"/>
        <v>0</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0.06</v>
      </c>
      <c r="P59" s="601"/>
      <c r="Q59" s="13">
        <f t="shared" si="21"/>
        <v>0</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0.06</v>
      </c>
      <c r="P60" s="601"/>
      <c r="Q60" s="13">
        <f t="shared" si="21"/>
        <v>0</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0.06</v>
      </c>
      <c r="P61" s="601"/>
      <c r="Q61" s="13">
        <f t="shared" si="21"/>
        <v>0</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0.06</v>
      </c>
      <c r="P62" s="601"/>
      <c r="Q62" s="13">
        <f t="shared" si="21"/>
        <v>0</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0.06</v>
      </c>
      <c r="P63" s="601"/>
      <c r="Q63" s="13">
        <f t="shared" si="21"/>
        <v>0</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0.06</v>
      </c>
      <c r="P64" s="601"/>
      <c r="Q64" s="13">
        <f t="shared" si="21"/>
        <v>0</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0.06</v>
      </c>
      <c r="P65" s="601"/>
      <c r="Q65" s="13">
        <f t="shared" si="21"/>
        <v>0</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0.06</v>
      </c>
      <c r="P66" s="601"/>
      <c r="Q66" s="13">
        <f t="shared" si="21"/>
        <v>0</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0.06</v>
      </c>
      <c r="P67" s="601"/>
      <c r="Q67" s="13">
        <f t="shared" si="21"/>
        <v>0</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0.06</v>
      </c>
      <c r="P68" s="601"/>
      <c r="Q68" s="13">
        <f t="shared" si="21"/>
        <v>0</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0.06</v>
      </c>
      <c r="P69" s="601"/>
      <c r="Q69" s="13">
        <f t="shared" si="21"/>
        <v>0</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0.06</v>
      </c>
      <c r="P70" s="601"/>
      <c r="Q70" s="13">
        <f t="shared" si="21"/>
        <v>0</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0.06</v>
      </c>
      <c r="P71" s="601"/>
      <c r="Q71" s="13">
        <f t="shared" si="21"/>
        <v>0</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0.06</v>
      </c>
      <c r="P72" s="601"/>
      <c r="Q72" s="13">
        <f t="shared" si="21"/>
        <v>0</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0.06</v>
      </c>
      <c r="P73" s="601"/>
      <c r="Q73" s="13">
        <f t="shared" si="21"/>
        <v>0</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0.06</v>
      </c>
      <c r="P74" s="601"/>
      <c r="Q74" s="13">
        <f t="shared" si="21"/>
        <v>0</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0.06</v>
      </c>
      <c r="P75" s="601"/>
      <c r="Q75" s="13">
        <f t="shared" si="21"/>
        <v>0</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0.06</v>
      </c>
      <c r="P76" s="601"/>
      <c r="Q76" s="13">
        <f t="shared" si="21"/>
        <v>0</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0.06</v>
      </c>
      <c r="P77" s="601"/>
      <c r="Q77" s="13">
        <f t="shared" si="21"/>
        <v>0</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0.06</v>
      </c>
      <c r="P78" s="601"/>
      <c r="Q78" s="13">
        <f t="shared" si="21"/>
        <v>0</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0.06</v>
      </c>
      <c r="P79" s="601"/>
      <c r="Q79" s="13">
        <f t="shared" si="21"/>
        <v>0</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0.06</v>
      </c>
      <c r="P80" s="601"/>
      <c r="Q80" s="13">
        <f t="shared" si="21"/>
        <v>0</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0.06</v>
      </c>
      <c r="P81" s="601"/>
      <c r="Q81" s="13">
        <f t="shared" si="21"/>
        <v>0</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0.06</v>
      </c>
      <c r="P82" s="601"/>
      <c r="Q82" s="13">
        <f t="shared" si="21"/>
        <v>0</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0.06</v>
      </c>
      <c r="P83" s="601"/>
      <c r="Q83" s="13">
        <f t="shared" si="21"/>
        <v>0</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0.06</v>
      </c>
      <c r="P84" s="601"/>
      <c r="Q84" s="13">
        <f t="shared" si="21"/>
        <v>0</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0.06</v>
      </c>
      <c r="P85" s="601"/>
      <c r="Q85" s="13">
        <f t="shared" si="21"/>
        <v>0</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0.06</v>
      </c>
      <c r="P86" s="601"/>
      <c r="Q86" s="13">
        <f t="shared" si="21"/>
        <v>0</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0.06</v>
      </c>
      <c r="P87" s="601"/>
      <c r="Q87" s="13">
        <f t="shared" si="21"/>
        <v>0</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0.06</v>
      </c>
      <c r="P88" s="601"/>
      <c r="Q88" s="13">
        <f t="shared" si="21"/>
        <v>0</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0.06</v>
      </c>
      <c r="P89" s="601"/>
      <c r="Q89" s="13">
        <f t="shared" si="21"/>
        <v>0</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0.06</v>
      </c>
      <c r="P90" s="601"/>
      <c r="Q90" s="13">
        <f t="shared" si="21"/>
        <v>0</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0.06</v>
      </c>
      <c r="P91" s="601"/>
      <c r="Q91" s="13">
        <f t="shared" si="21"/>
        <v>0</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0.06</v>
      </c>
      <c r="P92" s="601"/>
      <c r="Q92" s="13">
        <f t="shared" ref="Q92:Q155" si="36">(SUMIF($20:$20,P92,$21:$21)-SUMIF($20:$20,$P$27,$21:$21)+100)/100</f>
        <v>0</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0.06</v>
      </c>
      <c r="P93" s="601"/>
      <c r="Q93" s="13">
        <f t="shared" si="36"/>
        <v>0</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0.06</v>
      </c>
      <c r="P94" s="601"/>
      <c r="Q94" s="13">
        <f t="shared" si="36"/>
        <v>0</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0.06</v>
      </c>
      <c r="P95" s="601"/>
      <c r="Q95" s="13">
        <f t="shared" si="36"/>
        <v>0</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0.06</v>
      </c>
      <c r="P96" s="601"/>
      <c r="Q96" s="13">
        <f t="shared" si="36"/>
        <v>0</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0.06</v>
      </c>
      <c r="P97" s="601"/>
      <c r="Q97" s="13">
        <f t="shared" si="36"/>
        <v>0</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0.06</v>
      </c>
      <c r="P98" s="601"/>
      <c r="Q98" s="13">
        <f t="shared" si="36"/>
        <v>0</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0.06</v>
      </c>
      <c r="P99" s="601"/>
      <c r="Q99" s="13">
        <f t="shared" si="36"/>
        <v>0</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0.06</v>
      </c>
      <c r="P100" s="601"/>
      <c r="Q100" s="13">
        <f t="shared" si="36"/>
        <v>0</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0.06</v>
      </c>
      <c r="P101" s="601"/>
      <c r="Q101" s="13">
        <f t="shared" si="36"/>
        <v>0</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0.06</v>
      </c>
      <c r="P102" s="601"/>
      <c r="Q102" s="13">
        <f t="shared" si="36"/>
        <v>0</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0.06</v>
      </c>
      <c r="P103" s="601"/>
      <c r="Q103" s="13">
        <f t="shared" si="36"/>
        <v>0</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0.06</v>
      </c>
      <c r="P104" s="601"/>
      <c r="Q104" s="13">
        <f t="shared" si="36"/>
        <v>0</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0.06</v>
      </c>
      <c r="P105" s="601"/>
      <c r="Q105" s="13">
        <f t="shared" si="36"/>
        <v>0</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0.06</v>
      </c>
      <c r="P106" s="601"/>
      <c r="Q106" s="13">
        <f t="shared" si="36"/>
        <v>0</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0.06</v>
      </c>
      <c r="P107" s="601"/>
      <c r="Q107" s="13">
        <f t="shared" si="36"/>
        <v>0</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0.06</v>
      </c>
      <c r="P108" s="601"/>
      <c r="Q108" s="13">
        <f t="shared" si="36"/>
        <v>0</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0.06</v>
      </c>
      <c r="P109" s="601"/>
      <c r="Q109" s="13">
        <f t="shared" si="36"/>
        <v>0</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0.06</v>
      </c>
      <c r="P110" s="601"/>
      <c r="Q110" s="13">
        <f t="shared" si="36"/>
        <v>0</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0.06</v>
      </c>
      <c r="P111" s="601"/>
      <c r="Q111" s="13">
        <f t="shared" si="36"/>
        <v>0</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0.06</v>
      </c>
      <c r="P112" s="601"/>
      <c r="Q112" s="13">
        <f t="shared" si="36"/>
        <v>0</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0.06</v>
      </c>
      <c r="P113" s="601"/>
      <c r="Q113" s="13">
        <f t="shared" si="36"/>
        <v>0</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0.06</v>
      </c>
      <c r="P114" s="601"/>
      <c r="Q114" s="13">
        <f t="shared" si="36"/>
        <v>0</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0.06</v>
      </c>
      <c r="P115" s="601"/>
      <c r="Q115" s="13">
        <f t="shared" si="36"/>
        <v>0</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0.06</v>
      </c>
      <c r="P116" s="601"/>
      <c r="Q116" s="13">
        <f t="shared" si="36"/>
        <v>0</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0.06</v>
      </c>
      <c r="P117" s="601"/>
      <c r="Q117" s="13">
        <f t="shared" si="36"/>
        <v>0</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0.06</v>
      </c>
      <c r="P118" s="601"/>
      <c r="Q118" s="13">
        <f t="shared" si="36"/>
        <v>0</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0.06</v>
      </c>
      <c r="P119" s="601"/>
      <c r="Q119" s="13">
        <f t="shared" si="36"/>
        <v>0</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0.06</v>
      </c>
      <c r="P120" s="601"/>
      <c r="Q120" s="13">
        <f t="shared" si="36"/>
        <v>0</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0.06</v>
      </c>
      <c r="P121" s="601"/>
      <c r="Q121" s="13">
        <f t="shared" si="36"/>
        <v>0</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0.06</v>
      </c>
      <c r="P122" s="601"/>
      <c r="Q122" s="13">
        <f t="shared" si="36"/>
        <v>0</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0.06</v>
      </c>
      <c r="P123" s="601"/>
      <c r="Q123" s="13">
        <f t="shared" si="36"/>
        <v>0</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0.06</v>
      </c>
      <c r="P124" s="601"/>
      <c r="Q124" s="13">
        <f t="shared" si="36"/>
        <v>0</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0.06</v>
      </c>
      <c r="P125" s="601"/>
      <c r="Q125" s="13">
        <f t="shared" si="36"/>
        <v>0</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0.06</v>
      </c>
      <c r="P126" s="601"/>
      <c r="Q126" s="13">
        <f t="shared" si="36"/>
        <v>0</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0.06</v>
      </c>
      <c r="P127" s="601"/>
      <c r="Q127" s="13">
        <f t="shared" si="36"/>
        <v>0</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0.06</v>
      </c>
      <c r="P128" s="601"/>
      <c r="Q128" s="13">
        <f t="shared" si="36"/>
        <v>0</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0.06</v>
      </c>
      <c r="P129" s="601"/>
      <c r="Q129" s="13">
        <f t="shared" si="36"/>
        <v>0</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0.06</v>
      </c>
      <c r="P130" s="601"/>
      <c r="Q130" s="13">
        <f t="shared" si="36"/>
        <v>0</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0.06</v>
      </c>
      <c r="P131" s="601"/>
      <c r="Q131" s="13">
        <f t="shared" si="36"/>
        <v>0</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0.06</v>
      </c>
      <c r="P132" s="601"/>
      <c r="Q132" s="13">
        <f t="shared" si="36"/>
        <v>0</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0.06</v>
      </c>
      <c r="P133" s="601"/>
      <c r="Q133" s="13">
        <f t="shared" si="36"/>
        <v>0</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0.06</v>
      </c>
      <c r="P134" s="601"/>
      <c r="Q134" s="13">
        <f t="shared" si="36"/>
        <v>0</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0.06</v>
      </c>
      <c r="P135" s="601"/>
      <c r="Q135" s="13">
        <f t="shared" si="36"/>
        <v>0</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0.06</v>
      </c>
      <c r="P136" s="601"/>
      <c r="Q136" s="13">
        <f t="shared" si="36"/>
        <v>0</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0.06</v>
      </c>
      <c r="P137" s="601"/>
      <c r="Q137" s="13">
        <f t="shared" si="36"/>
        <v>0</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0.06</v>
      </c>
      <c r="P138" s="601"/>
      <c r="Q138" s="13">
        <f t="shared" si="36"/>
        <v>0</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0.06</v>
      </c>
      <c r="P139" s="601"/>
      <c r="Q139" s="13">
        <f t="shared" si="36"/>
        <v>0</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0.06</v>
      </c>
      <c r="P140" s="601"/>
      <c r="Q140" s="13">
        <f t="shared" si="36"/>
        <v>0</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0.06</v>
      </c>
      <c r="P141" s="601"/>
      <c r="Q141" s="13">
        <f t="shared" si="36"/>
        <v>0</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0.06</v>
      </c>
      <c r="P142" s="601"/>
      <c r="Q142" s="13">
        <f t="shared" si="36"/>
        <v>0</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0.06</v>
      </c>
      <c r="P143" s="601"/>
      <c r="Q143" s="13">
        <f t="shared" si="36"/>
        <v>0</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0.06</v>
      </c>
      <c r="P144" s="601"/>
      <c r="Q144" s="13">
        <f t="shared" si="36"/>
        <v>0</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0.06</v>
      </c>
      <c r="P145" s="601"/>
      <c r="Q145" s="13">
        <f t="shared" si="36"/>
        <v>0</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0.06</v>
      </c>
      <c r="P146" s="601"/>
      <c r="Q146" s="13">
        <f t="shared" si="36"/>
        <v>0</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0.06</v>
      </c>
      <c r="P147" s="601"/>
      <c r="Q147" s="13">
        <f t="shared" si="36"/>
        <v>0</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0.06</v>
      </c>
      <c r="P148" s="601"/>
      <c r="Q148" s="13">
        <f t="shared" si="36"/>
        <v>0</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0.06</v>
      </c>
      <c r="P149" s="601"/>
      <c r="Q149" s="13">
        <f t="shared" si="36"/>
        <v>0</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0.06</v>
      </c>
      <c r="P150" s="601"/>
      <c r="Q150" s="13">
        <f t="shared" si="36"/>
        <v>0</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0.06</v>
      </c>
      <c r="P151" s="601"/>
      <c r="Q151" s="13">
        <f t="shared" si="36"/>
        <v>0</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0.06</v>
      </c>
      <c r="P152" s="601"/>
      <c r="Q152" s="13">
        <f t="shared" si="36"/>
        <v>0</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0.06</v>
      </c>
      <c r="P153" s="601"/>
      <c r="Q153" s="13">
        <f t="shared" si="36"/>
        <v>0</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0.06</v>
      </c>
      <c r="P154" s="601"/>
      <c r="Q154" s="13">
        <f t="shared" si="36"/>
        <v>0</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0.06</v>
      </c>
      <c r="P155" s="601"/>
      <c r="Q155" s="13">
        <f t="shared" si="36"/>
        <v>0</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0.06</v>
      </c>
      <c r="P156" s="601"/>
      <c r="Q156" s="13">
        <f t="shared" ref="Q156:Q219" si="51">(SUMIF($20:$20,P156,$21:$21)-SUMIF($20:$20,$P$27,$21:$21)+100)/100</f>
        <v>0</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0.06</v>
      </c>
      <c r="P157" s="601"/>
      <c r="Q157" s="13">
        <f t="shared" si="51"/>
        <v>0</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0.06</v>
      </c>
      <c r="P158" s="601"/>
      <c r="Q158" s="13">
        <f t="shared" si="51"/>
        <v>0</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0.06</v>
      </c>
      <c r="P159" s="601"/>
      <c r="Q159" s="13">
        <f t="shared" si="51"/>
        <v>0</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0.06</v>
      </c>
      <c r="P160" s="601"/>
      <c r="Q160" s="13">
        <f t="shared" si="51"/>
        <v>0</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0.06</v>
      </c>
      <c r="P161" s="601"/>
      <c r="Q161" s="13">
        <f t="shared" si="51"/>
        <v>0</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0.06</v>
      </c>
      <c r="P162" s="601"/>
      <c r="Q162" s="13">
        <f t="shared" si="51"/>
        <v>0</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0.06</v>
      </c>
      <c r="P163" s="601"/>
      <c r="Q163" s="13">
        <f t="shared" si="51"/>
        <v>0</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0.06</v>
      </c>
      <c r="P164" s="601"/>
      <c r="Q164" s="13">
        <f t="shared" si="51"/>
        <v>0</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0.06</v>
      </c>
      <c r="P165" s="601"/>
      <c r="Q165" s="13">
        <f t="shared" si="51"/>
        <v>0</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0.06</v>
      </c>
      <c r="P166" s="601"/>
      <c r="Q166" s="13">
        <f t="shared" si="51"/>
        <v>0</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0.06</v>
      </c>
      <c r="P167" s="601"/>
      <c r="Q167" s="13">
        <f t="shared" si="51"/>
        <v>0</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0.06</v>
      </c>
      <c r="P168" s="601"/>
      <c r="Q168" s="13">
        <f t="shared" si="51"/>
        <v>0</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0.06</v>
      </c>
      <c r="P169" s="601"/>
      <c r="Q169" s="13">
        <f t="shared" si="51"/>
        <v>0</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0.06</v>
      </c>
      <c r="P170" s="601"/>
      <c r="Q170" s="13">
        <f t="shared" si="51"/>
        <v>0</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0.06</v>
      </c>
      <c r="P171" s="601"/>
      <c r="Q171" s="13">
        <f t="shared" si="51"/>
        <v>0</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0.06</v>
      </c>
      <c r="P172" s="601"/>
      <c r="Q172" s="13">
        <f t="shared" si="51"/>
        <v>0</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0.06</v>
      </c>
      <c r="P173" s="601"/>
      <c r="Q173" s="13">
        <f t="shared" si="51"/>
        <v>0</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0.06</v>
      </c>
      <c r="P174" s="601"/>
      <c r="Q174" s="13">
        <f t="shared" si="51"/>
        <v>0</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0.06</v>
      </c>
      <c r="P175" s="601"/>
      <c r="Q175" s="13">
        <f t="shared" si="51"/>
        <v>0</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0.06</v>
      </c>
      <c r="P176" s="601"/>
      <c r="Q176" s="13">
        <f t="shared" si="51"/>
        <v>0</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0.06</v>
      </c>
      <c r="P177" s="601"/>
      <c r="Q177" s="13">
        <f t="shared" si="51"/>
        <v>0</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0.06</v>
      </c>
      <c r="P178" s="601"/>
      <c r="Q178" s="13">
        <f t="shared" si="51"/>
        <v>0</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0.06</v>
      </c>
      <c r="P179" s="601"/>
      <c r="Q179" s="13">
        <f t="shared" si="51"/>
        <v>0</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0.06</v>
      </c>
      <c r="P180" s="601"/>
      <c r="Q180" s="13">
        <f t="shared" si="51"/>
        <v>0</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0.06</v>
      </c>
      <c r="P181" s="601"/>
      <c r="Q181" s="13">
        <f t="shared" si="51"/>
        <v>0</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0.06</v>
      </c>
      <c r="P182" s="601"/>
      <c r="Q182" s="13">
        <f t="shared" si="51"/>
        <v>0</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0.06</v>
      </c>
      <c r="P183" s="601"/>
      <c r="Q183" s="13">
        <f t="shared" si="51"/>
        <v>0</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0.06</v>
      </c>
      <c r="P184" s="601"/>
      <c r="Q184" s="13">
        <f t="shared" si="51"/>
        <v>0</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0.06</v>
      </c>
      <c r="P185" s="601"/>
      <c r="Q185" s="13">
        <f t="shared" si="51"/>
        <v>0</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0.06</v>
      </c>
      <c r="P186" s="601"/>
      <c r="Q186" s="13">
        <f t="shared" si="51"/>
        <v>0</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0.06</v>
      </c>
      <c r="P187" s="601"/>
      <c r="Q187" s="13">
        <f t="shared" si="51"/>
        <v>0</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0.06</v>
      </c>
      <c r="P188" s="601"/>
      <c r="Q188" s="13">
        <f t="shared" si="51"/>
        <v>0</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0.06</v>
      </c>
      <c r="P189" s="601"/>
      <c r="Q189" s="13">
        <f t="shared" si="51"/>
        <v>0</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0.06</v>
      </c>
      <c r="P190" s="601"/>
      <c r="Q190" s="13">
        <f t="shared" si="51"/>
        <v>0</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0.06</v>
      </c>
      <c r="P191" s="601"/>
      <c r="Q191" s="13">
        <f t="shared" si="51"/>
        <v>0</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0.06</v>
      </c>
      <c r="P192" s="601"/>
      <c r="Q192" s="13">
        <f t="shared" si="51"/>
        <v>0</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0.06</v>
      </c>
      <c r="P193" s="601"/>
      <c r="Q193" s="13">
        <f t="shared" si="51"/>
        <v>0</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0.06</v>
      </c>
      <c r="P194" s="601"/>
      <c r="Q194" s="13">
        <f t="shared" si="51"/>
        <v>0</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0.06</v>
      </c>
      <c r="P195" s="601"/>
      <c r="Q195" s="13">
        <f t="shared" si="51"/>
        <v>0</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0.06</v>
      </c>
      <c r="P196" s="601"/>
      <c r="Q196" s="13">
        <f t="shared" si="51"/>
        <v>0</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0.06</v>
      </c>
      <c r="P197" s="601"/>
      <c r="Q197" s="13">
        <f t="shared" si="51"/>
        <v>0</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0.06</v>
      </c>
      <c r="P198" s="601"/>
      <c r="Q198" s="13">
        <f t="shared" si="51"/>
        <v>0</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0.06</v>
      </c>
      <c r="P199" s="601"/>
      <c r="Q199" s="13">
        <f t="shared" si="51"/>
        <v>0</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0.06</v>
      </c>
      <c r="P200" s="601"/>
      <c r="Q200" s="13">
        <f t="shared" si="51"/>
        <v>0</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0.06</v>
      </c>
      <c r="P201" s="601"/>
      <c r="Q201" s="13">
        <f t="shared" si="51"/>
        <v>0</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0.06</v>
      </c>
      <c r="P202" s="601"/>
      <c r="Q202" s="13">
        <f t="shared" si="51"/>
        <v>0</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0.06</v>
      </c>
      <c r="P203" s="601"/>
      <c r="Q203" s="13">
        <f t="shared" si="51"/>
        <v>0</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0.06</v>
      </c>
      <c r="P204" s="601"/>
      <c r="Q204" s="13">
        <f t="shared" si="51"/>
        <v>0</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0.06</v>
      </c>
      <c r="P205" s="601"/>
      <c r="Q205" s="13">
        <f t="shared" si="51"/>
        <v>0</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0.06</v>
      </c>
      <c r="P206" s="601"/>
      <c r="Q206" s="13">
        <f t="shared" si="51"/>
        <v>0</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0.06</v>
      </c>
      <c r="P207" s="601"/>
      <c r="Q207" s="13">
        <f t="shared" si="51"/>
        <v>0</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0.06</v>
      </c>
      <c r="P208" s="601"/>
      <c r="Q208" s="13">
        <f t="shared" si="51"/>
        <v>0</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0.06</v>
      </c>
      <c r="P209" s="601"/>
      <c r="Q209" s="13">
        <f t="shared" si="51"/>
        <v>0</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0.06</v>
      </c>
      <c r="P210" s="601"/>
      <c r="Q210" s="13">
        <f t="shared" si="51"/>
        <v>0</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0.06</v>
      </c>
      <c r="P211" s="601"/>
      <c r="Q211" s="13">
        <f t="shared" si="51"/>
        <v>0</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0.06</v>
      </c>
      <c r="P212" s="601"/>
      <c r="Q212" s="13">
        <f t="shared" si="51"/>
        <v>0</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0.06</v>
      </c>
      <c r="P213" s="601"/>
      <c r="Q213" s="13">
        <f t="shared" si="51"/>
        <v>0</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0.06</v>
      </c>
      <c r="P214" s="601"/>
      <c r="Q214" s="13">
        <f t="shared" si="51"/>
        <v>0</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0.06</v>
      </c>
      <c r="P215" s="601"/>
      <c r="Q215" s="13">
        <f t="shared" si="51"/>
        <v>0</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0.06</v>
      </c>
      <c r="P216" s="601"/>
      <c r="Q216" s="13">
        <f t="shared" si="51"/>
        <v>0</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0.06</v>
      </c>
      <c r="P217" s="601"/>
      <c r="Q217" s="13">
        <f t="shared" si="51"/>
        <v>0</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0.06</v>
      </c>
      <c r="P218" s="601"/>
      <c r="Q218" s="13">
        <f t="shared" si="51"/>
        <v>0</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0.06</v>
      </c>
      <c r="P219" s="601"/>
      <c r="Q219" s="13">
        <f t="shared" si="51"/>
        <v>0</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0.06</v>
      </c>
      <c r="P220" s="601"/>
      <c r="Q220" s="13">
        <f t="shared" ref="Q220:Q283" si="66">(SUMIF($20:$20,P220,$21:$21)-SUMIF($20:$20,$P$27,$21:$21)+100)/100</f>
        <v>0</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0.06</v>
      </c>
      <c r="P221" s="601"/>
      <c r="Q221" s="13">
        <f t="shared" si="66"/>
        <v>0</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0.06</v>
      </c>
      <c r="P222" s="601"/>
      <c r="Q222" s="13">
        <f t="shared" si="66"/>
        <v>0</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0.06</v>
      </c>
      <c r="P223" s="601"/>
      <c r="Q223" s="13">
        <f t="shared" si="66"/>
        <v>0</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0.06</v>
      </c>
      <c r="P224" s="601"/>
      <c r="Q224" s="13">
        <f t="shared" si="66"/>
        <v>0</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0.06</v>
      </c>
      <c r="P225" s="601"/>
      <c r="Q225" s="13">
        <f t="shared" si="66"/>
        <v>0</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0.06</v>
      </c>
      <c r="P226" s="601"/>
      <c r="Q226" s="13">
        <f t="shared" si="66"/>
        <v>0</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0.06</v>
      </c>
      <c r="P227" s="601"/>
      <c r="Q227" s="13">
        <f t="shared" si="66"/>
        <v>0</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0.06</v>
      </c>
      <c r="P228" s="601"/>
      <c r="Q228" s="13">
        <f t="shared" si="66"/>
        <v>0</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0.06</v>
      </c>
      <c r="P229" s="601"/>
      <c r="Q229" s="13">
        <f t="shared" si="66"/>
        <v>0</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0.06</v>
      </c>
      <c r="P230" s="601"/>
      <c r="Q230" s="13">
        <f t="shared" si="66"/>
        <v>0</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0.06</v>
      </c>
      <c r="P231" s="601"/>
      <c r="Q231" s="13">
        <f t="shared" si="66"/>
        <v>0</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0.06</v>
      </c>
      <c r="P232" s="601"/>
      <c r="Q232" s="13">
        <f t="shared" si="66"/>
        <v>0</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0.06</v>
      </c>
      <c r="P233" s="601"/>
      <c r="Q233" s="13">
        <f t="shared" si="66"/>
        <v>0</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0.06</v>
      </c>
      <c r="P234" s="601"/>
      <c r="Q234" s="13">
        <f t="shared" si="66"/>
        <v>0</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0.06</v>
      </c>
      <c r="P235" s="601"/>
      <c r="Q235" s="13">
        <f t="shared" si="66"/>
        <v>0</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0.06</v>
      </c>
      <c r="P236" s="601"/>
      <c r="Q236" s="13">
        <f t="shared" si="66"/>
        <v>0</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0.06</v>
      </c>
      <c r="P237" s="601"/>
      <c r="Q237" s="13">
        <f t="shared" si="66"/>
        <v>0</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0.06</v>
      </c>
      <c r="P238" s="601"/>
      <c r="Q238" s="13">
        <f t="shared" si="66"/>
        <v>0</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0.06</v>
      </c>
      <c r="P239" s="601"/>
      <c r="Q239" s="13">
        <f t="shared" si="66"/>
        <v>0</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0.06</v>
      </c>
      <c r="P240" s="601"/>
      <c r="Q240" s="13">
        <f t="shared" si="66"/>
        <v>0</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0.06</v>
      </c>
      <c r="P241" s="601"/>
      <c r="Q241" s="13">
        <f t="shared" si="66"/>
        <v>0</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0.06</v>
      </c>
      <c r="P242" s="601"/>
      <c r="Q242" s="13">
        <f t="shared" si="66"/>
        <v>0</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0.06</v>
      </c>
      <c r="P243" s="601"/>
      <c r="Q243" s="13">
        <f t="shared" si="66"/>
        <v>0</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0.06</v>
      </c>
      <c r="P244" s="601"/>
      <c r="Q244" s="13">
        <f t="shared" si="66"/>
        <v>0</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0.06</v>
      </c>
      <c r="P245" s="601"/>
      <c r="Q245" s="13">
        <f t="shared" si="66"/>
        <v>0</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0.06</v>
      </c>
      <c r="P246" s="601"/>
      <c r="Q246" s="13">
        <f t="shared" si="66"/>
        <v>0</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0.06</v>
      </c>
      <c r="P247" s="601"/>
      <c r="Q247" s="13">
        <f t="shared" si="66"/>
        <v>0</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0.06</v>
      </c>
      <c r="P248" s="601"/>
      <c r="Q248" s="13">
        <f t="shared" si="66"/>
        <v>0</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0.06</v>
      </c>
      <c r="P249" s="601"/>
      <c r="Q249" s="13">
        <f t="shared" si="66"/>
        <v>0</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0.06</v>
      </c>
      <c r="P250" s="601"/>
      <c r="Q250" s="13">
        <f t="shared" si="66"/>
        <v>0</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0.06</v>
      </c>
      <c r="P251" s="601"/>
      <c r="Q251" s="13">
        <f t="shared" si="66"/>
        <v>0</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0.06</v>
      </c>
      <c r="P252" s="601"/>
      <c r="Q252" s="13">
        <f t="shared" si="66"/>
        <v>0</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0.06</v>
      </c>
      <c r="P253" s="601"/>
      <c r="Q253" s="13">
        <f t="shared" si="66"/>
        <v>0</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0.06</v>
      </c>
      <c r="P254" s="601"/>
      <c r="Q254" s="13">
        <f t="shared" si="66"/>
        <v>0</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0.06</v>
      </c>
      <c r="P255" s="601"/>
      <c r="Q255" s="13">
        <f t="shared" si="66"/>
        <v>0</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0.06</v>
      </c>
      <c r="P256" s="601"/>
      <c r="Q256" s="13">
        <f t="shared" si="66"/>
        <v>0</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0.06</v>
      </c>
      <c r="P257" s="601"/>
      <c r="Q257" s="13">
        <f t="shared" si="66"/>
        <v>0</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0.06</v>
      </c>
      <c r="P258" s="601"/>
      <c r="Q258" s="13">
        <f t="shared" si="66"/>
        <v>0</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0.06</v>
      </c>
      <c r="P259" s="601"/>
      <c r="Q259" s="13">
        <f t="shared" si="66"/>
        <v>0</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0.06</v>
      </c>
      <c r="P260" s="601"/>
      <c r="Q260" s="13">
        <f t="shared" si="66"/>
        <v>0</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0.06</v>
      </c>
      <c r="P261" s="601"/>
      <c r="Q261" s="13">
        <f t="shared" si="66"/>
        <v>0</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0.06</v>
      </c>
      <c r="P262" s="601"/>
      <c r="Q262" s="13">
        <f t="shared" si="66"/>
        <v>0</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0.06</v>
      </c>
      <c r="P263" s="601"/>
      <c r="Q263" s="13">
        <f t="shared" si="66"/>
        <v>0</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0.06</v>
      </c>
      <c r="P264" s="601"/>
      <c r="Q264" s="13">
        <f t="shared" si="66"/>
        <v>0</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0.06</v>
      </c>
      <c r="P265" s="601"/>
      <c r="Q265" s="13">
        <f t="shared" si="66"/>
        <v>0</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0.06</v>
      </c>
      <c r="P266" s="601"/>
      <c r="Q266" s="13">
        <f t="shared" si="66"/>
        <v>0</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0.06</v>
      </c>
      <c r="P267" s="601"/>
      <c r="Q267" s="13">
        <f t="shared" si="66"/>
        <v>0</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0.06</v>
      </c>
      <c r="P268" s="601"/>
      <c r="Q268" s="13">
        <f t="shared" si="66"/>
        <v>0</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0.06</v>
      </c>
      <c r="P269" s="601"/>
      <c r="Q269" s="13">
        <f t="shared" si="66"/>
        <v>0</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0.06</v>
      </c>
      <c r="P270" s="601"/>
      <c r="Q270" s="13">
        <f t="shared" si="66"/>
        <v>0</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0.06</v>
      </c>
      <c r="P271" s="601"/>
      <c r="Q271" s="13">
        <f t="shared" si="66"/>
        <v>0</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0.06</v>
      </c>
      <c r="P272" s="601"/>
      <c r="Q272" s="13">
        <f t="shared" si="66"/>
        <v>0</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0.06</v>
      </c>
      <c r="P273" s="601"/>
      <c r="Q273" s="13">
        <f t="shared" si="66"/>
        <v>0</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0.06</v>
      </c>
      <c r="P274" s="601"/>
      <c r="Q274" s="13">
        <f t="shared" si="66"/>
        <v>0</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0.06</v>
      </c>
      <c r="P275" s="601"/>
      <c r="Q275" s="13">
        <f t="shared" si="66"/>
        <v>0</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0.06</v>
      </c>
      <c r="P276" s="601"/>
      <c r="Q276" s="13">
        <f t="shared" si="66"/>
        <v>0</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0.06</v>
      </c>
      <c r="P277" s="601"/>
      <c r="Q277" s="13">
        <f t="shared" si="66"/>
        <v>0</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0.06</v>
      </c>
      <c r="P278" s="601"/>
      <c r="Q278" s="13">
        <f t="shared" si="66"/>
        <v>0</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0.06</v>
      </c>
      <c r="P279" s="601"/>
      <c r="Q279" s="13">
        <f t="shared" si="66"/>
        <v>0</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0.06</v>
      </c>
      <c r="P280" s="601"/>
      <c r="Q280" s="13">
        <f t="shared" si="66"/>
        <v>0</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0.06</v>
      </c>
      <c r="P281" s="601"/>
      <c r="Q281" s="13">
        <f t="shared" si="66"/>
        <v>0</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0.06</v>
      </c>
      <c r="P282" s="601"/>
      <c r="Q282" s="13">
        <f t="shared" si="66"/>
        <v>0</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0.06</v>
      </c>
      <c r="P283" s="601"/>
      <c r="Q283" s="13">
        <f t="shared" si="66"/>
        <v>0</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0.06</v>
      </c>
      <c r="P284" s="601"/>
      <c r="Q284" s="13">
        <f t="shared" ref="Q284:Q347" si="81">(SUMIF($20:$20,P284,$21:$21)-SUMIF($20:$20,$P$27,$21:$21)+100)/100</f>
        <v>0</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0.06</v>
      </c>
      <c r="P285" s="601"/>
      <c r="Q285" s="13">
        <f t="shared" si="81"/>
        <v>0</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0.06</v>
      </c>
      <c r="P286" s="601"/>
      <c r="Q286" s="13">
        <f t="shared" si="81"/>
        <v>0</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0.06</v>
      </c>
      <c r="P287" s="601"/>
      <c r="Q287" s="13">
        <f t="shared" si="81"/>
        <v>0</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0.06</v>
      </c>
      <c r="P288" s="601"/>
      <c r="Q288" s="13">
        <f t="shared" si="81"/>
        <v>0</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0.06</v>
      </c>
      <c r="P289" s="601"/>
      <c r="Q289" s="13">
        <f t="shared" si="81"/>
        <v>0</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0.06</v>
      </c>
      <c r="P290" s="601"/>
      <c r="Q290" s="13">
        <f t="shared" si="81"/>
        <v>0</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0.06</v>
      </c>
      <c r="P291" s="601"/>
      <c r="Q291" s="13">
        <f t="shared" si="81"/>
        <v>0</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0.06</v>
      </c>
      <c r="P292" s="601"/>
      <c r="Q292" s="13">
        <f t="shared" si="81"/>
        <v>0</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0.06</v>
      </c>
      <c r="P293" s="601"/>
      <c r="Q293" s="13">
        <f t="shared" si="81"/>
        <v>0</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0.06</v>
      </c>
      <c r="P294" s="601"/>
      <c r="Q294" s="13">
        <f t="shared" si="81"/>
        <v>0</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0.06</v>
      </c>
      <c r="P295" s="601"/>
      <c r="Q295" s="13">
        <f t="shared" si="81"/>
        <v>0</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0.06</v>
      </c>
      <c r="P296" s="601"/>
      <c r="Q296" s="13">
        <f t="shared" si="81"/>
        <v>0</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0.06</v>
      </c>
      <c r="P297" s="601"/>
      <c r="Q297" s="13">
        <f t="shared" si="81"/>
        <v>0</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0.06</v>
      </c>
      <c r="P298" s="601"/>
      <c r="Q298" s="13">
        <f t="shared" si="81"/>
        <v>0</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0.06</v>
      </c>
      <c r="P299" s="601"/>
      <c r="Q299" s="13">
        <f t="shared" si="81"/>
        <v>0</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0.06</v>
      </c>
      <c r="P300" s="601"/>
      <c r="Q300" s="13">
        <f t="shared" si="81"/>
        <v>0</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0.06</v>
      </c>
      <c r="P301" s="601"/>
      <c r="Q301" s="13">
        <f t="shared" si="81"/>
        <v>0</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0.06</v>
      </c>
      <c r="P302" s="601"/>
      <c r="Q302" s="13">
        <f t="shared" si="81"/>
        <v>0</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0.06</v>
      </c>
      <c r="P303" s="601"/>
      <c r="Q303" s="13">
        <f t="shared" si="81"/>
        <v>0</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0.06</v>
      </c>
      <c r="P304" s="601"/>
      <c r="Q304" s="13">
        <f t="shared" si="81"/>
        <v>0</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0.06</v>
      </c>
      <c r="P305" s="601"/>
      <c r="Q305" s="13">
        <f t="shared" si="81"/>
        <v>0</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0.06</v>
      </c>
      <c r="P306" s="601"/>
      <c r="Q306" s="13">
        <f t="shared" si="81"/>
        <v>0</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0.06</v>
      </c>
      <c r="P307" s="601"/>
      <c r="Q307" s="13">
        <f t="shared" si="81"/>
        <v>0</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0.06</v>
      </c>
      <c r="P308" s="601"/>
      <c r="Q308" s="13">
        <f t="shared" si="81"/>
        <v>0</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0.06</v>
      </c>
      <c r="P309" s="601"/>
      <c r="Q309" s="13">
        <f t="shared" si="81"/>
        <v>0</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0.06</v>
      </c>
      <c r="P310" s="601"/>
      <c r="Q310" s="13">
        <f t="shared" si="81"/>
        <v>0</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0.06</v>
      </c>
      <c r="P311" s="601"/>
      <c r="Q311" s="13">
        <f t="shared" si="81"/>
        <v>0</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0.06</v>
      </c>
      <c r="P312" s="601"/>
      <c r="Q312" s="13">
        <f t="shared" si="81"/>
        <v>0</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0.06</v>
      </c>
      <c r="P313" s="601"/>
      <c r="Q313" s="13">
        <f t="shared" si="81"/>
        <v>0</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0.06</v>
      </c>
      <c r="P314" s="601"/>
      <c r="Q314" s="13">
        <f t="shared" si="81"/>
        <v>0</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0.06</v>
      </c>
      <c r="P315" s="601"/>
      <c r="Q315" s="13">
        <f t="shared" si="81"/>
        <v>0</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0.06</v>
      </c>
      <c r="P316" s="601"/>
      <c r="Q316" s="13">
        <f t="shared" si="81"/>
        <v>0</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0.06</v>
      </c>
      <c r="P317" s="601"/>
      <c r="Q317" s="13">
        <f t="shared" si="81"/>
        <v>0</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0.06</v>
      </c>
      <c r="P318" s="601"/>
      <c r="Q318" s="13">
        <f t="shared" si="81"/>
        <v>0</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0.06</v>
      </c>
      <c r="P319" s="601"/>
      <c r="Q319" s="13">
        <f t="shared" si="81"/>
        <v>0</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0.06</v>
      </c>
      <c r="P320" s="601"/>
      <c r="Q320" s="13">
        <f t="shared" si="81"/>
        <v>0</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0.06</v>
      </c>
      <c r="P321" s="601"/>
      <c r="Q321" s="13">
        <f t="shared" si="81"/>
        <v>0</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0.06</v>
      </c>
      <c r="P322" s="601"/>
      <c r="Q322" s="13">
        <f t="shared" si="81"/>
        <v>0</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0.06</v>
      </c>
      <c r="P323" s="601"/>
      <c r="Q323" s="13">
        <f t="shared" si="81"/>
        <v>0</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0.06</v>
      </c>
      <c r="P324" s="601"/>
      <c r="Q324" s="13">
        <f t="shared" si="81"/>
        <v>0</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0.06</v>
      </c>
      <c r="P325" s="601"/>
      <c r="Q325" s="13">
        <f t="shared" si="81"/>
        <v>0</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0.06</v>
      </c>
      <c r="P326" s="601"/>
      <c r="Q326" s="13">
        <f t="shared" si="81"/>
        <v>0</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0.06</v>
      </c>
      <c r="P327" s="601"/>
      <c r="Q327" s="13">
        <f t="shared" si="81"/>
        <v>0</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0.06</v>
      </c>
      <c r="P328" s="601"/>
      <c r="Q328" s="13">
        <f t="shared" si="81"/>
        <v>0</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0.06</v>
      </c>
      <c r="P329" s="601"/>
      <c r="Q329" s="13">
        <f t="shared" si="81"/>
        <v>0</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0.06</v>
      </c>
      <c r="P330" s="601"/>
      <c r="Q330" s="13">
        <f t="shared" si="81"/>
        <v>0</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0.06</v>
      </c>
      <c r="P331" s="601"/>
      <c r="Q331" s="13">
        <f t="shared" si="81"/>
        <v>0</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0.06</v>
      </c>
      <c r="P332" s="601"/>
      <c r="Q332" s="13">
        <f t="shared" si="81"/>
        <v>0</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0.06</v>
      </c>
      <c r="P333" s="601"/>
      <c r="Q333" s="13">
        <f t="shared" si="81"/>
        <v>0</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0.06</v>
      </c>
      <c r="P334" s="601"/>
      <c r="Q334" s="13">
        <f t="shared" si="81"/>
        <v>0</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0.06</v>
      </c>
      <c r="P335" s="601"/>
      <c r="Q335" s="13">
        <f t="shared" si="81"/>
        <v>0</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0.06</v>
      </c>
      <c r="P336" s="601"/>
      <c r="Q336" s="13">
        <f t="shared" si="81"/>
        <v>0</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0.06</v>
      </c>
      <c r="P337" s="601"/>
      <c r="Q337" s="13">
        <f t="shared" si="81"/>
        <v>0</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0.06</v>
      </c>
      <c r="P338" s="601"/>
      <c r="Q338" s="13">
        <f t="shared" si="81"/>
        <v>0</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0.06</v>
      </c>
      <c r="P339" s="601"/>
      <c r="Q339" s="13">
        <f t="shared" si="81"/>
        <v>0</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0.06</v>
      </c>
      <c r="P340" s="601"/>
      <c r="Q340" s="13">
        <f t="shared" si="81"/>
        <v>0</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0.06</v>
      </c>
      <c r="P341" s="601"/>
      <c r="Q341" s="13">
        <f t="shared" si="81"/>
        <v>0</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0.06</v>
      </c>
      <c r="P342" s="601"/>
      <c r="Q342" s="13">
        <f t="shared" si="81"/>
        <v>0</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0.06</v>
      </c>
      <c r="P343" s="601"/>
      <c r="Q343" s="13">
        <f t="shared" si="81"/>
        <v>0</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0.06</v>
      </c>
      <c r="P344" s="601"/>
      <c r="Q344" s="13">
        <f t="shared" si="81"/>
        <v>0</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0.06</v>
      </c>
      <c r="P345" s="601"/>
      <c r="Q345" s="13">
        <f t="shared" si="81"/>
        <v>0</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0.06</v>
      </c>
      <c r="P346" s="601"/>
      <c r="Q346" s="13">
        <f t="shared" si="81"/>
        <v>0</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0.06</v>
      </c>
      <c r="P347" s="601"/>
      <c r="Q347" s="13">
        <f t="shared" si="81"/>
        <v>0</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0.06</v>
      </c>
      <c r="P348" s="601"/>
      <c r="Q348" s="13">
        <f t="shared" ref="Q348:Q411" si="96">(SUMIF($20:$20,P348,$21:$21)-SUMIF($20:$20,$P$27,$21:$21)+100)/100</f>
        <v>0</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0.06</v>
      </c>
      <c r="P349" s="601"/>
      <c r="Q349" s="13">
        <f t="shared" si="96"/>
        <v>0</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0.06</v>
      </c>
      <c r="P350" s="601"/>
      <c r="Q350" s="13">
        <f t="shared" si="96"/>
        <v>0</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0.06</v>
      </c>
      <c r="P351" s="601"/>
      <c r="Q351" s="13">
        <f t="shared" si="96"/>
        <v>0</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0.06</v>
      </c>
      <c r="P352" s="601"/>
      <c r="Q352" s="13">
        <f t="shared" si="96"/>
        <v>0</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0.06</v>
      </c>
      <c r="P353" s="601"/>
      <c r="Q353" s="13">
        <f t="shared" si="96"/>
        <v>0</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0.06</v>
      </c>
      <c r="P354" s="601"/>
      <c r="Q354" s="13">
        <f t="shared" si="96"/>
        <v>0</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0.06</v>
      </c>
      <c r="P355" s="601"/>
      <c r="Q355" s="13">
        <f t="shared" si="96"/>
        <v>0</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0.06</v>
      </c>
      <c r="P356" s="601"/>
      <c r="Q356" s="13">
        <f t="shared" si="96"/>
        <v>0</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0.06</v>
      </c>
      <c r="P357" s="601"/>
      <c r="Q357" s="13">
        <f t="shared" si="96"/>
        <v>0</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0.06</v>
      </c>
      <c r="P358" s="601"/>
      <c r="Q358" s="13">
        <f t="shared" si="96"/>
        <v>0</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0.06</v>
      </c>
      <c r="P359" s="601"/>
      <c r="Q359" s="13">
        <f t="shared" si="96"/>
        <v>0</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0.06</v>
      </c>
      <c r="P360" s="601"/>
      <c r="Q360" s="13">
        <f t="shared" si="96"/>
        <v>0</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0.06</v>
      </c>
      <c r="P361" s="601"/>
      <c r="Q361" s="13">
        <f t="shared" si="96"/>
        <v>0</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0.06</v>
      </c>
      <c r="P362" s="601"/>
      <c r="Q362" s="13">
        <f t="shared" si="96"/>
        <v>0</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0.06</v>
      </c>
      <c r="P363" s="601"/>
      <c r="Q363" s="13">
        <f t="shared" si="96"/>
        <v>0</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0.06</v>
      </c>
      <c r="P364" s="601"/>
      <c r="Q364" s="13">
        <f t="shared" si="96"/>
        <v>0</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0.06</v>
      </c>
      <c r="P365" s="601"/>
      <c r="Q365" s="13">
        <f t="shared" si="96"/>
        <v>0</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0.06</v>
      </c>
      <c r="P366" s="601"/>
      <c r="Q366" s="13">
        <f t="shared" si="96"/>
        <v>0</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0.06</v>
      </c>
      <c r="P367" s="601"/>
      <c r="Q367" s="13">
        <f t="shared" si="96"/>
        <v>0</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0.06</v>
      </c>
      <c r="P368" s="601"/>
      <c r="Q368" s="13">
        <f t="shared" si="96"/>
        <v>0</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0.06</v>
      </c>
      <c r="P369" s="601"/>
      <c r="Q369" s="13">
        <f t="shared" si="96"/>
        <v>0</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0.06</v>
      </c>
      <c r="P370" s="601"/>
      <c r="Q370" s="13">
        <f t="shared" si="96"/>
        <v>0</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0.06</v>
      </c>
      <c r="P371" s="601"/>
      <c r="Q371" s="13">
        <f t="shared" si="96"/>
        <v>0</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0.06</v>
      </c>
      <c r="P372" s="601"/>
      <c r="Q372" s="13">
        <f t="shared" si="96"/>
        <v>0</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0.06</v>
      </c>
      <c r="P373" s="601"/>
      <c r="Q373" s="13">
        <f t="shared" si="96"/>
        <v>0</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0.06</v>
      </c>
      <c r="P374" s="601"/>
      <c r="Q374" s="13">
        <f t="shared" si="96"/>
        <v>0</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0.06</v>
      </c>
      <c r="P375" s="601"/>
      <c r="Q375" s="13">
        <f t="shared" si="96"/>
        <v>0</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0.06</v>
      </c>
      <c r="P376" s="601"/>
      <c r="Q376" s="13">
        <f t="shared" si="96"/>
        <v>0</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0.06</v>
      </c>
      <c r="P377" s="601"/>
      <c r="Q377" s="13">
        <f t="shared" si="96"/>
        <v>0</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0.06</v>
      </c>
      <c r="P378" s="601"/>
      <c r="Q378" s="13">
        <f t="shared" si="96"/>
        <v>0</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0.06</v>
      </c>
      <c r="P379" s="601"/>
      <c r="Q379" s="13">
        <f t="shared" si="96"/>
        <v>0</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0.06</v>
      </c>
      <c r="P380" s="601"/>
      <c r="Q380" s="13">
        <f t="shared" si="96"/>
        <v>0</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0.06</v>
      </c>
      <c r="P381" s="601"/>
      <c r="Q381" s="13">
        <f t="shared" si="96"/>
        <v>0</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0.06</v>
      </c>
      <c r="P382" s="601"/>
      <c r="Q382" s="13">
        <f t="shared" si="96"/>
        <v>0</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0.06</v>
      </c>
      <c r="P383" s="601"/>
      <c r="Q383" s="13">
        <f t="shared" si="96"/>
        <v>0</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0.06</v>
      </c>
      <c r="P384" s="601"/>
      <c r="Q384" s="13">
        <f t="shared" si="96"/>
        <v>0</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0.06</v>
      </c>
      <c r="P385" s="601"/>
      <c r="Q385" s="13">
        <f t="shared" si="96"/>
        <v>0</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0.06</v>
      </c>
      <c r="P386" s="601"/>
      <c r="Q386" s="13">
        <f t="shared" si="96"/>
        <v>0</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0.06</v>
      </c>
      <c r="P387" s="601"/>
      <c r="Q387" s="13">
        <f t="shared" si="96"/>
        <v>0</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0.06</v>
      </c>
      <c r="P388" s="601"/>
      <c r="Q388" s="13">
        <f t="shared" si="96"/>
        <v>0</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0.06</v>
      </c>
      <c r="P389" s="601"/>
      <c r="Q389" s="13">
        <f t="shared" si="96"/>
        <v>0</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0.06</v>
      </c>
      <c r="P390" s="601"/>
      <c r="Q390" s="13">
        <f t="shared" si="96"/>
        <v>0</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0.06</v>
      </c>
      <c r="P391" s="601"/>
      <c r="Q391" s="13">
        <f t="shared" si="96"/>
        <v>0</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0.06</v>
      </c>
      <c r="P392" s="601"/>
      <c r="Q392" s="13">
        <f t="shared" si="96"/>
        <v>0</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0.06</v>
      </c>
      <c r="P393" s="601"/>
      <c r="Q393" s="13">
        <f t="shared" si="96"/>
        <v>0</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0.06</v>
      </c>
      <c r="P394" s="601"/>
      <c r="Q394" s="13">
        <f t="shared" si="96"/>
        <v>0</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0.06</v>
      </c>
      <c r="P395" s="601"/>
      <c r="Q395" s="13">
        <f t="shared" si="96"/>
        <v>0</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0.06</v>
      </c>
      <c r="P396" s="601"/>
      <c r="Q396" s="13">
        <f t="shared" si="96"/>
        <v>0</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0.06</v>
      </c>
      <c r="P397" s="601"/>
      <c r="Q397" s="13">
        <f t="shared" si="96"/>
        <v>0</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0.06</v>
      </c>
      <c r="P398" s="601"/>
      <c r="Q398" s="13">
        <f t="shared" si="96"/>
        <v>0</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0.06</v>
      </c>
      <c r="P399" s="601"/>
      <c r="Q399" s="13">
        <f t="shared" si="96"/>
        <v>0</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0.06</v>
      </c>
      <c r="P400" s="601"/>
      <c r="Q400" s="13">
        <f t="shared" si="96"/>
        <v>0</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0.06</v>
      </c>
      <c r="P401" s="601"/>
      <c r="Q401" s="13">
        <f t="shared" si="96"/>
        <v>0</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0.06</v>
      </c>
      <c r="P402" s="601"/>
      <c r="Q402" s="13">
        <f t="shared" si="96"/>
        <v>0</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0.06</v>
      </c>
      <c r="P403" s="601"/>
      <c r="Q403" s="13">
        <f t="shared" si="96"/>
        <v>0</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0.06</v>
      </c>
      <c r="P404" s="601"/>
      <c r="Q404" s="13">
        <f t="shared" si="96"/>
        <v>0</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0.06</v>
      </c>
      <c r="P405" s="601"/>
      <c r="Q405" s="13">
        <f t="shared" si="96"/>
        <v>0</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0.06</v>
      </c>
      <c r="P406" s="601"/>
      <c r="Q406" s="13">
        <f t="shared" si="96"/>
        <v>0</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0.06</v>
      </c>
      <c r="P407" s="601"/>
      <c r="Q407" s="13">
        <f t="shared" si="96"/>
        <v>0</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0.06</v>
      </c>
      <c r="P408" s="601"/>
      <c r="Q408" s="13">
        <f t="shared" si="96"/>
        <v>0</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0.06</v>
      </c>
      <c r="P409" s="601"/>
      <c r="Q409" s="13">
        <f t="shared" si="96"/>
        <v>0</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0.06</v>
      </c>
      <c r="P410" s="601"/>
      <c r="Q410" s="13">
        <f t="shared" si="96"/>
        <v>0</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0.06</v>
      </c>
      <c r="P411" s="601"/>
      <c r="Q411" s="13">
        <f t="shared" si="96"/>
        <v>0</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0.06</v>
      </c>
      <c r="P412" s="601"/>
      <c r="Q412" s="13">
        <f t="shared" ref="Q412:Q475" si="111">(SUMIF($20:$20,P412,$21:$21)-SUMIF($20:$20,$P$27,$21:$21)+100)/100</f>
        <v>0</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0.06</v>
      </c>
      <c r="P413" s="601"/>
      <c r="Q413" s="13">
        <f t="shared" si="111"/>
        <v>0</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0.06</v>
      </c>
      <c r="P414" s="601"/>
      <c r="Q414" s="13">
        <f t="shared" si="111"/>
        <v>0</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0.06</v>
      </c>
      <c r="P415" s="601"/>
      <c r="Q415" s="13">
        <f t="shared" si="111"/>
        <v>0</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0.06</v>
      </c>
      <c r="P416" s="601"/>
      <c r="Q416" s="13">
        <f t="shared" si="111"/>
        <v>0</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0.06</v>
      </c>
      <c r="P417" s="601"/>
      <c r="Q417" s="13">
        <f t="shared" si="111"/>
        <v>0</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0.06</v>
      </c>
      <c r="P418" s="601"/>
      <c r="Q418" s="13">
        <f t="shared" si="111"/>
        <v>0</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0.06</v>
      </c>
      <c r="P419" s="601"/>
      <c r="Q419" s="13">
        <f t="shared" si="111"/>
        <v>0</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0.06</v>
      </c>
      <c r="P420" s="601"/>
      <c r="Q420" s="13">
        <f t="shared" si="111"/>
        <v>0</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0.06</v>
      </c>
      <c r="P421" s="601"/>
      <c r="Q421" s="13">
        <f t="shared" si="111"/>
        <v>0</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0.06</v>
      </c>
      <c r="P422" s="601"/>
      <c r="Q422" s="13">
        <f t="shared" si="111"/>
        <v>0</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0.06</v>
      </c>
      <c r="P423" s="601"/>
      <c r="Q423" s="13">
        <f t="shared" si="111"/>
        <v>0</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0.06</v>
      </c>
      <c r="P424" s="601"/>
      <c r="Q424" s="13">
        <f t="shared" si="111"/>
        <v>0</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0.06</v>
      </c>
      <c r="P425" s="601"/>
      <c r="Q425" s="13">
        <f t="shared" si="111"/>
        <v>0</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0.06</v>
      </c>
      <c r="P426" s="601"/>
      <c r="Q426" s="13">
        <f t="shared" si="111"/>
        <v>0</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0.06</v>
      </c>
      <c r="P427" s="601"/>
      <c r="Q427" s="13">
        <f t="shared" si="111"/>
        <v>0</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0.06</v>
      </c>
      <c r="P428" s="601"/>
      <c r="Q428" s="13">
        <f t="shared" si="111"/>
        <v>0</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0.06</v>
      </c>
      <c r="P429" s="601"/>
      <c r="Q429" s="13">
        <f t="shared" si="111"/>
        <v>0</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0.06</v>
      </c>
      <c r="P430" s="601"/>
      <c r="Q430" s="13">
        <f t="shared" si="111"/>
        <v>0</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0.06</v>
      </c>
      <c r="P431" s="601"/>
      <c r="Q431" s="13">
        <f t="shared" si="111"/>
        <v>0</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0.06</v>
      </c>
      <c r="P432" s="601"/>
      <c r="Q432" s="13">
        <f t="shared" si="111"/>
        <v>0</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0.06</v>
      </c>
      <c r="P433" s="601"/>
      <c r="Q433" s="13">
        <f t="shared" si="111"/>
        <v>0</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0.06</v>
      </c>
      <c r="P434" s="601"/>
      <c r="Q434" s="13">
        <f t="shared" si="111"/>
        <v>0</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0.06</v>
      </c>
      <c r="P435" s="601"/>
      <c r="Q435" s="13">
        <f t="shared" si="111"/>
        <v>0</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0.06</v>
      </c>
      <c r="P436" s="601"/>
      <c r="Q436" s="13">
        <f t="shared" si="111"/>
        <v>0</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0.06</v>
      </c>
      <c r="P437" s="601"/>
      <c r="Q437" s="13">
        <f t="shared" si="111"/>
        <v>0</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0.06</v>
      </c>
      <c r="P438" s="601"/>
      <c r="Q438" s="13">
        <f t="shared" si="111"/>
        <v>0</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0.06</v>
      </c>
      <c r="P439" s="601"/>
      <c r="Q439" s="13">
        <f t="shared" si="111"/>
        <v>0</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0.06</v>
      </c>
      <c r="P440" s="601"/>
      <c r="Q440" s="13">
        <f t="shared" si="111"/>
        <v>0</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0.06</v>
      </c>
      <c r="P441" s="601"/>
      <c r="Q441" s="13">
        <f t="shared" si="111"/>
        <v>0</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0.06</v>
      </c>
      <c r="P442" s="601"/>
      <c r="Q442" s="13">
        <f t="shared" si="111"/>
        <v>0</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0.06</v>
      </c>
      <c r="P443" s="601"/>
      <c r="Q443" s="13">
        <f t="shared" si="111"/>
        <v>0</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0.06</v>
      </c>
      <c r="P444" s="601"/>
      <c r="Q444" s="13">
        <f t="shared" si="111"/>
        <v>0</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0.06</v>
      </c>
      <c r="P445" s="601"/>
      <c r="Q445" s="13">
        <f t="shared" si="111"/>
        <v>0</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0.06</v>
      </c>
      <c r="P446" s="601"/>
      <c r="Q446" s="13">
        <f t="shared" si="111"/>
        <v>0</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0.06</v>
      </c>
      <c r="P447" s="601"/>
      <c r="Q447" s="13">
        <f t="shared" si="111"/>
        <v>0</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0.06</v>
      </c>
      <c r="P448" s="601"/>
      <c r="Q448" s="13">
        <f t="shared" si="111"/>
        <v>0</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0.06</v>
      </c>
      <c r="P449" s="601"/>
      <c r="Q449" s="13">
        <f t="shared" si="111"/>
        <v>0</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0.06</v>
      </c>
      <c r="P450" s="601"/>
      <c r="Q450" s="13">
        <f t="shared" si="111"/>
        <v>0</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0.06</v>
      </c>
      <c r="P451" s="601"/>
      <c r="Q451" s="13">
        <f t="shared" si="111"/>
        <v>0</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0.06</v>
      </c>
      <c r="P452" s="601"/>
      <c r="Q452" s="13">
        <f t="shared" si="111"/>
        <v>0</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0.06</v>
      </c>
      <c r="P453" s="601"/>
      <c r="Q453" s="13">
        <f t="shared" si="111"/>
        <v>0</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0.06</v>
      </c>
      <c r="P454" s="601"/>
      <c r="Q454" s="13">
        <f t="shared" si="111"/>
        <v>0</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0.06</v>
      </c>
      <c r="P455" s="601"/>
      <c r="Q455" s="13">
        <f t="shared" si="111"/>
        <v>0</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0.06</v>
      </c>
      <c r="P456" s="601"/>
      <c r="Q456" s="13">
        <f t="shared" si="111"/>
        <v>0</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0.06</v>
      </c>
      <c r="P457" s="601"/>
      <c r="Q457" s="13">
        <f t="shared" si="111"/>
        <v>0</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0.06</v>
      </c>
      <c r="P458" s="601"/>
      <c r="Q458" s="13">
        <f t="shared" si="111"/>
        <v>0</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0.06</v>
      </c>
      <c r="P459" s="601"/>
      <c r="Q459" s="13">
        <f t="shared" si="111"/>
        <v>0</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0.06</v>
      </c>
      <c r="P460" s="601"/>
      <c r="Q460" s="13">
        <f t="shared" si="111"/>
        <v>0</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0.06</v>
      </c>
      <c r="P461" s="601"/>
      <c r="Q461" s="13">
        <f t="shared" si="111"/>
        <v>0</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0.06</v>
      </c>
      <c r="P462" s="601"/>
      <c r="Q462" s="13">
        <f t="shared" si="111"/>
        <v>0</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0.06</v>
      </c>
      <c r="P463" s="601"/>
      <c r="Q463" s="13">
        <f t="shared" si="111"/>
        <v>0</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0.06</v>
      </c>
      <c r="P464" s="601"/>
      <c r="Q464" s="13">
        <f t="shared" si="111"/>
        <v>0</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0.06</v>
      </c>
      <c r="P465" s="601"/>
      <c r="Q465" s="13">
        <f t="shared" si="111"/>
        <v>0</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0.06</v>
      </c>
      <c r="P466" s="601"/>
      <c r="Q466" s="13">
        <f t="shared" si="111"/>
        <v>0</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0.06</v>
      </c>
      <c r="P467" s="601"/>
      <c r="Q467" s="13">
        <f t="shared" si="111"/>
        <v>0</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0.06</v>
      </c>
      <c r="P468" s="601"/>
      <c r="Q468" s="13">
        <f t="shared" si="111"/>
        <v>0</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0.06</v>
      </c>
      <c r="P469" s="601"/>
      <c r="Q469" s="13">
        <f t="shared" si="111"/>
        <v>0</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0.06</v>
      </c>
      <c r="P470" s="601"/>
      <c r="Q470" s="13">
        <f t="shared" si="111"/>
        <v>0</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0.06</v>
      </c>
      <c r="P471" s="601"/>
      <c r="Q471" s="13">
        <f t="shared" si="111"/>
        <v>0</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0.06</v>
      </c>
      <c r="P472" s="601"/>
      <c r="Q472" s="13">
        <f t="shared" si="111"/>
        <v>0</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0.06</v>
      </c>
      <c r="P473" s="601"/>
      <c r="Q473" s="13">
        <f t="shared" si="111"/>
        <v>0</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0.06</v>
      </c>
      <c r="P474" s="601"/>
      <c r="Q474" s="13">
        <f t="shared" si="111"/>
        <v>0</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0.06</v>
      </c>
      <c r="P475" s="601"/>
      <c r="Q475" s="13">
        <f t="shared" si="111"/>
        <v>0</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0.06</v>
      </c>
      <c r="P476" s="601"/>
      <c r="Q476" s="13">
        <f t="shared" ref="Q476:Q527" si="126">(SUMIF($20:$20,P476,$21:$21)-SUMIF($20:$20,$P$27,$21:$21)+100)/100</f>
        <v>0</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0.06</v>
      </c>
      <c r="P477" s="601"/>
      <c r="Q477" s="13">
        <f t="shared" si="126"/>
        <v>0</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0.06</v>
      </c>
      <c r="P478" s="601"/>
      <c r="Q478" s="13">
        <f t="shared" si="126"/>
        <v>0</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0.06</v>
      </c>
      <c r="P479" s="601"/>
      <c r="Q479" s="13">
        <f t="shared" si="126"/>
        <v>0</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0.06</v>
      </c>
      <c r="P480" s="601"/>
      <c r="Q480" s="13">
        <f t="shared" si="126"/>
        <v>0</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0.06</v>
      </c>
      <c r="P481" s="601"/>
      <c r="Q481" s="13">
        <f t="shared" si="126"/>
        <v>0</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0.06</v>
      </c>
      <c r="P482" s="601"/>
      <c r="Q482" s="13">
        <f t="shared" si="126"/>
        <v>0</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0.06</v>
      </c>
      <c r="P483" s="601"/>
      <c r="Q483" s="13">
        <f t="shared" si="126"/>
        <v>0</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0.06</v>
      </c>
      <c r="P484" s="601"/>
      <c r="Q484" s="13">
        <f t="shared" si="126"/>
        <v>0</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0.06</v>
      </c>
      <c r="P485" s="601"/>
      <c r="Q485" s="13">
        <f t="shared" si="126"/>
        <v>0</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0.06</v>
      </c>
      <c r="P486" s="601"/>
      <c r="Q486" s="13">
        <f t="shared" si="126"/>
        <v>0</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0.06</v>
      </c>
      <c r="P487" s="601"/>
      <c r="Q487" s="13">
        <f t="shared" si="126"/>
        <v>0</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0.06</v>
      </c>
      <c r="P488" s="601"/>
      <c r="Q488" s="13">
        <f t="shared" si="126"/>
        <v>0</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0.06</v>
      </c>
      <c r="P489" s="601"/>
      <c r="Q489" s="13">
        <f t="shared" si="126"/>
        <v>0</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0.06</v>
      </c>
      <c r="P490" s="601"/>
      <c r="Q490" s="13">
        <f t="shared" si="126"/>
        <v>0</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0.06</v>
      </c>
      <c r="P491" s="601"/>
      <c r="Q491" s="13">
        <f t="shared" si="126"/>
        <v>0</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0.06</v>
      </c>
      <c r="P492" s="601"/>
      <c r="Q492" s="13">
        <f t="shared" si="126"/>
        <v>0</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0.06</v>
      </c>
      <c r="P493" s="601"/>
      <c r="Q493" s="13">
        <f t="shared" si="126"/>
        <v>0</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0.06</v>
      </c>
      <c r="P494" s="601"/>
      <c r="Q494" s="13">
        <f t="shared" si="126"/>
        <v>0</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0.06</v>
      </c>
      <c r="P495" s="601"/>
      <c r="Q495" s="13">
        <f t="shared" si="126"/>
        <v>0</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0.06</v>
      </c>
      <c r="P496" s="601"/>
      <c r="Q496" s="13">
        <f t="shared" si="126"/>
        <v>0</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0.06</v>
      </c>
      <c r="P497" s="601"/>
      <c r="Q497" s="13">
        <f t="shared" si="126"/>
        <v>0</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0.06</v>
      </c>
      <c r="P498" s="601"/>
      <c r="Q498" s="13">
        <f t="shared" si="126"/>
        <v>0</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0.06</v>
      </c>
      <c r="P499" s="601"/>
      <c r="Q499" s="13">
        <f t="shared" si="126"/>
        <v>0</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0.06</v>
      </c>
      <c r="P500" s="601"/>
      <c r="Q500" s="13">
        <f t="shared" si="126"/>
        <v>0</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0.06</v>
      </c>
      <c r="P501" s="601"/>
      <c r="Q501" s="13">
        <f t="shared" si="126"/>
        <v>0</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0.06</v>
      </c>
      <c r="P502" s="601"/>
      <c r="Q502" s="13">
        <f t="shared" si="126"/>
        <v>0</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0.06</v>
      </c>
      <c r="P503" s="601"/>
      <c r="Q503" s="13">
        <f t="shared" si="126"/>
        <v>0</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0.06</v>
      </c>
      <c r="P504" s="601"/>
      <c r="Q504" s="13">
        <f t="shared" si="126"/>
        <v>0</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0.06</v>
      </c>
      <c r="P505" s="601"/>
      <c r="Q505" s="13">
        <f t="shared" si="126"/>
        <v>0</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0.06</v>
      </c>
      <c r="P506" s="601"/>
      <c r="Q506" s="13">
        <f t="shared" si="126"/>
        <v>0</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0.06</v>
      </c>
      <c r="P507" s="601"/>
      <c r="Q507" s="13">
        <f t="shared" si="126"/>
        <v>0</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0.06</v>
      </c>
      <c r="P508" s="601"/>
      <c r="Q508" s="13">
        <f t="shared" si="126"/>
        <v>0</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0.06</v>
      </c>
      <c r="P509" s="601"/>
      <c r="Q509" s="13">
        <f t="shared" si="126"/>
        <v>0</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0.06</v>
      </c>
      <c r="P510" s="601"/>
      <c r="Q510" s="13">
        <f t="shared" si="126"/>
        <v>0</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0.06</v>
      </c>
      <c r="P511" s="601"/>
      <c r="Q511" s="13">
        <f t="shared" si="126"/>
        <v>0</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0.06</v>
      </c>
      <c r="P512" s="601"/>
      <c r="Q512" s="13">
        <f t="shared" si="126"/>
        <v>0</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0.06</v>
      </c>
      <c r="P513" s="601"/>
      <c r="Q513" s="13">
        <f t="shared" si="126"/>
        <v>0</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0.06</v>
      </c>
      <c r="P514" s="601"/>
      <c r="Q514" s="13">
        <f t="shared" si="126"/>
        <v>0</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0.06</v>
      </c>
      <c r="P515" s="601"/>
      <c r="Q515" s="13">
        <f t="shared" si="126"/>
        <v>0</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0.06</v>
      </c>
      <c r="P516" s="601"/>
      <c r="Q516" s="13">
        <f t="shared" si="126"/>
        <v>0</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0.06</v>
      </c>
      <c r="P517" s="601"/>
      <c r="Q517" s="13">
        <f t="shared" si="126"/>
        <v>0</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0.06</v>
      </c>
      <c r="P518" s="601"/>
      <c r="Q518" s="13">
        <f t="shared" si="126"/>
        <v>0</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0.06</v>
      </c>
      <c r="P519" s="601"/>
      <c r="Q519" s="13">
        <f t="shared" si="126"/>
        <v>0</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0.06</v>
      </c>
      <c r="P520" s="601"/>
      <c r="Q520" s="13">
        <f t="shared" si="126"/>
        <v>0</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0.06</v>
      </c>
      <c r="P521" s="601"/>
      <c r="Q521" s="13">
        <f t="shared" si="126"/>
        <v>0</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0.06</v>
      </c>
      <c r="P522" s="601"/>
      <c r="Q522" s="13">
        <f t="shared" si="126"/>
        <v>0</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0.06</v>
      </c>
      <c r="P523" s="601"/>
      <c r="Q523" s="13">
        <f t="shared" si="126"/>
        <v>0</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0.06</v>
      </c>
      <c r="P524" s="601"/>
      <c r="Q524" s="13">
        <f t="shared" si="126"/>
        <v>0</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0.06</v>
      </c>
      <c r="P525" s="601"/>
      <c r="Q525" s="13">
        <f t="shared" si="126"/>
        <v>0</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0.06</v>
      </c>
      <c r="P526" s="601"/>
      <c r="Q526" s="13">
        <f t="shared" si="126"/>
        <v>0</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0.06</v>
      </c>
      <c r="P527" s="601"/>
      <c r="Q527" s="13">
        <f t="shared" si="126"/>
        <v>0</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2001</v>
      </c>
      <c r="C1" s="1566"/>
      <c r="D1" s="1567"/>
      <c r="E1" s="1568" t="s">
        <v>985</v>
      </c>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t="e">
        <f ca="1">ROUND(IF(D2="——",C49,IF(C2="万元",B2*10000/D3,B2/D3)),0)</f>
        <v>#DIV/0!</v>
      </c>
      <c r="C3" s="1587" t="s">
        <v>2003</v>
      </c>
      <c r="D3" s="1587">
        <f>IF(C1="仅计算典型户型",'数据-取费表'!E5,'数据-取费表'!B5)</f>
        <v>900.27</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2004</v>
      </c>
      <c r="B4" s="1591"/>
      <c r="C4" s="3628" t="s">
        <v>2005</v>
      </c>
      <c r="D4" s="3629"/>
      <c r="E4" s="3630" t="s">
        <v>2006</v>
      </c>
      <c r="F4" s="3631"/>
      <c r="G4" s="3628" t="s">
        <v>2007</v>
      </c>
      <c r="H4" s="3629"/>
      <c r="I4" s="3628" t="s">
        <v>2008</v>
      </c>
      <c r="J4" s="3629"/>
      <c r="K4" s="1592" t="s">
        <v>2009</v>
      </c>
      <c r="L4" s="2914"/>
      <c r="M4" s="2915"/>
      <c r="N4" s="2915"/>
      <c r="O4" s="2915"/>
      <c r="P4" s="3632" t="s">
        <v>2010</v>
      </c>
      <c r="Q4" s="3633"/>
      <c r="R4" s="3617" t="s">
        <v>2006</v>
      </c>
      <c r="S4" s="3618"/>
      <c r="T4" s="3617" t="s">
        <v>2007</v>
      </c>
      <c r="U4" s="3618"/>
      <c r="V4" s="3638" t="s">
        <v>2008</v>
      </c>
      <c r="W4" s="3638"/>
      <c r="X4" s="1593"/>
      <c r="Y4" s="3617" t="s">
        <v>2010</v>
      </c>
      <c r="Z4" s="3618"/>
      <c r="AA4" s="3625" t="s">
        <v>2006</v>
      </c>
      <c r="AB4" s="3625" t="s">
        <v>2007</v>
      </c>
      <c r="AC4" s="3625" t="s">
        <v>2008</v>
      </c>
    </row>
    <row r="5" spans="1:29" ht="15">
      <c r="A5" s="1595"/>
      <c r="B5" s="1596"/>
      <c r="C5" s="3613" t="s">
        <v>2011</v>
      </c>
      <c r="D5" s="3614"/>
      <c r="E5" s="3639" t="s">
        <v>2012</v>
      </c>
      <c r="F5" s="3640"/>
      <c r="G5" s="3613" t="s">
        <v>2013</v>
      </c>
      <c r="H5" s="3614"/>
      <c r="I5" s="3613" t="s">
        <v>2014</v>
      </c>
      <c r="J5" s="3614"/>
      <c r="K5" s="1597"/>
      <c r="L5" s="2914"/>
      <c r="M5" s="2915"/>
      <c r="N5" s="2915"/>
      <c r="O5" s="2915"/>
      <c r="P5" s="3634"/>
      <c r="Q5" s="3635"/>
      <c r="R5" s="3619"/>
      <c r="S5" s="3620"/>
      <c r="T5" s="3619"/>
      <c r="U5" s="3620"/>
      <c r="V5" s="3638"/>
      <c r="W5" s="3638"/>
      <c r="X5" s="1593"/>
      <c r="Y5" s="3619"/>
      <c r="Z5" s="3620"/>
      <c r="AA5" s="3626"/>
      <c r="AB5" s="3626"/>
      <c r="AC5" s="3626"/>
    </row>
    <row r="6" spans="1:29" ht="15.75" thickBot="1">
      <c r="A6" s="1598"/>
      <c r="B6" s="1599"/>
      <c r="C6" s="3611" t="s">
        <v>2015</v>
      </c>
      <c r="D6" s="3612"/>
      <c r="E6" s="3641" t="s">
        <v>2015</v>
      </c>
      <c r="F6" s="3642"/>
      <c r="G6" s="3611" t="s">
        <v>2015</v>
      </c>
      <c r="H6" s="3612"/>
      <c r="I6" s="3611" t="s">
        <v>2015</v>
      </c>
      <c r="J6" s="3612"/>
      <c r="K6" s="1597" t="s">
        <v>2016</v>
      </c>
      <c r="L6" s="2914"/>
      <c r="M6" s="2915"/>
      <c r="N6" s="2915"/>
      <c r="O6" s="2915"/>
      <c r="P6" s="3636"/>
      <c r="Q6" s="3637"/>
      <c r="R6" s="3619"/>
      <c r="S6" s="3620"/>
      <c r="T6" s="3621"/>
      <c r="U6" s="3622"/>
      <c r="V6" s="3638"/>
      <c r="W6" s="3638"/>
      <c r="X6" s="1593"/>
      <c r="Y6" s="3621"/>
      <c r="Z6" s="3622"/>
      <c r="AA6" s="3627"/>
      <c r="AB6" s="3627"/>
      <c r="AC6" s="3627"/>
    </row>
    <row r="7" spans="1:29" s="1612" customFormat="1" ht="15.75" thickBot="1">
      <c r="A7" s="1600" t="s">
        <v>2017</v>
      </c>
      <c r="B7" s="1601"/>
      <c r="C7" s="1602">
        <f>'数据-取费表'!B2</f>
        <v>44908</v>
      </c>
      <c r="D7" s="1603">
        <v>100</v>
      </c>
      <c r="E7" s="1604"/>
      <c r="F7" s="1605">
        <f>SUMIF(58:58,YEAR(E7)&amp;"-"&amp;MONTH(E7),59:59)</f>
        <v>0</v>
      </c>
      <c r="G7" s="1604"/>
      <c r="H7" s="1603">
        <f>SUMIF(58:58,YEAR(G7)&amp;"-"&amp;MONTH(G7),59:59)</f>
        <v>0</v>
      </c>
      <c r="I7" s="1604"/>
      <c r="J7" s="1603">
        <f>SUMIF(58:58,YEAR(I7)&amp;"-"&amp;MONTH(I7),59:59)</f>
        <v>0</v>
      </c>
      <c r="K7" s="1606"/>
      <c r="L7" s="2914"/>
      <c r="M7" s="2887"/>
      <c r="N7" s="2887"/>
      <c r="O7" s="2887"/>
      <c r="P7" s="3615" t="s">
        <v>2018</v>
      </c>
      <c r="Q7" s="3623"/>
      <c r="R7" s="1608" t="s">
        <v>34</v>
      </c>
      <c r="S7" s="1609">
        <f t="shared" ref="S7:S15" si="0">F7</f>
        <v>0</v>
      </c>
      <c r="T7" s="1608" t="s">
        <v>34</v>
      </c>
      <c r="U7" s="1609">
        <f t="shared" ref="U7:U15" si="1">H7</f>
        <v>0</v>
      </c>
      <c r="V7" s="1608" t="s">
        <v>34</v>
      </c>
      <c r="W7" s="1609">
        <f t="shared" ref="W7:W15" si="2">J7</f>
        <v>0</v>
      </c>
      <c r="X7" s="1610"/>
      <c r="Y7" s="3615" t="s">
        <v>2018</v>
      </c>
      <c r="Z7" s="3616"/>
      <c r="AA7" s="1611" t="e">
        <f>D7/F7</f>
        <v>#DIV/0!</v>
      </c>
      <c r="AB7" s="1611" t="e">
        <f>D7/H7</f>
        <v>#DIV/0!</v>
      </c>
      <c r="AC7" s="1611" t="e">
        <f>D7/J7</f>
        <v>#DIV/0!</v>
      </c>
    </row>
    <row r="8" spans="1:29" s="1612" customFormat="1" ht="15.75" thickBot="1">
      <c r="A8" s="1600" t="s">
        <v>2019</v>
      </c>
      <c r="B8" s="1601"/>
      <c r="C8" s="1613" t="s">
        <v>2020</v>
      </c>
      <c r="D8" s="1603">
        <v>100</v>
      </c>
      <c r="E8" s="1614"/>
      <c r="F8" s="1605">
        <f>SUMIF(61:61,E8,62:62)-SUMIF(61:61,C8,62:62)+100</f>
        <v>0</v>
      </c>
      <c r="G8" s="1613"/>
      <c r="H8" s="1603">
        <f>SUMIF(61:61,G8,62:62)-SUMIF(61:61,C8,62:62)+100</f>
        <v>0</v>
      </c>
      <c r="I8" s="1614"/>
      <c r="J8" s="1603">
        <f>SUMIF(61:61,I8,62:62)-SUMIF(61:61,C8,62:62)+100</f>
        <v>0</v>
      </c>
      <c r="K8" s="1606"/>
      <c r="L8" s="2914"/>
      <c r="M8" s="2887"/>
      <c r="N8" s="2887"/>
      <c r="O8" s="2887"/>
      <c r="P8" s="3615" t="s">
        <v>2021</v>
      </c>
      <c r="Q8" s="3616"/>
      <c r="R8" s="1608" t="s">
        <v>34</v>
      </c>
      <c r="S8" s="1609">
        <f t="shared" si="0"/>
        <v>0</v>
      </c>
      <c r="T8" s="1608" t="s">
        <v>34</v>
      </c>
      <c r="U8" s="1609">
        <f t="shared" si="1"/>
        <v>0</v>
      </c>
      <c r="V8" s="1608" t="s">
        <v>34</v>
      </c>
      <c r="W8" s="1609">
        <f t="shared" si="2"/>
        <v>0</v>
      </c>
      <c r="X8" s="1610"/>
      <c r="Y8" s="3615" t="s">
        <v>2021</v>
      </c>
      <c r="Z8" s="3616"/>
      <c r="AA8" s="1611" t="e">
        <f t="shared" ref="AA8:AA46" si="3">D8/F8</f>
        <v>#DIV/0!</v>
      </c>
      <c r="AB8" s="1611" t="e">
        <f t="shared" ref="AB8:AB46" si="4">D8/H8</f>
        <v>#DIV/0!</v>
      </c>
      <c r="AC8" s="1611" t="e">
        <f t="shared" ref="AC8:AC46" si="5">D8/J8</f>
        <v>#DIV/0!</v>
      </c>
    </row>
    <row r="9" spans="1:29" s="1612" customFormat="1">
      <c r="A9" s="1563" t="s">
        <v>2022</v>
      </c>
      <c r="B9" s="1615" t="s">
        <v>2023</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624" t="s">
        <v>2024</v>
      </c>
      <c r="Q9" s="1562" t="str">
        <f t="shared" ref="Q9:Q15" si="6">B9</f>
        <v>用途</v>
      </c>
      <c r="R9" s="1608" t="s">
        <v>25</v>
      </c>
      <c r="S9" s="1609">
        <f t="shared" si="0"/>
        <v>100</v>
      </c>
      <c r="T9" s="1608" t="s">
        <v>25</v>
      </c>
      <c r="U9" s="1609">
        <f t="shared" si="1"/>
        <v>100</v>
      </c>
      <c r="V9" s="1608" t="s">
        <v>25</v>
      </c>
      <c r="W9" s="1609">
        <f t="shared" si="2"/>
        <v>100</v>
      </c>
      <c r="X9" s="1610"/>
      <c r="Y9" s="3461"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624"/>
      <c r="Q10" s="1562" t="str">
        <f t="shared" si="6"/>
        <v>土地使用年限（年）</v>
      </c>
      <c r="R10" s="1608" t="s">
        <v>25</v>
      </c>
      <c r="S10" s="1609">
        <f t="shared" si="0"/>
        <v>100</v>
      </c>
      <c r="T10" s="1608" t="s">
        <v>25</v>
      </c>
      <c r="U10" s="1609">
        <f t="shared" si="1"/>
        <v>100</v>
      </c>
      <c r="V10" s="1608" t="s">
        <v>25</v>
      </c>
      <c r="W10" s="1609">
        <f t="shared" si="2"/>
        <v>100</v>
      </c>
      <c r="X10" s="1610"/>
      <c r="Y10" s="3461"/>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8"/>
      <c r="M11" s="2915"/>
      <c r="N11" s="2915"/>
      <c r="O11" s="2915"/>
      <c r="P11" s="3624"/>
      <c r="Q11" s="1562" t="str">
        <f t="shared" si="6"/>
        <v>容积率</v>
      </c>
      <c r="R11" s="1608" t="s">
        <v>28</v>
      </c>
      <c r="S11" s="1609" t="e">
        <f t="shared" si="0"/>
        <v>#N/A</v>
      </c>
      <c r="T11" s="1608" t="s">
        <v>28</v>
      </c>
      <c r="U11" s="1609" t="e">
        <f t="shared" si="1"/>
        <v>#N/A</v>
      </c>
      <c r="V11" s="1608" t="s">
        <v>28</v>
      </c>
      <c r="W11" s="1609" t="e">
        <f t="shared" si="2"/>
        <v>#N/A</v>
      </c>
      <c r="X11" s="1610"/>
      <c r="Y11" s="346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624"/>
      <c r="Q12" s="1562">
        <f t="shared" si="6"/>
        <v>111</v>
      </c>
      <c r="R12" s="1608" t="s">
        <v>28</v>
      </c>
      <c r="S12" s="1609">
        <f t="shared" si="0"/>
        <v>100</v>
      </c>
      <c r="T12" s="1608" t="s">
        <v>28</v>
      </c>
      <c r="U12" s="1609">
        <f t="shared" si="1"/>
        <v>100</v>
      </c>
      <c r="V12" s="1608" t="s">
        <v>28</v>
      </c>
      <c r="W12" s="1609">
        <f t="shared" si="2"/>
        <v>100</v>
      </c>
      <c r="X12" s="1610"/>
      <c r="Y12" s="3461"/>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624"/>
      <c r="Q13" s="1562">
        <f t="shared" si="6"/>
        <v>111</v>
      </c>
      <c r="R13" s="1608" t="s">
        <v>28</v>
      </c>
      <c r="S13" s="1609">
        <f t="shared" si="0"/>
        <v>100</v>
      </c>
      <c r="T13" s="1608" t="s">
        <v>28</v>
      </c>
      <c r="U13" s="1609">
        <f t="shared" si="1"/>
        <v>100</v>
      </c>
      <c r="V13" s="1608" t="s">
        <v>28</v>
      </c>
      <c r="W13" s="1609">
        <f t="shared" si="2"/>
        <v>100</v>
      </c>
      <c r="X13" s="1610"/>
      <c r="Y13" s="3461"/>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624"/>
      <c r="Q14" s="1562">
        <f t="shared" si="6"/>
        <v>111</v>
      </c>
      <c r="R14" s="1608" t="s">
        <v>28</v>
      </c>
      <c r="S14" s="1609">
        <f t="shared" si="0"/>
        <v>100</v>
      </c>
      <c r="T14" s="1608" t="s">
        <v>28</v>
      </c>
      <c r="U14" s="1609">
        <f t="shared" si="1"/>
        <v>100</v>
      </c>
      <c r="V14" s="1608" t="s">
        <v>28</v>
      </c>
      <c r="W14" s="1609">
        <f t="shared" si="2"/>
        <v>100</v>
      </c>
      <c r="X14" s="1610"/>
      <c r="Y14" s="3461"/>
      <c r="Z14" s="1621">
        <f t="shared" si="7"/>
        <v>111</v>
      </c>
      <c r="AA14" s="1611">
        <f t="shared" si="3"/>
        <v>1</v>
      </c>
      <c r="AB14" s="1611">
        <f t="shared" si="4"/>
        <v>1</v>
      </c>
      <c r="AC14" s="1611">
        <f t="shared" si="5"/>
        <v>1</v>
      </c>
    </row>
    <row r="15" spans="1:29" ht="99.75">
      <c r="A15" s="1645" t="s">
        <v>2028</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02" t="s">
        <v>2029</v>
      </c>
      <c r="Q15" s="1543" t="str">
        <f t="shared" si="6"/>
        <v>居住社区成熟度</v>
      </c>
      <c r="R15" s="1653" t="s">
        <v>28</v>
      </c>
      <c r="S15" s="1654">
        <f t="shared" si="0"/>
        <v>100</v>
      </c>
      <c r="T15" s="1653" t="s">
        <v>28</v>
      </c>
      <c r="U15" s="1654">
        <f t="shared" si="1"/>
        <v>100</v>
      </c>
      <c r="V15" s="1653" t="s">
        <v>28</v>
      </c>
      <c r="W15" s="1654">
        <f t="shared" si="2"/>
        <v>100</v>
      </c>
      <c r="X15" s="1593"/>
      <c r="Y15" s="3604" t="s">
        <v>2029</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03"/>
      <c r="Q16" s="1543"/>
      <c r="R16" s="1653"/>
      <c r="S16" s="1654"/>
      <c r="T16" s="1653"/>
      <c r="U16" s="1654"/>
      <c r="V16" s="1653"/>
      <c r="W16" s="1654"/>
      <c r="X16" s="1593"/>
      <c r="Y16" s="3605"/>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03"/>
      <c r="Q17" s="1543" t="str">
        <f>B17</f>
        <v>交通便捷度</v>
      </c>
      <c r="R17" s="1653" t="s">
        <v>28</v>
      </c>
      <c r="S17" s="1654">
        <f>F17</f>
        <v>100</v>
      </c>
      <c r="T17" s="1653" t="s">
        <v>28</v>
      </c>
      <c r="U17" s="1654">
        <f>H17</f>
        <v>100</v>
      </c>
      <c r="V17" s="1653" t="s">
        <v>28</v>
      </c>
      <c r="W17" s="1654">
        <f>J17</f>
        <v>100</v>
      </c>
      <c r="X17" s="1593"/>
      <c r="Y17" s="3605"/>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03"/>
      <c r="Q18" s="1543"/>
      <c r="R18" s="1653"/>
      <c r="S18" s="1654"/>
      <c r="T18" s="1653"/>
      <c r="U18" s="1654"/>
      <c r="V18" s="1653"/>
      <c r="W18" s="1654"/>
      <c r="X18" s="1593"/>
      <c r="Y18" s="3605"/>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03"/>
      <c r="Q19" s="1543" t="str">
        <f>B19</f>
        <v>公共配套设施</v>
      </c>
      <c r="R19" s="1653" t="s">
        <v>28</v>
      </c>
      <c r="S19" s="1654">
        <f>F19</f>
        <v>100</v>
      </c>
      <c r="T19" s="1653" t="s">
        <v>28</v>
      </c>
      <c r="U19" s="1654">
        <f>H19</f>
        <v>100</v>
      </c>
      <c r="V19" s="1653" t="s">
        <v>28</v>
      </c>
      <c r="W19" s="1654">
        <f>J19</f>
        <v>100</v>
      </c>
      <c r="X19" s="1593"/>
      <c r="Y19" s="3605"/>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03"/>
      <c r="Q20" s="1543"/>
      <c r="R20" s="1653"/>
      <c r="S20" s="1654"/>
      <c r="T20" s="1653"/>
      <c r="U20" s="1654"/>
      <c r="V20" s="1653"/>
      <c r="W20" s="1654"/>
      <c r="X20" s="1593"/>
      <c r="Y20" s="3605"/>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03"/>
      <c r="Q21" s="1543" t="str">
        <f>B21</f>
        <v>基础设施水平</v>
      </c>
      <c r="R21" s="1653" t="s">
        <v>28</v>
      </c>
      <c r="S21" s="1654">
        <f>F21</f>
        <v>100</v>
      </c>
      <c r="T21" s="1653" t="s">
        <v>28</v>
      </c>
      <c r="U21" s="1654">
        <f>H21</f>
        <v>100</v>
      </c>
      <c r="V21" s="1653" t="s">
        <v>28</v>
      </c>
      <c r="W21" s="1654">
        <f>J21</f>
        <v>100</v>
      </c>
      <c r="X21" s="1593"/>
      <c r="Y21" s="3605"/>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03"/>
      <c r="Q22" s="1543"/>
      <c r="R22" s="1653"/>
      <c r="S22" s="1654"/>
      <c r="T22" s="1653"/>
      <c r="U22" s="1654"/>
      <c r="V22" s="1653"/>
      <c r="W22" s="1654"/>
      <c r="X22" s="1593"/>
      <c r="Y22" s="3605"/>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03"/>
      <c r="Q23" s="1543" t="str">
        <f>B23</f>
        <v>自然及人文环境</v>
      </c>
      <c r="R23" s="1653" t="s">
        <v>28</v>
      </c>
      <c r="S23" s="1654">
        <f>F23</f>
        <v>100</v>
      </c>
      <c r="T23" s="1653" t="s">
        <v>28</v>
      </c>
      <c r="U23" s="1654">
        <f>H23</f>
        <v>100</v>
      </c>
      <c r="V23" s="1653" t="s">
        <v>28</v>
      </c>
      <c r="W23" s="1654">
        <f>J23</f>
        <v>100</v>
      </c>
      <c r="X23" s="1593"/>
      <c r="Y23" s="3605"/>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03"/>
      <c r="Q24" s="1543"/>
      <c r="R24" s="1653"/>
      <c r="S24" s="1654"/>
      <c r="T24" s="1653"/>
      <c r="U24" s="1654"/>
      <c r="V24" s="1653"/>
      <c r="W24" s="1654"/>
      <c r="X24" s="1593"/>
      <c r="Y24" s="3605"/>
      <c r="Z24" s="1655"/>
      <c r="AA24" s="1656">
        <v>1</v>
      </c>
      <c r="AB24" s="1656">
        <v>1</v>
      </c>
      <c r="AC24" s="1656">
        <v>1</v>
      </c>
    </row>
    <row r="25" spans="1:29" ht="15">
      <c r="A25" s="1630"/>
      <c r="B25" s="1623" t="s">
        <v>2030</v>
      </c>
      <c r="C25" s="1680"/>
      <c r="D25" s="1639">
        <v>100</v>
      </c>
      <c r="E25" s="1681"/>
      <c r="F25" s="1682">
        <f>SUMIF(86:86,E25,87:87)-SUMIF(86:86,C25,87:87)+100</f>
        <v>100</v>
      </c>
      <c r="G25" s="1683"/>
      <c r="H25" s="1639">
        <f>SUMIF(86:86,G25,87:87)-SUMIF(86:86,C25,87:87)+100</f>
        <v>100</v>
      </c>
      <c r="I25" s="1681"/>
      <c r="J25" s="1639">
        <f>SUMIF(86:86,I25,87:87)-SUMIF(86:86,C25,87:87)+100</f>
        <v>100</v>
      </c>
      <c r="K25" s="1628"/>
      <c r="L25" s="2919"/>
      <c r="M25" s="2915"/>
      <c r="N25" s="2915"/>
      <c r="O25" s="2915"/>
      <c r="P25" s="3603"/>
      <c r="Q25" s="1543" t="str">
        <f t="shared" ref="Q25:Q46" si="11">B25</f>
        <v>楼层-1</v>
      </c>
      <c r="R25" s="1653" t="s">
        <v>28</v>
      </c>
      <c r="S25" s="1654">
        <f>F25</f>
        <v>100</v>
      </c>
      <c r="T25" s="1653" t="s">
        <v>28</v>
      </c>
      <c r="U25" s="1654">
        <f>H25</f>
        <v>100</v>
      </c>
      <c r="V25" s="1653" t="s">
        <v>28</v>
      </c>
      <c r="W25" s="1654">
        <f>J25</f>
        <v>100</v>
      </c>
      <c r="X25" s="1593"/>
      <c r="Y25" s="3605"/>
      <c r="Z25" s="1655" t="str">
        <f>Q25</f>
        <v>楼层-1</v>
      </c>
      <c r="AA25" s="1656">
        <f t="shared" si="3"/>
        <v>1</v>
      </c>
      <c r="AB25" s="1656">
        <f t="shared" si="4"/>
        <v>1</v>
      </c>
      <c r="AC25" s="1656">
        <f t="shared" si="5"/>
        <v>1</v>
      </c>
    </row>
    <row r="26" spans="1:29" ht="15">
      <c r="A26" s="1630"/>
      <c r="B26" s="1623" t="s">
        <v>2031</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03"/>
      <c r="Q26" s="1543" t="str">
        <f t="shared" si="11"/>
        <v>朝向</v>
      </c>
      <c r="R26" s="1653" t="s">
        <v>28</v>
      </c>
      <c r="S26" s="1654">
        <f>F26</f>
        <v>100</v>
      </c>
      <c r="T26" s="1653" t="s">
        <v>28</v>
      </c>
      <c r="U26" s="1654">
        <f>H26</f>
        <v>100</v>
      </c>
      <c r="V26" s="1653" t="s">
        <v>28</v>
      </c>
      <c r="W26" s="1654">
        <f>J26</f>
        <v>100</v>
      </c>
      <c r="X26" s="1593"/>
      <c r="Y26" s="3605"/>
      <c r="Z26" s="1655" t="str">
        <f>Q26</f>
        <v>朝向</v>
      </c>
      <c r="AA26" s="1656">
        <f t="shared" si="3"/>
        <v>1</v>
      </c>
      <c r="AB26" s="1656">
        <f t="shared" si="4"/>
        <v>1</v>
      </c>
      <c r="AC26" s="1656">
        <f t="shared" si="5"/>
        <v>1</v>
      </c>
    </row>
    <row r="27" spans="1:29" s="1612" customFormat="1" ht="15">
      <c r="A27" s="1633"/>
      <c r="B27" s="1634" t="s">
        <v>2032</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03"/>
      <c r="Q27" s="1562" t="str">
        <f t="shared" si="11"/>
        <v>道路级别</v>
      </c>
      <c r="R27" s="1608" t="s">
        <v>28</v>
      </c>
      <c r="S27" s="1609">
        <f>F27</f>
        <v>100</v>
      </c>
      <c r="T27" s="1608" t="s">
        <v>28</v>
      </c>
      <c r="U27" s="1609">
        <f>H27</f>
        <v>100</v>
      </c>
      <c r="V27" s="1608" t="s">
        <v>28</v>
      </c>
      <c r="W27" s="1609">
        <f>J27</f>
        <v>100</v>
      </c>
      <c r="X27" s="1610"/>
      <c r="Y27" s="3605"/>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9"/>
      <c r="M28" s="2915"/>
      <c r="N28" s="2915"/>
      <c r="O28" s="2915"/>
      <c r="P28" s="3603"/>
      <c r="Q28" s="1543">
        <f t="shared" si="11"/>
        <v>111</v>
      </c>
      <c r="R28" s="1653" t="s">
        <v>28</v>
      </c>
      <c r="S28" s="1654">
        <f t="shared" ref="S28:S46" si="12">F28</f>
        <v>100</v>
      </c>
      <c r="T28" s="1653" t="s">
        <v>28</v>
      </c>
      <c r="U28" s="1654">
        <f t="shared" ref="U28:U46" si="13">H28</f>
        <v>100</v>
      </c>
      <c r="V28" s="1653" t="s">
        <v>28</v>
      </c>
      <c r="W28" s="1654">
        <f t="shared" ref="W28:W46" si="14">J28</f>
        <v>100</v>
      </c>
      <c r="X28" s="1593"/>
      <c r="Y28" s="3605"/>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03"/>
      <c r="Q29" s="1543">
        <f t="shared" si="11"/>
        <v>111</v>
      </c>
      <c r="R29" s="1653" t="s">
        <v>28</v>
      </c>
      <c r="S29" s="1654">
        <f t="shared" si="12"/>
        <v>100</v>
      </c>
      <c r="T29" s="1653" t="s">
        <v>28</v>
      </c>
      <c r="U29" s="1654">
        <f t="shared" si="13"/>
        <v>100</v>
      </c>
      <c r="V29" s="1653" t="s">
        <v>28</v>
      </c>
      <c r="W29" s="1654">
        <f t="shared" si="14"/>
        <v>100</v>
      </c>
      <c r="X29" s="1593"/>
      <c r="Y29" s="3605"/>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03"/>
      <c r="Q30" s="1543">
        <f t="shared" si="11"/>
        <v>111</v>
      </c>
      <c r="R30" s="1653" t="s">
        <v>28</v>
      </c>
      <c r="S30" s="1654">
        <f t="shared" si="12"/>
        <v>100</v>
      </c>
      <c r="T30" s="1653" t="s">
        <v>28</v>
      </c>
      <c r="U30" s="1654">
        <f t="shared" si="13"/>
        <v>100</v>
      </c>
      <c r="V30" s="1653" t="s">
        <v>28</v>
      </c>
      <c r="W30" s="1654">
        <f t="shared" si="14"/>
        <v>100</v>
      </c>
      <c r="X30" s="1593"/>
      <c r="Y30" s="3605"/>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03"/>
      <c r="Q31" s="1543">
        <f t="shared" si="11"/>
        <v>111</v>
      </c>
      <c r="R31" s="1653" t="s">
        <v>28</v>
      </c>
      <c r="S31" s="1654">
        <f t="shared" si="12"/>
        <v>100</v>
      </c>
      <c r="T31" s="1653" t="s">
        <v>28</v>
      </c>
      <c r="U31" s="1654">
        <f t="shared" si="13"/>
        <v>100</v>
      </c>
      <c r="V31" s="1653" t="s">
        <v>28</v>
      </c>
      <c r="W31" s="1654">
        <f t="shared" si="14"/>
        <v>100</v>
      </c>
      <c r="X31" s="1593"/>
      <c r="Y31" s="3605"/>
      <c r="Z31" s="1655">
        <f t="shared" si="15"/>
        <v>111</v>
      </c>
      <c r="AA31" s="1656">
        <f t="shared" si="3"/>
        <v>1</v>
      </c>
      <c r="AB31" s="1656">
        <f t="shared" si="4"/>
        <v>1</v>
      </c>
      <c r="AC31" s="1656">
        <f t="shared" si="5"/>
        <v>1</v>
      </c>
    </row>
    <row r="32" spans="1:29" ht="15">
      <c r="A32" s="1645" t="s">
        <v>2033</v>
      </c>
      <c r="B32" s="1615" t="s">
        <v>2034</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606" t="s">
        <v>2035</v>
      </c>
      <c r="Q32" s="1543" t="str">
        <f t="shared" si="11"/>
        <v>建筑类型</v>
      </c>
      <c r="R32" s="1653" t="s">
        <v>28</v>
      </c>
      <c r="S32" s="1654">
        <f t="shared" si="12"/>
        <v>100</v>
      </c>
      <c r="T32" s="1653" t="s">
        <v>28</v>
      </c>
      <c r="U32" s="1654">
        <f t="shared" si="13"/>
        <v>100</v>
      </c>
      <c r="V32" s="1653" t="s">
        <v>28</v>
      </c>
      <c r="W32" s="1654">
        <f t="shared" si="14"/>
        <v>100</v>
      </c>
      <c r="X32" s="1593"/>
      <c r="Y32" s="3609" t="s">
        <v>2035</v>
      </c>
      <c r="Z32" s="1655" t="str">
        <f t="shared" si="15"/>
        <v>建筑类型</v>
      </c>
      <c r="AA32" s="1656">
        <f t="shared" si="3"/>
        <v>1</v>
      </c>
      <c r="AB32" s="1656">
        <f t="shared" si="4"/>
        <v>1</v>
      </c>
      <c r="AC32" s="1656">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8"/>
      <c r="M33" s="1987"/>
      <c r="N33" s="1987"/>
      <c r="O33" s="1987"/>
      <c r="P33" s="3607"/>
      <c r="Q33" s="1694" t="str">
        <f t="shared" si="11"/>
        <v>项目建筑规模</v>
      </c>
      <c r="R33" s="1695" t="s">
        <v>28</v>
      </c>
      <c r="S33" s="1696" t="e">
        <f t="shared" si="12"/>
        <v>#N/A</v>
      </c>
      <c r="T33" s="1695" t="s">
        <v>28</v>
      </c>
      <c r="U33" s="1696" t="e">
        <f t="shared" si="13"/>
        <v>#N/A</v>
      </c>
      <c r="V33" s="1695" t="s">
        <v>28</v>
      </c>
      <c r="W33" s="1696" t="e">
        <f t="shared" si="14"/>
        <v>#N/A</v>
      </c>
      <c r="X33" s="1697"/>
      <c r="Y33" s="3609"/>
      <c r="Z33" s="1698" t="str">
        <f t="shared" si="15"/>
        <v>项目建筑规模</v>
      </c>
      <c r="AA33" s="1656" t="e">
        <f t="shared" si="3"/>
        <v>#N/A</v>
      </c>
      <c r="AB33" s="1656" t="e">
        <f t="shared" si="4"/>
        <v>#N/A</v>
      </c>
      <c r="AC33" s="1656"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607"/>
      <c r="Q34" s="1543" t="str">
        <f t="shared" si="11"/>
        <v>建筑结构</v>
      </c>
      <c r="R34" s="1653" t="s">
        <v>28</v>
      </c>
      <c r="S34" s="1654">
        <f t="shared" si="12"/>
        <v>100</v>
      </c>
      <c r="T34" s="1653" t="s">
        <v>28</v>
      </c>
      <c r="U34" s="1654">
        <f t="shared" si="13"/>
        <v>100</v>
      </c>
      <c r="V34" s="1653" t="s">
        <v>28</v>
      </c>
      <c r="W34" s="1654">
        <f t="shared" si="14"/>
        <v>100</v>
      </c>
      <c r="X34" s="1593"/>
      <c r="Y34" s="3609"/>
      <c r="Z34" s="1655" t="str">
        <f t="shared" si="15"/>
        <v>建筑结构</v>
      </c>
      <c r="AA34" s="1656">
        <f t="shared" si="3"/>
        <v>1</v>
      </c>
      <c r="AB34" s="1656">
        <f t="shared" si="4"/>
        <v>1</v>
      </c>
      <c r="AC34" s="1656">
        <f t="shared" si="5"/>
        <v>1</v>
      </c>
    </row>
    <row r="35" spans="1:29" ht="15">
      <c r="A35" s="1700"/>
      <c r="B35" s="1623" t="s">
        <v>2038</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607"/>
      <c r="Q35" s="1543" t="str">
        <f t="shared" si="11"/>
        <v>建筑品质</v>
      </c>
      <c r="R35" s="1653" t="s">
        <v>28</v>
      </c>
      <c r="S35" s="1654">
        <f t="shared" si="12"/>
        <v>100</v>
      </c>
      <c r="T35" s="1653" t="s">
        <v>28</v>
      </c>
      <c r="U35" s="1654">
        <f t="shared" si="13"/>
        <v>100</v>
      </c>
      <c r="V35" s="1653" t="s">
        <v>28</v>
      </c>
      <c r="W35" s="1654">
        <f t="shared" si="14"/>
        <v>100</v>
      </c>
      <c r="X35" s="1593"/>
      <c r="Y35" s="3609"/>
      <c r="Z35" s="1655" t="str">
        <f t="shared" si="15"/>
        <v>建筑品质</v>
      </c>
      <c r="AA35" s="1656">
        <f t="shared" si="3"/>
        <v>1</v>
      </c>
      <c r="AB35" s="1656">
        <f t="shared" si="4"/>
        <v>1</v>
      </c>
      <c r="AC35" s="1656">
        <f t="shared" si="5"/>
        <v>1</v>
      </c>
    </row>
    <row r="36" spans="1:29" ht="15">
      <c r="A36" s="1700"/>
      <c r="B36" s="1623" t="s">
        <v>2039</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607"/>
      <c r="Q36" s="1543" t="str">
        <f t="shared" si="11"/>
        <v>公共部分装修</v>
      </c>
      <c r="R36" s="1653" t="s">
        <v>28</v>
      </c>
      <c r="S36" s="1654">
        <f t="shared" si="12"/>
        <v>100</v>
      </c>
      <c r="T36" s="1653" t="s">
        <v>28</v>
      </c>
      <c r="U36" s="1654">
        <f t="shared" si="13"/>
        <v>100</v>
      </c>
      <c r="V36" s="1653" t="s">
        <v>28</v>
      </c>
      <c r="W36" s="1654">
        <f t="shared" si="14"/>
        <v>100</v>
      </c>
      <c r="X36" s="1593"/>
      <c r="Y36" s="3609"/>
      <c r="Z36" s="1655" t="str">
        <f t="shared" si="15"/>
        <v>公共部分装修</v>
      </c>
      <c r="AA36" s="1656">
        <f t="shared" si="3"/>
        <v>1</v>
      </c>
      <c r="AB36" s="1656">
        <f t="shared" si="4"/>
        <v>1</v>
      </c>
      <c r="AC36" s="1656">
        <f t="shared" si="5"/>
        <v>1</v>
      </c>
    </row>
    <row r="37" spans="1:29" s="1612" customFormat="1" ht="15">
      <c r="A37" s="1703"/>
      <c r="B37" s="1623" t="s">
        <v>2040</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4"/>
      <c r="M37" s="2887"/>
      <c r="N37" s="2887"/>
      <c r="O37" s="2887"/>
      <c r="P37" s="3607"/>
      <c r="Q37" s="1562" t="str">
        <f t="shared" si="11"/>
        <v>成新度</v>
      </c>
      <c r="R37" s="1608" t="s">
        <v>28</v>
      </c>
      <c r="S37" s="1609" t="e">
        <f t="shared" si="12"/>
        <v>#N/A</v>
      </c>
      <c r="T37" s="1608" t="s">
        <v>28</v>
      </c>
      <c r="U37" s="1609" t="e">
        <f t="shared" si="13"/>
        <v>#N/A</v>
      </c>
      <c r="V37" s="1608" t="s">
        <v>28</v>
      </c>
      <c r="W37" s="1609" t="e">
        <f t="shared" si="14"/>
        <v>#N/A</v>
      </c>
      <c r="X37" s="1610"/>
      <c r="Y37" s="3609"/>
      <c r="Z37" s="1621" t="str">
        <f t="shared" si="15"/>
        <v>成新度</v>
      </c>
      <c r="AA37" s="1611" t="e">
        <f t="shared" si="3"/>
        <v>#N/A</v>
      </c>
      <c r="AB37" s="1611" t="e">
        <f t="shared" si="4"/>
        <v>#N/A</v>
      </c>
      <c r="AC37" s="1611" t="e">
        <f t="shared" si="5"/>
        <v>#N/A</v>
      </c>
    </row>
    <row r="38" spans="1:29" ht="15">
      <c r="A38" s="1700"/>
      <c r="B38" s="1623" t="s">
        <v>2041</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607" t="s">
        <v>2035</v>
      </c>
      <c r="Q38" s="1543" t="str">
        <f t="shared" si="11"/>
        <v>物业管理</v>
      </c>
      <c r="R38" s="1653" t="s">
        <v>28</v>
      </c>
      <c r="S38" s="1654">
        <f t="shared" si="12"/>
        <v>100</v>
      </c>
      <c r="T38" s="1653" t="s">
        <v>28</v>
      </c>
      <c r="U38" s="1654">
        <f t="shared" si="13"/>
        <v>100</v>
      </c>
      <c r="V38" s="1653" t="s">
        <v>28</v>
      </c>
      <c r="W38" s="1654">
        <f t="shared" si="14"/>
        <v>100</v>
      </c>
      <c r="X38" s="1593"/>
      <c r="Y38" s="3609" t="s">
        <v>2035</v>
      </c>
      <c r="Z38" s="1655" t="str">
        <f t="shared" si="15"/>
        <v>物业管理</v>
      </c>
      <c r="AA38" s="1656">
        <f t="shared" si="3"/>
        <v>1</v>
      </c>
      <c r="AB38" s="1656">
        <f t="shared" si="4"/>
        <v>1</v>
      </c>
      <c r="AC38" s="1656">
        <f t="shared" si="5"/>
        <v>1</v>
      </c>
    </row>
    <row r="39" spans="1:29" ht="15">
      <c r="A39" s="1700"/>
      <c r="B39" s="1623" t="s">
        <v>2042</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607"/>
      <c r="Q39" s="1543" t="str">
        <f t="shared" si="11"/>
        <v>市政基础设施</v>
      </c>
      <c r="R39" s="1653" t="s">
        <v>28</v>
      </c>
      <c r="S39" s="1654">
        <f t="shared" si="12"/>
        <v>100</v>
      </c>
      <c r="T39" s="1653" t="s">
        <v>28</v>
      </c>
      <c r="U39" s="1654">
        <f t="shared" si="13"/>
        <v>100</v>
      </c>
      <c r="V39" s="1653" t="s">
        <v>28</v>
      </c>
      <c r="W39" s="1654">
        <f t="shared" si="14"/>
        <v>100</v>
      </c>
      <c r="X39" s="1593"/>
      <c r="Y39" s="3609"/>
      <c r="Z39" s="1655" t="str">
        <f t="shared" si="15"/>
        <v>市政基础设施</v>
      </c>
      <c r="AA39" s="1656">
        <f t="shared" si="3"/>
        <v>1</v>
      </c>
      <c r="AB39" s="1656">
        <f t="shared" si="4"/>
        <v>1</v>
      </c>
      <c r="AC39" s="1656">
        <f t="shared" si="5"/>
        <v>1</v>
      </c>
    </row>
    <row r="40" spans="1:29" ht="15">
      <c r="A40" s="1700"/>
      <c r="B40" s="1623" t="s">
        <v>2043</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607"/>
      <c r="Q40" s="1543" t="str">
        <f t="shared" si="11"/>
        <v>房型</v>
      </c>
      <c r="R40" s="1653" t="s">
        <v>28</v>
      </c>
      <c r="S40" s="1654">
        <f t="shared" si="12"/>
        <v>100</v>
      </c>
      <c r="T40" s="1653" t="s">
        <v>28</v>
      </c>
      <c r="U40" s="1654">
        <f t="shared" si="13"/>
        <v>100</v>
      </c>
      <c r="V40" s="1653" t="s">
        <v>28</v>
      </c>
      <c r="W40" s="1654">
        <f t="shared" si="14"/>
        <v>100</v>
      </c>
      <c r="X40" s="1593"/>
      <c r="Y40" s="3609"/>
      <c r="Z40" s="1655" t="str">
        <f t="shared" si="15"/>
        <v>房型</v>
      </c>
      <c r="AA40" s="1656">
        <f t="shared" si="3"/>
        <v>1</v>
      </c>
      <c r="AB40" s="1656">
        <f t="shared" si="4"/>
        <v>1</v>
      </c>
      <c r="AC40" s="1656">
        <f t="shared" si="5"/>
        <v>1</v>
      </c>
    </row>
    <row r="41" spans="1:29" s="1699" customFormat="1" ht="28.5">
      <c r="A41" s="1692"/>
      <c r="B41" s="1623" t="s">
        <v>2044</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607"/>
      <c r="Q41" s="1694" t="str">
        <f t="shared" si="11"/>
        <v>单套/主力户型建筑面积</v>
      </c>
      <c r="R41" s="1695" t="s">
        <v>28</v>
      </c>
      <c r="S41" s="1696">
        <f t="shared" si="12"/>
        <v>100</v>
      </c>
      <c r="T41" s="1695" t="s">
        <v>28</v>
      </c>
      <c r="U41" s="1696">
        <f t="shared" si="13"/>
        <v>100</v>
      </c>
      <c r="V41" s="1695" t="s">
        <v>28</v>
      </c>
      <c r="W41" s="1696">
        <f t="shared" si="14"/>
        <v>100</v>
      </c>
      <c r="X41" s="1697"/>
      <c r="Y41" s="3609"/>
      <c r="Z41" s="1698" t="str">
        <f t="shared" si="15"/>
        <v>单套/主力户型建筑面积</v>
      </c>
      <c r="AA41" s="1656">
        <f t="shared" si="3"/>
        <v>1</v>
      </c>
      <c r="AB41" s="1656">
        <f t="shared" si="4"/>
        <v>1</v>
      </c>
      <c r="AC41" s="1656">
        <f t="shared" si="5"/>
        <v>1</v>
      </c>
    </row>
    <row r="42" spans="1:29" ht="15">
      <c r="A42" s="1700"/>
      <c r="B42" s="1623" t="s">
        <v>2045</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9"/>
      <c r="M42" s="2915"/>
      <c r="N42" s="2915"/>
      <c r="O42" s="2915"/>
      <c r="P42" s="3607"/>
      <c r="Q42" s="1543" t="str">
        <f t="shared" si="11"/>
        <v>内部装修</v>
      </c>
      <c r="R42" s="1653" t="s">
        <v>28</v>
      </c>
      <c r="S42" s="1654">
        <f t="shared" si="12"/>
        <v>100</v>
      </c>
      <c r="T42" s="1653" t="s">
        <v>28</v>
      </c>
      <c r="U42" s="1654">
        <f t="shared" si="13"/>
        <v>100</v>
      </c>
      <c r="V42" s="1653" t="s">
        <v>28</v>
      </c>
      <c r="W42" s="1654">
        <f t="shared" si="14"/>
        <v>100</v>
      </c>
      <c r="X42" s="1593"/>
      <c r="Y42" s="3609"/>
      <c r="Z42" s="1655" t="str">
        <f t="shared" si="15"/>
        <v>内部装修</v>
      </c>
      <c r="AA42" s="1656">
        <f t="shared" si="3"/>
        <v>1</v>
      </c>
      <c r="AB42" s="1656">
        <f t="shared" si="4"/>
        <v>1</v>
      </c>
      <c r="AC42" s="1656">
        <f t="shared" si="5"/>
        <v>1</v>
      </c>
    </row>
    <row r="43" spans="1:29" ht="15">
      <c r="A43" s="1700"/>
      <c r="B43" s="1623" t="s">
        <v>2046</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607"/>
      <c r="Q43" s="1543" t="str">
        <f t="shared" si="11"/>
        <v>内部装修维护情况</v>
      </c>
      <c r="R43" s="1653" t="s">
        <v>28</v>
      </c>
      <c r="S43" s="1654">
        <f t="shared" si="12"/>
        <v>100</v>
      </c>
      <c r="T43" s="1653" t="s">
        <v>28</v>
      </c>
      <c r="U43" s="1654">
        <f t="shared" si="13"/>
        <v>100</v>
      </c>
      <c r="V43" s="1653" t="s">
        <v>28</v>
      </c>
      <c r="W43" s="1654">
        <f t="shared" si="14"/>
        <v>100</v>
      </c>
      <c r="X43" s="1593"/>
      <c r="Y43" s="3609"/>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607"/>
      <c r="Q44" s="1562">
        <f t="shared" si="11"/>
        <v>111</v>
      </c>
      <c r="R44" s="1608" t="s">
        <v>28</v>
      </c>
      <c r="S44" s="1609">
        <f t="shared" si="12"/>
        <v>100</v>
      </c>
      <c r="T44" s="1608" t="s">
        <v>28</v>
      </c>
      <c r="U44" s="1609">
        <f t="shared" si="13"/>
        <v>100</v>
      </c>
      <c r="V44" s="1608" t="s">
        <v>28</v>
      </c>
      <c r="W44" s="1609">
        <f t="shared" si="14"/>
        <v>100</v>
      </c>
      <c r="X44" s="1610"/>
      <c r="Y44" s="3609"/>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607"/>
      <c r="Q45" s="1543">
        <f t="shared" si="11"/>
        <v>111</v>
      </c>
      <c r="R45" s="1653" t="s">
        <v>28</v>
      </c>
      <c r="S45" s="1654">
        <f t="shared" si="12"/>
        <v>100</v>
      </c>
      <c r="T45" s="1653" t="s">
        <v>28</v>
      </c>
      <c r="U45" s="1654">
        <f t="shared" si="13"/>
        <v>100</v>
      </c>
      <c r="V45" s="1653" t="s">
        <v>28</v>
      </c>
      <c r="W45" s="1654">
        <f t="shared" si="14"/>
        <v>100</v>
      </c>
      <c r="X45" s="1593"/>
      <c r="Y45" s="3609"/>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608"/>
      <c r="Q46" s="1543">
        <f t="shared" si="11"/>
        <v>111</v>
      </c>
      <c r="R46" s="1653" t="s">
        <v>27</v>
      </c>
      <c r="S46" s="1654">
        <f t="shared" si="12"/>
        <v>100</v>
      </c>
      <c r="T46" s="1653" t="s">
        <v>27</v>
      </c>
      <c r="U46" s="1654">
        <f t="shared" si="13"/>
        <v>100</v>
      </c>
      <c r="V46" s="1653" t="s">
        <v>27</v>
      </c>
      <c r="W46" s="1654">
        <f t="shared" si="14"/>
        <v>100</v>
      </c>
      <c r="X46" s="1593"/>
      <c r="Y46" s="3610"/>
      <c r="Z46" s="1655">
        <f t="shared" si="15"/>
        <v>111</v>
      </c>
      <c r="AA46" s="1656">
        <f t="shared" si="3"/>
        <v>1</v>
      </c>
      <c r="AB46" s="1656">
        <f t="shared" si="4"/>
        <v>1</v>
      </c>
      <c r="AC46" s="1656">
        <f t="shared" si="5"/>
        <v>1</v>
      </c>
    </row>
    <row r="47" spans="1:29" ht="15">
      <c r="A47" s="1709" t="s">
        <v>2047</v>
      </c>
      <c r="B47" s="1710"/>
      <c r="C47" s="1711" t="s">
        <v>26</v>
      </c>
      <c r="D47" s="1712"/>
      <c r="E47" s="1713"/>
      <c r="F47" s="1714"/>
      <c r="G47" s="1715"/>
      <c r="H47" s="1716"/>
      <c r="I47" s="1713"/>
      <c r="J47" s="1716"/>
      <c r="K47" s="1717"/>
      <c r="L47" s="2920"/>
      <c r="N47" s="2915"/>
      <c r="P47" s="3601" t="str">
        <f>A47</f>
        <v>成交单价（元/平方米）</v>
      </c>
      <c r="Q47" s="3601"/>
      <c r="R47" s="3597">
        <f>E47</f>
        <v>0</v>
      </c>
      <c r="S47" s="3597"/>
      <c r="T47" s="3597">
        <f>G47</f>
        <v>0</v>
      </c>
      <c r="U47" s="3597"/>
      <c r="V47" s="3597">
        <f>I47</f>
        <v>0</v>
      </c>
      <c r="W47" s="3597"/>
      <c r="X47" s="1719"/>
      <c r="Y47" s="1720"/>
      <c r="Z47" s="1719"/>
      <c r="AA47" s="1719"/>
      <c r="AB47" s="1719"/>
      <c r="AC47" s="1719"/>
    </row>
    <row r="48" spans="1:29" ht="15.75" thickBot="1">
      <c r="A48" s="1721" t="s">
        <v>2048</v>
      </c>
      <c r="B48" s="1722"/>
      <c r="C48" s="1723" t="e">
        <f>R49</f>
        <v>#DIV/0!</v>
      </c>
      <c r="D48" s="1724" t="s">
        <v>2501</v>
      </c>
      <c r="E48" s="1725" t="e">
        <f>R48</f>
        <v>#DIV/0!</v>
      </c>
      <c r="F48" s="1726"/>
      <c r="G48" s="1723" t="e">
        <f>T48</f>
        <v>#DIV/0!</v>
      </c>
      <c r="H48" s="1726"/>
      <c r="I48" s="1725" t="e">
        <f>V48</f>
        <v>#DIV/0!</v>
      </c>
      <c r="J48" s="1726"/>
      <c r="K48" s="2429">
        <f>F48+H48+J48</f>
        <v>0</v>
      </c>
      <c r="L48" s="2920"/>
      <c r="P48" s="3601" t="str">
        <f>A48</f>
        <v>比较价值（元/平方米）</v>
      </c>
      <c r="Q48" s="3601"/>
      <c r="R48" s="3597" t="e">
        <f>IF(E1="售价",ROUND(PRODUCT(R47,AA7:AA46),0),ROUND(PRODUCT(R47,AA7:AA46),1))</f>
        <v>#DIV/0!</v>
      </c>
      <c r="S48" s="3597"/>
      <c r="T48" s="3595" t="e">
        <f>IF(E1="售价",ROUND(PRODUCT(T47,AB7:AB46),0),ROUND(PRODUCT(T47,AB7:AB46),1))</f>
        <v>#DIV/0!</v>
      </c>
      <c r="U48" s="3596"/>
      <c r="V48" s="3597" t="e">
        <f>IF(E1="售价",ROUND(PRODUCT(V47,AC7:AC46),0),ROUND(PRODUCT(V47,AC7:AC46),1))</f>
        <v>#DIV/0!</v>
      </c>
      <c r="W48" s="3597"/>
      <c r="X48" s="1719"/>
      <c r="Y48" s="1719"/>
      <c r="Z48" s="1719"/>
      <c r="AA48" s="1719"/>
      <c r="AB48" s="1719"/>
      <c r="AC48" s="1719"/>
    </row>
    <row r="49" spans="1:29" ht="15.75" thickBot="1">
      <c r="A49" s="1727" t="s">
        <v>2049</v>
      </c>
      <c r="B49" s="1728"/>
      <c r="C49" s="1729" t="e">
        <f>R49</f>
        <v>#DIV/0!</v>
      </c>
      <c r="D49" s="1730"/>
      <c r="E49" s="1730"/>
      <c r="F49" s="1730"/>
      <c r="G49" s="1730"/>
      <c r="H49" s="1730"/>
      <c r="I49" s="1730"/>
      <c r="J49" s="1730"/>
      <c r="K49" s="1731"/>
      <c r="L49" s="2920"/>
      <c r="P49" s="3598" t="str">
        <f>A49</f>
        <v>估价对象XX用房的比较价值（楼面单价，元/平方米）</v>
      </c>
      <c r="Q49" s="3599"/>
      <c r="R49" s="3600" t="e">
        <f>IF(E1="售价",ROUND(IF(D48="简单平均",AVERAGE(R48:V48),R48*F48+T48*H48+V48*J48),0),ROUND(IF(D48="简单平均",AVERAGE(R48:V48),R48*F48+T48*H48+V48*J48),1))</f>
        <v>#DIV/0!</v>
      </c>
      <c r="S49" s="3600"/>
      <c r="T49" s="3600"/>
      <c r="U49" s="3600"/>
      <c r="V49" s="3600"/>
      <c r="W49" s="3600"/>
      <c r="X49" s="1719"/>
      <c r="Y49" s="1719"/>
      <c r="Z49" s="1719"/>
      <c r="AA49" s="1719"/>
      <c r="AB49" s="1719"/>
      <c r="AC49" s="1719"/>
    </row>
    <row r="50" spans="1:29">
      <c r="G50" s="2924"/>
    </row>
    <row r="52" spans="1:29" ht="13.5" customHeight="1">
      <c r="C52" s="383" t="s">
        <v>2050</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2051</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2052</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1740"/>
    </row>
    <row r="55" spans="1:29" s="1741" customFormat="1">
      <c r="B55" s="2925"/>
      <c r="C55" s="2926"/>
      <c r="K55" s="2927"/>
      <c r="L55" s="2921"/>
      <c r="P55" s="1740"/>
    </row>
    <row r="56" spans="1:29">
      <c r="B56" s="2925"/>
      <c r="C56" s="2926"/>
    </row>
    <row r="57" spans="1:29" ht="21.75" thickBot="1">
      <c r="A57" s="1744" t="s">
        <v>2053</v>
      </c>
      <c r="B57" s="1719"/>
      <c r="C57" s="1745"/>
      <c r="D57" s="1745"/>
      <c r="E57" s="1745"/>
      <c r="F57" s="1745"/>
      <c r="G57" s="1745"/>
      <c r="H57" s="1745"/>
      <c r="I57" s="1745"/>
      <c r="J57" s="1745"/>
      <c r="K57" s="1746"/>
      <c r="L57" s="2922"/>
      <c r="M57" s="2923"/>
      <c r="N57" s="2923"/>
      <c r="O57" s="2923"/>
      <c r="P57" s="1748"/>
      <c r="Q57" s="1749"/>
    </row>
    <row r="58" spans="1:29" s="1755" customFormat="1" ht="15">
      <c r="A58" s="1750" t="s">
        <v>2054</v>
      </c>
      <c r="B58" s="1751"/>
      <c r="C58" s="1752" t="str">
        <f>YEAR(C7)&amp;"-"&amp;MONTH(C7)</f>
        <v>2022-12</v>
      </c>
      <c r="D58" s="1753">
        <f>EDATE(C58,-1)</f>
        <v>44866</v>
      </c>
      <c r="E58" s="1753">
        <f t="shared" ref="E58:O58" si="16">EDATE(D58,-1)</f>
        <v>44835</v>
      </c>
      <c r="F58" s="1753">
        <f t="shared" si="16"/>
        <v>44805</v>
      </c>
      <c r="G58" s="1753">
        <f t="shared" si="16"/>
        <v>44774</v>
      </c>
      <c r="H58" s="1753">
        <f t="shared" si="16"/>
        <v>44743</v>
      </c>
      <c r="I58" s="1753">
        <f t="shared" si="16"/>
        <v>44713</v>
      </c>
      <c r="J58" s="1753">
        <f t="shared" si="16"/>
        <v>44682</v>
      </c>
      <c r="K58" s="1753">
        <f t="shared" si="16"/>
        <v>44652</v>
      </c>
      <c r="L58" s="1753">
        <f t="shared" si="16"/>
        <v>44621</v>
      </c>
      <c r="M58" s="1753">
        <f t="shared" si="16"/>
        <v>44593</v>
      </c>
      <c r="N58" s="1753">
        <f t="shared" si="16"/>
        <v>44562</v>
      </c>
      <c r="O58" s="1753">
        <f t="shared" si="16"/>
        <v>44531</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2056</v>
      </c>
      <c r="B61" s="1757"/>
      <c r="C61" s="1768" t="s">
        <v>2057</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2058</v>
      </c>
      <c r="B63" s="1775" t="s">
        <v>2023</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2027</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2074</v>
      </c>
      <c r="D82" s="1787" t="s">
        <v>2075</v>
      </c>
      <c r="E82" s="1787" t="s">
        <v>2076</v>
      </c>
      <c r="F82" s="1787" t="s">
        <v>2077</v>
      </c>
      <c r="G82" s="1787" t="s">
        <v>2078</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2080</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2081</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2033</v>
      </c>
      <c r="B100" s="1775" t="s">
        <v>2082</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2084</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2085</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2086</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2088</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2089</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2090</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2044</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2091</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2093</v>
      </c>
    </row>
    <row r="137" spans="1:17" ht="15">
      <c r="B137" s="1839" t="s">
        <v>2094</v>
      </c>
      <c r="C137" s="1840"/>
      <c r="D137" s="1840"/>
      <c r="E137" s="1840"/>
      <c r="F137" s="1840"/>
      <c r="G137" s="1841"/>
      <c r="H137" s="1842"/>
      <c r="I137" s="1843" t="s">
        <v>2095</v>
      </c>
      <c r="J137" s="1840"/>
      <c r="K137" s="1844"/>
    </row>
    <row r="138" spans="1:17" ht="15">
      <c r="B138" s="1845"/>
      <c r="C138" s="1846" t="s">
        <v>2096</v>
      </c>
      <c r="D138" s="1846" t="s">
        <v>2097</v>
      </c>
      <c r="E138" s="1847" t="s">
        <v>2098</v>
      </c>
      <c r="F138" s="1848" t="s">
        <v>2099</v>
      </c>
      <c r="G138" s="1846" t="s">
        <v>2097</v>
      </c>
      <c r="H138" s="1849" t="s">
        <v>2098</v>
      </c>
      <c r="I138" s="1850"/>
      <c r="J138" s="1846" t="s">
        <v>2100</v>
      </c>
      <c r="K138" s="1849" t="s">
        <v>2101</v>
      </c>
    </row>
    <row r="139" spans="1:17" ht="15">
      <c r="B139" s="1851">
        <v>6</v>
      </c>
      <c r="C139" s="1852">
        <v>96</v>
      </c>
      <c r="D139" s="1853" t="s">
        <v>2102</v>
      </c>
      <c r="E139" s="1854">
        <v>100</v>
      </c>
      <c r="F139" s="1855">
        <v>102.5</v>
      </c>
      <c r="G139" s="1853" t="s">
        <v>2102</v>
      </c>
      <c r="H139" s="1856">
        <v>105</v>
      </c>
      <c r="I139" s="1857" t="s">
        <v>2103</v>
      </c>
      <c r="J139" s="1852">
        <v>20</v>
      </c>
      <c r="K139" s="1858">
        <f>C145/(J139-2)</f>
        <v>4.0555555555555553E-3</v>
      </c>
    </row>
    <row r="140" spans="1:17" ht="15">
      <c r="B140" s="1859">
        <v>5</v>
      </c>
      <c r="C140" s="1860">
        <v>100</v>
      </c>
      <c r="D140" s="1860"/>
      <c r="E140" s="1861"/>
      <c r="F140" s="1862">
        <v>102</v>
      </c>
      <c r="G140" s="1860"/>
      <c r="H140" s="1863"/>
      <c r="I140" s="1864" t="s">
        <v>2104</v>
      </c>
      <c r="J140" s="1865">
        <f>ROUNDUP((J139-1)/2,0)</f>
        <v>10</v>
      </c>
      <c r="K140" s="1866">
        <v>100</v>
      </c>
    </row>
    <row r="141" spans="1:17" ht="15">
      <c r="B141" s="1859">
        <v>4</v>
      </c>
      <c r="C141" s="1860">
        <v>102</v>
      </c>
      <c r="D141" s="1860"/>
      <c r="E141" s="1861"/>
      <c r="F141" s="1862">
        <v>101.5</v>
      </c>
      <c r="G141" s="1860"/>
      <c r="H141" s="1863"/>
      <c r="I141" s="1864" t="s">
        <v>2105</v>
      </c>
      <c r="J141" s="1865">
        <v>1</v>
      </c>
      <c r="K141" s="1867">
        <f>ROUND(100+(J141-J140)*K139*100,1)</f>
        <v>96.4</v>
      </c>
    </row>
    <row r="142" spans="1:17" ht="15">
      <c r="B142" s="1859">
        <v>3</v>
      </c>
      <c r="C142" s="1860">
        <v>103</v>
      </c>
      <c r="D142" s="1860"/>
      <c r="E142" s="1861"/>
      <c r="F142" s="1862">
        <v>101</v>
      </c>
      <c r="G142" s="1860"/>
      <c r="H142" s="1863"/>
      <c r="I142" s="1864" t="s">
        <v>2106</v>
      </c>
      <c r="J142" s="1865">
        <f>J139</f>
        <v>20</v>
      </c>
      <c r="K142" s="1868">
        <v>95</v>
      </c>
    </row>
    <row r="143" spans="1:17" ht="15">
      <c r="B143" s="1859">
        <v>2</v>
      </c>
      <c r="C143" s="1860">
        <v>100</v>
      </c>
      <c r="D143" s="1860"/>
      <c r="E143" s="1861"/>
      <c r="F143" s="1862">
        <v>100.5</v>
      </c>
      <c r="G143" s="1860"/>
      <c r="H143" s="1863"/>
      <c r="I143" s="1864" t="s">
        <v>2107</v>
      </c>
      <c r="J143" s="1860">
        <v>15</v>
      </c>
      <c r="K143" s="1867">
        <f>ROUND(100+(J143-J140)*K139*100,1)</f>
        <v>102</v>
      </c>
    </row>
    <row r="144" spans="1:17" ht="15">
      <c r="B144" s="1859">
        <v>1</v>
      </c>
      <c r="C144" s="1860">
        <v>98</v>
      </c>
      <c r="D144" s="1347" t="s">
        <v>2108</v>
      </c>
      <c r="E144" s="1861">
        <v>102</v>
      </c>
      <c r="F144" s="1869">
        <v>100</v>
      </c>
      <c r="G144" s="1347" t="s">
        <v>2108</v>
      </c>
      <c r="H144" s="1863">
        <v>105</v>
      </c>
      <c r="I144" s="1864" t="s">
        <v>2107</v>
      </c>
      <c r="J144" s="1860">
        <v>18</v>
      </c>
      <c r="K144" s="1867">
        <f>ROUND(100+(J144-J140)*K139*100,1)</f>
        <v>103.2</v>
      </c>
    </row>
    <row r="145" spans="2:11" ht="15.75" thickBot="1">
      <c r="B145" s="1870" t="s">
        <v>2109</v>
      </c>
      <c r="C145" s="1871">
        <f>ROUND(MAX(C139:C144)/MIN(C139:C144)-1,3)</f>
        <v>7.2999999999999995E-2</v>
      </c>
      <c r="D145" s="1872"/>
      <c r="E145" s="1872"/>
      <c r="F145" s="1501" t="s">
        <v>2110</v>
      </c>
      <c r="G145" s="1873"/>
      <c r="H145" s="1874"/>
      <c r="I145" s="1875" t="s">
        <v>2107</v>
      </c>
      <c r="J145" s="1876">
        <v>8</v>
      </c>
      <c r="K145" s="1877">
        <f>ROUND(100+(J145-J140)*K139*100,1)</f>
        <v>99.2</v>
      </c>
    </row>
    <row r="147" spans="2:11">
      <c r="B147" s="1500" t="s">
        <v>2111</v>
      </c>
    </row>
    <row r="148" spans="2:11">
      <c r="B148" s="1500" t="s">
        <v>2112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2113</v>
      </c>
      <c r="C1" s="1566"/>
      <c r="D1" s="2387"/>
      <c r="E1" s="1568"/>
      <c r="F1" s="1569" t="s">
        <v>2002</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2003</v>
      </c>
      <c r="D3" s="1587">
        <f>IF(C1="仅计算典型户型",'数据-取费表'!E5,'数据-取费表'!B5)</f>
        <v>900.27</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2004</v>
      </c>
      <c r="B4" s="1591"/>
      <c r="C4" s="3628" t="s">
        <v>2005</v>
      </c>
      <c r="D4" s="3629"/>
      <c r="E4" s="3630" t="s">
        <v>2006</v>
      </c>
      <c r="F4" s="3631"/>
      <c r="G4" s="3628" t="s">
        <v>2007</v>
      </c>
      <c r="H4" s="3629"/>
      <c r="I4" s="3628" t="s">
        <v>2008</v>
      </c>
      <c r="J4" s="3629"/>
      <c r="K4" s="1893" t="s">
        <v>2009</v>
      </c>
      <c r="L4" s="2914"/>
      <c r="M4" s="2915"/>
      <c r="N4" s="2915"/>
      <c r="O4" s="2915"/>
      <c r="P4" s="3632" t="s">
        <v>2010</v>
      </c>
      <c r="Q4" s="3633"/>
      <c r="R4" s="3617" t="s">
        <v>2006</v>
      </c>
      <c r="S4" s="3618"/>
      <c r="T4" s="3617" t="s">
        <v>2007</v>
      </c>
      <c r="U4" s="3618"/>
      <c r="V4" s="3638" t="s">
        <v>2008</v>
      </c>
      <c r="W4" s="3638"/>
      <c r="X4" s="2002"/>
      <c r="Y4" s="3617" t="s">
        <v>2010</v>
      </c>
      <c r="Z4" s="3618"/>
      <c r="AA4" s="3625" t="s">
        <v>2006</v>
      </c>
      <c r="AB4" s="3638" t="s">
        <v>2007</v>
      </c>
      <c r="AC4" s="3625" t="s">
        <v>2008</v>
      </c>
    </row>
    <row r="5" spans="1:29" ht="15">
      <c r="A5" s="1595"/>
      <c r="B5" s="1596"/>
      <c r="C5" s="3613" t="s">
        <v>2011</v>
      </c>
      <c r="D5" s="3614"/>
      <c r="E5" s="3639" t="s">
        <v>2012</v>
      </c>
      <c r="F5" s="3640"/>
      <c r="G5" s="3613" t="s">
        <v>2013</v>
      </c>
      <c r="H5" s="3614"/>
      <c r="I5" s="3613" t="s">
        <v>2014</v>
      </c>
      <c r="J5" s="3614"/>
      <c r="K5" s="1893"/>
      <c r="L5" s="2914"/>
      <c r="M5" s="2915"/>
      <c r="N5" s="2915"/>
      <c r="O5" s="2915"/>
      <c r="P5" s="3634"/>
      <c r="Q5" s="3635"/>
      <c r="R5" s="3619"/>
      <c r="S5" s="3620"/>
      <c r="T5" s="3619"/>
      <c r="U5" s="3620"/>
      <c r="V5" s="3638"/>
      <c r="W5" s="3638"/>
      <c r="X5" s="2002"/>
      <c r="Y5" s="3619"/>
      <c r="Z5" s="3620"/>
      <c r="AA5" s="3626"/>
      <c r="AB5" s="3638"/>
      <c r="AC5" s="3626"/>
    </row>
    <row r="6" spans="1:29" ht="15.75" thickBot="1">
      <c r="A6" s="1598"/>
      <c r="B6" s="1599"/>
      <c r="C6" s="3611" t="s">
        <v>2015</v>
      </c>
      <c r="D6" s="3612"/>
      <c r="E6" s="3641" t="s">
        <v>2015</v>
      </c>
      <c r="F6" s="3642"/>
      <c r="G6" s="3611" t="s">
        <v>2015</v>
      </c>
      <c r="H6" s="3612"/>
      <c r="I6" s="3611" t="s">
        <v>2015</v>
      </c>
      <c r="J6" s="3612"/>
      <c r="K6" s="1893" t="s">
        <v>2016</v>
      </c>
      <c r="L6" s="2914"/>
      <c r="M6" s="2915"/>
      <c r="N6" s="2915"/>
      <c r="O6" s="2915"/>
      <c r="P6" s="3636"/>
      <c r="Q6" s="3637"/>
      <c r="R6" s="3619"/>
      <c r="S6" s="3620"/>
      <c r="T6" s="3621"/>
      <c r="U6" s="3622"/>
      <c r="V6" s="3638"/>
      <c r="W6" s="3638"/>
      <c r="X6" s="2002"/>
      <c r="Y6" s="3621"/>
      <c r="Z6" s="3622"/>
      <c r="AA6" s="3627"/>
      <c r="AB6" s="3638"/>
      <c r="AC6" s="3627"/>
    </row>
    <row r="7" spans="1:29" s="1612" customFormat="1" ht="15.75" thickBot="1">
      <c r="A7" s="1600" t="s">
        <v>2017</v>
      </c>
      <c r="B7" s="1601"/>
      <c r="C7" s="1602">
        <f>'数据-取费表'!B2</f>
        <v>44908</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615" t="s">
        <v>2018</v>
      </c>
      <c r="Q7" s="3623"/>
      <c r="R7" s="1608" t="s">
        <v>25</v>
      </c>
      <c r="S7" s="1609">
        <f t="shared" ref="S7:S15" si="0">F7</f>
        <v>0</v>
      </c>
      <c r="T7" s="1608" t="s">
        <v>25</v>
      </c>
      <c r="U7" s="1609">
        <f t="shared" ref="U7:U15" si="1">H7</f>
        <v>0</v>
      </c>
      <c r="V7" s="1608" t="s">
        <v>25</v>
      </c>
      <c r="W7" s="1609">
        <f t="shared" ref="W7:W15" si="2">J7</f>
        <v>0</v>
      </c>
      <c r="X7" s="1610"/>
      <c r="Y7" s="3615" t="s">
        <v>2018</v>
      </c>
      <c r="Z7" s="3616"/>
      <c r="AA7" s="1611" t="e">
        <f>D7/F7</f>
        <v>#DIV/0!</v>
      </c>
      <c r="AB7" s="1611" t="e">
        <f>D7/H7</f>
        <v>#DIV/0!</v>
      </c>
      <c r="AC7" s="1611" t="e">
        <f>D7/J7</f>
        <v>#DIV/0!</v>
      </c>
    </row>
    <row r="8" spans="1:29" s="1612" customFormat="1" ht="15.75" thickBot="1">
      <c r="A8" s="1600" t="s">
        <v>2019</v>
      </c>
      <c r="B8" s="1601"/>
      <c r="C8" s="1613" t="s">
        <v>2020</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615" t="s">
        <v>2021</v>
      </c>
      <c r="Q8" s="3616"/>
      <c r="R8" s="1608" t="s">
        <v>25</v>
      </c>
      <c r="S8" s="1609">
        <f t="shared" si="0"/>
        <v>0</v>
      </c>
      <c r="T8" s="1608" t="s">
        <v>25</v>
      </c>
      <c r="U8" s="1609">
        <f t="shared" si="1"/>
        <v>0</v>
      </c>
      <c r="V8" s="1608" t="s">
        <v>25</v>
      </c>
      <c r="W8" s="1609">
        <f t="shared" si="2"/>
        <v>0</v>
      </c>
      <c r="X8" s="1610"/>
      <c r="Y8" s="3615" t="s">
        <v>2021</v>
      </c>
      <c r="Z8" s="3616"/>
      <c r="AA8" s="1611" t="e">
        <f t="shared" ref="AA8:AA46" si="3">D8/F8</f>
        <v>#DIV/0!</v>
      </c>
      <c r="AB8" s="1611" t="e">
        <f t="shared" ref="AB8:AB46" si="4">D8/H8</f>
        <v>#DIV/0!</v>
      </c>
      <c r="AC8" s="1611" t="e">
        <f t="shared" ref="AC8:AC46" si="5">D8/J8</f>
        <v>#DIV/0!</v>
      </c>
    </row>
    <row r="9" spans="1:29" s="1612" customFormat="1">
      <c r="A9" s="1994" t="s">
        <v>2022</v>
      </c>
      <c r="B9" s="1615" t="s">
        <v>2023</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624" t="s">
        <v>2024</v>
      </c>
      <c r="Q9" s="1993" t="str">
        <f t="shared" ref="Q9:Q15" si="6">B9</f>
        <v>用途</v>
      </c>
      <c r="R9" s="1608" t="s">
        <v>25</v>
      </c>
      <c r="S9" s="1609">
        <f t="shared" si="0"/>
        <v>100</v>
      </c>
      <c r="T9" s="1608" t="s">
        <v>25</v>
      </c>
      <c r="U9" s="1609">
        <f t="shared" si="1"/>
        <v>100</v>
      </c>
      <c r="V9" s="1608" t="s">
        <v>25</v>
      </c>
      <c r="W9" s="1609">
        <f t="shared" si="2"/>
        <v>100</v>
      </c>
      <c r="X9" s="1610"/>
      <c r="Y9" s="3461"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624"/>
      <c r="Q10" s="1993" t="str">
        <f t="shared" si="6"/>
        <v>土地使用年限（年）</v>
      </c>
      <c r="R10" s="1608" t="s">
        <v>25</v>
      </c>
      <c r="S10" s="1609">
        <f t="shared" si="0"/>
        <v>100</v>
      </c>
      <c r="T10" s="1608" t="s">
        <v>25</v>
      </c>
      <c r="U10" s="1609">
        <f t="shared" si="1"/>
        <v>100</v>
      </c>
      <c r="V10" s="1608" t="s">
        <v>25</v>
      </c>
      <c r="W10" s="1609">
        <f t="shared" si="2"/>
        <v>100</v>
      </c>
      <c r="X10" s="1610"/>
      <c r="Y10" s="3461"/>
      <c r="Z10" s="1621" t="str">
        <f t="shared" si="7"/>
        <v>土地使用年限（年）</v>
      </c>
      <c r="AA10" s="1611">
        <f t="shared" si="3"/>
        <v>1</v>
      </c>
      <c r="AB10" s="1611">
        <f t="shared" si="4"/>
        <v>1</v>
      </c>
      <c r="AC10" s="1611">
        <f t="shared" si="5"/>
        <v>1</v>
      </c>
    </row>
    <row r="11" spans="1:29" ht="15">
      <c r="A11" s="1630"/>
      <c r="B11" s="1623" t="s">
        <v>2027</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624"/>
      <c r="Q11" s="1993" t="str">
        <f t="shared" si="6"/>
        <v>容积率</v>
      </c>
      <c r="R11" s="1608" t="s">
        <v>25</v>
      </c>
      <c r="S11" s="1609" t="e">
        <f t="shared" si="0"/>
        <v>#N/A</v>
      </c>
      <c r="T11" s="1608" t="s">
        <v>25</v>
      </c>
      <c r="U11" s="1609" t="e">
        <f t="shared" si="1"/>
        <v>#N/A</v>
      </c>
      <c r="V11" s="1608" t="s">
        <v>25</v>
      </c>
      <c r="W11" s="1609" t="e">
        <f t="shared" si="2"/>
        <v>#N/A</v>
      </c>
      <c r="X11" s="1610"/>
      <c r="Y11" s="346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624"/>
      <c r="Q12" s="1993">
        <f t="shared" si="6"/>
        <v>111</v>
      </c>
      <c r="R12" s="1608" t="s">
        <v>25</v>
      </c>
      <c r="S12" s="1609">
        <f t="shared" si="0"/>
        <v>100</v>
      </c>
      <c r="T12" s="1608" t="s">
        <v>25</v>
      </c>
      <c r="U12" s="1609">
        <f t="shared" si="1"/>
        <v>100</v>
      </c>
      <c r="V12" s="1608" t="s">
        <v>25</v>
      </c>
      <c r="W12" s="1609">
        <f t="shared" si="2"/>
        <v>100</v>
      </c>
      <c r="X12" s="1610"/>
      <c r="Y12" s="3461"/>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624"/>
      <c r="Q13" s="1993">
        <f t="shared" si="6"/>
        <v>111</v>
      </c>
      <c r="R13" s="1608" t="s">
        <v>25</v>
      </c>
      <c r="S13" s="1609">
        <f t="shared" si="0"/>
        <v>100</v>
      </c>
      <c r="T13" s="1608" t="s">
        <v>25</v>
      </c>
      <c r="U13" s="1609">
        <f t="shared" si="1"/>
        <v>100</v>
      </c>
      <c r="V13" s="1608" t="s">
        <v>25</v>
      </c>
      <c r="W13" s="1609">
        <f t="shared" si="2"/>
        <v>100</v>
      </c>
      <c r="X13" s="1610"/>
      <c r="Y13" s="3461"/>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624"/>
      <c r="Q14" s="1993">
        <f t="shared" si="6"/>
        <v>111</v>
      </c>
      <c r="R14" s="1608" t="s">
        <v>25</v>
      </c>
      <c r="S14" s="1609">
        <f t="shared" si="0"/>
        <v>100</v>
      </c>
      <c r="T14" s="1608" t="s">
        <v>25</v>
      </c>
      <c r="U14" s="1609">
        <f t="shared" si="1"/>
        <v>100</v>
      </c>
      <c r="V14" s="1608" t="s">
        <v>25</v>
      </c>
      <c r="W14" s="1609">
        <f t="shared" si="2"/>
        <v>100</v>
      </c>
      <c r="X14" s="1610"/>
      <c r="Y14" s="3461"/>
      <c r="Z14" s="1621">
        <f t="shared" si="7"/>
        <v>111</v>
      </c>
      <c r="AA14" s="1611">
        <f t="shared" si="3"/>
        <v>1</v>
      </c>
      <c r="AB14" s="1611">
        <f t="shared" si="4"/>
        <v>1</v>
      </c>
      <c r="AC14" s="1611">
        <f t="shared" si="5"/>
        <v>1</v>
      </c>
    </row>
    <row r="15" spans="1:29" ht="71.25">
      <c r="A15" s="1645" t="s">
        <v>2028</v>
      </c>
      <c r="B15" s="1646" t="s">
        <v>2114</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02" t="s">
        <v>2029</v>
      </c>
      <c r="Q15" s="1999" t="str">
        <f t="shared" si="6"/>
        <v>商业繁华度</v>
      </c>
      <c r="R15" s="1653" t="s">
        <v>25</v>
      </c>
      <c r="S15" s="1654">
        <f t="shared" si="0"/>
        <v>100</v>
      </c>
      <c r="T15" s="1653" t="s">
        <v>25</v>
      </c>
      <c r="U15" s="1654">
        <f t="shared" si="1"/>
        <v>100</v>
      </c>
      <c r="V15" s="1653" t="s">
        <v>25</v>
      </c>
      <c r="W15" s="1654">
        <f t="shared" si="2"/>
        <v>100</v>
      </c>
      <c r="X15" s="2002"/>
      <c r="Y15" s="3604" t="s">
        <v>2029</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03"/>
      <c r="Q16" s="1999"/>
      <c r="R16" s="1653"/>
      <c r="S16" s="1654"/>
      <c r="T16" s="1653"/>
      <c r="U16" s="1654"/>
      <c r="V16" s="1653"/>
      <c r="W16" s="1654"/>
      <c r="X16" s="2002"/>
      <c r="Y16" s="3605"/>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03"/>
      <c r="Q17" s="1999" t="str">
        <f>B17</f>
        <v>交通便捷度</v>
      </c>
      <c r="R17" s="1653" t="s">
        <v>25</v>
      </c>
      <c r="S17" s="1654">
        <f>F17</f>
        <v>100</v>
      </c>
      <c r="T17" s="1653" t="s">
        <v>25</v>
      </c>
      <c r="U17" s="1654">
        <f>H17</f>
        <v>100</v>
      </c>
      <c r="V17" s="1653" t="s">
        <v>25</v>
      </c>
      <c r="W17" s="1654">
        <f>J17</f>
        <v>100</v>
      </c>
      <c r="X17" s="2002"/>
      <c r="Y17" s="3605"/>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03"/>
      <c r="Q18" s="1999"/>
      <c r="R18" s="1653"/>
      <c r="S18" s="1654"/>
      <c r="T18" s="1653"/>
      <c r="U18" s="1654"/>
      <c r="V18" s="1653"/>
      <c r="W18" s="1654"/>
      <c r="X18" s="2002"/>
      <c r="Y18" s="3605"/>
      <c r="Z18" s="2006"/>
      <c r="AA18" s="1997">
        <v>1</v>
      </c>
      <c r="AB18" s="1997">
        <v>1</v>
      </c>
      <c r="AC18" s="1997">
        <v>1</v>
      </c>
    </row>
    <row r="19" spans="1:29" ht="42.75">
      <c r="A19" s="1630"/>
      <c r="B19" s="1665" t="s">
        <v>2115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03"/>
      <c r="Q19" s="1999" t="str">
        <f>B19</f>
        <v>公共配套设施</v>
      </c>
      <c r="R19" s="1653" t="s">
        <v>25</v>
      </c>
      <c r="S19" s="1654">
        <f>F19</f>
        <v>100</v>
      </c>
      <c r="T19" s="1653" t="s">
        <v>25</v>
      </c>
      <c r="U19" s="1654">
        <f>H19</f>
        <v>100</v>
      </c>
      <c r="V19" s="1653" t="s">
        <v>25</v>
      </c>
      <c r="W19" s="1654">
        <f>J19</f>
        <v>100</v>
      </c>
      <c r="X19" s="2002"/>
      <c r="Y19" s="3605"/>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03"/>
      <c r="Q20" s="1999"/>
      <c r="R20" s="1653"/>
      <c r="S20" s="1654"/>
      <c r="T20" s="1653"/>
      <c r="U20" s="1654"/>
      <c r="V20" s="1653"/>
      <c r="W20" s="1654"/>
      <c r="X20" s="2002"/>
      <c r="Y20" s="3605"/>
      <c r="Z20" s="2006"/>
      <c r="AA20" s="1997">
        <v>1</v>
      </c>
      <c r="AB20" s="1997">
        <v>1</v>
      </c>
      <c r="AC20" s="1997">
        <v>1</v>
      </c>
    </row>
    <row r="21" spans="1:29" ht="28.5">
      <c r="A21" s="1630"/>
      <c r="B21" s="1678" t="s">
        <v>2116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03"/>
      <c r="Q21" s="1999" t="str">
        <f>B21</f>
        <v>基础设施水平</v>
      </c>
      <c r="R21" s="1653" t="s">
        <v>25</v>
      </c>
      <c r="S21" s="1654">
        <f>F21</f>
        <v>100</v>
      </c>
      <c r="T21" s="1653" t="s">
        <v>25</v>
      </c>
      <c r="U21" s="1654">
        <f>H21</f>
        <v>100</v>
      </c>
      <c r="V21" s="1653" t="s">
        <v>25</v>
      </c>
      <c r="W21" s="1654">
        <f>J21</f>
        <v>100</v>
      </c>
      <c r="X21" s="2002"/>
      <c r="Y21" s="3605"/>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03"/>
      <c r="Q22" s="1999"/>
      <c r="R22" s="1653"/>
      <c r="S22" s="1654"/>
      <c r="T22" s="1653"/>
      <c r="U22" s="1654"/>
      <c r="V22" s="1653"/>
      <c r="W22" s="1654"/>
      <c r="X22" s="2002"/>
      <c r="Y22" s="3605"/>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03"/>
      <c r="Q23" s="1999" t="str">
        <f>B23</f>
        <v>自然及人文环境</v>
      </c>
      <c r="R23" s="1653" t="s">
        <v>25</v>
      </c>
      <c r="S23" s="1654">
        <f>F23</f>
        <v>100</v>
      </c>
      <c r="T23" s="1653" t="s">
        <v>25</v>
      </c>
      <c r="U23" s="1654">
        <f>H23</f>
        <v>100</v>
      </c>
      <c r="V23" s="1653" t="s">
        <v>25</v>
      </c>
      <c r="W23" s="1654">
        <f>J23</f>
        <v>100</v>
      </c>
      <c r="X23" s="2002"/>
      <c r="Y23" s="3605"/>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03"/>
      <c r="Q24" s="1999"/>
      <c r="R24" s="1653"/>
      <c r="S24" s="1654"/>
      <c r="T24" s="1653"/>
      <c r="U24" s="1654"/>
      <c r="V24" s="1653"/>
      <c r="W24" s="1654"/>
      <c r="X24" s="2002"/>
      <c r="Y24" s="3605"/>
      <c r="Z24" s="2006"/>
      <c r="AA24" s="1997">
        <v>1</v>
      </c>
      <c r="AB24" s="1997">
        <v>1</v>
      </c>
      <c r="AC24" s="1997">
        <v>1</v>
      </c>
    </row>
    <row r="25" spans="1:29" ht="15">
      <c r="A25" s="1630"/>
      <c r="B25" s="1623" t="s">
        <v>2117</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03"/>
      <c r="Q25" s="1999" t="str">
        <f t="shared" ref="Q25:Q46" si="11">B25</f>
        <v>临街状况</v>
      </c>
      <c r="R25" s="1653" t="s">
        <v>25</v>
      </c>
      <c r="S25" s="1654">
        <f>F25</f>
        <v>100</v>
      </c>
      <c r="T25" s="1653" t="s">
        <v>25</v>
      </c>
      <c r="U25" s="1654">
        <f>H25</f>
        <v>100</v>
      </c>
      <c r="V25" s="1653" t="s">
        <v>25</v>
      </c>
      <c r="W25" s="1654">
        <f>J25</f>
        <v>100</v>
      </c>
      <c r="X25" s="2002"/>
      <c r="Y25" s="3605"/>
      <c r="Z25" s="2006" t="str">
        <f>Q25</f>
        <v>临街状况</v>
      </c>
      <c r="AA25" s="1997">
        <f t="shared" si="3"/>
        <v>1</v>
      </c>
      <c r="AB25" s="1997">
        <f t="shared" si="4"/>
        <v>1</v>
      </c>
      <c r="AC25" s="1997">
        <f t="shared" si="5"/>
        <v>1</v>
      </c>
    </row>
    <row r="26" spans="1:29" ht="15">
      <c r="A26" s="1630"/>
      <c r="B26" s="1688" t="s">
        <v>2118</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03"/>
      <c r="Q26" s="1999" t="str">
        <f t="shared" si="11"/>
        <v>平面位置/可视性</v>
      </c>
      <c r="R26" s="1653" t="s">
        <v>25</v>
      </c>
      <c r="S26" s="1654">
        <f>F26</f>
        <v>100</v>
      </c>
      <c r="T26" s="1653" t="s">
        <v>25</v>
      </c>
      <c r="U26" s="1654">
        <f>H26</f>
        <v>100</v>
      </c>
      <c r="V26" s="1653" t="s">
        <v>25</v>
      </c>
      <c r="W26" s="1654">
        <f>J26</f>
        <v>100</v>
      </c>
      <c r="X26" s="2002"/>
      <c r="Y26" s="3605"/>
      <c r="Z26" s="2006" t="str">
        <f>Q26</f>
        <v>平面位置/可视性</v>
      </c>
      <c r="AA26" s="1997">
        <f t="shared" si="3"/>
        <v>1</v>
      </c>
      <c r="AB26" s="1997">
        <f t="shared" si="4"/>
        <v>1</v>
      </c>
      <c r="AC26" s="1997">
        <f t="shared" si="5"/>
        <v>1</v>
      </c>
    </row>
    <row r="27" spans="1:29" s="1612" customFormat="1" ht="15">
      <c r="A27" s="1633"/>
      <c r="B27" s="1665" t="s">
        <v>2119</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03"/>
      <c r="Q27" s="1993" t="str">
        <f t="shared" si="11"/>
        <v>人流量</v>
      </c>
      <c r="R27" s="1608" t="s">
        <v>25</v>
      </c>
      <c r="S27" s="1609">
        <f>F27</f>
        <v>100</v>
      </c>
      <c r="T27" s="1608" t="s">
        <v>25</v>
      </c>
      <c r="U27" s="1609">
        <f>H27</f>
        <v>100</v>
      </c>
      <c r="V27" s="1608" t="s">
        <v>25</v>
      </c>
      <c r="W27" s="1609">
        <f>J27</f>
        <v>100</v>
      </c>
      <c r="X27" s="1610"/>
      <c r="Y27" s="3605"/>
      <c r="Z27" s="1621" t="str">
        <f>Q27</f>
        <v>人流量</v>
      </c>
      <c r="AA27" s="1997">
        <f>D27/F27</f>
        <v>1</v>
      </c>
      <c r="AB27" s="1997">
        <f>D27/H27</f>
        <v>1</v>
      </c>
      <c r="AC27" s="1997">
        <f>D27/J27</f>
        <v>1</v>
      </c>
    </row>
    <row r="28" spans="1:29" ht="15">
      <c r="A28" s="1630"/>
      <c r="B28" s="1623" t="s">
        <v>2120</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03"/>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605"/>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03"/>
      <c r="Q29" s="1999">
        <f t="shared" si="11"/>
        <v>111</v>
      </c>
      <c r="R29" s="1653" t="s">
        <v>25</v>
      </c>
      <c r="S29" s="1654">
        <f t="shared" si="12"/>
        <v>100</v>
      </c>
      <c r="T29" s="1653" t="s">
        <v>25</v>
      </c>
      <c r="U29" s="1654">
        <f t="shared" si="13"/>
        <v>100</v>
      </c>
      <c r="V29" s="1653" t="s">
        <v>25</v>
      </c>
      <c r="W29" s="1654">
        <f t="shared" si="14"/>
        <v>100</v>
      </c>
      <c r="X29" s="2002"/>
      <c r="Y29" s="3605"/>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03"/>
      <c r="Q30" s="1999">
        <f t="shared" si="11"/>
        <v>111</v>
      </c>
      <c r="R30" s="1653" t="s">
        <v>25</v>
      </c>
      <c r="S30" s="1654">
        <f t="shared" si="12"/>
        <v>100</v>
      </c>
      <c r="T30" s="1653" t="s">
        <v>25</v>
      </c>
      <c r="U30" s="1654">
        <f t="shared" si="13"/>
        <v>100</v>
      </c>
      <c r="V30" s="1653" t="s">
        <v>25</v>
      </c>
      <c r="W30" s="1654">
        <f t="shared" si="14"/>
        <v>100</v>
      </c>
      <c r="X30" s="2002"/>
      <c r="Y30" s="3605"/>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03"/>
      <c r="Q31" s="1999">
        <f t="shared" si="11"/>
        <v>111</v>
      </c>
      <c r="R31" s="1653" t="s">
        <v>25</v>
      </c>
      <c r="S31" s="1654">
        <f t="shared" si="12"/>
        <v>100</v>
      </c>
      <c r="T31" s="1653" t="s">
        <v>25</v>
      </c>
      <c r="U31" s="1654">
        <f t="shared" si="13"/>
        <v>100</v>
      </c>
      <c r="V31" s="1653" t="s">
        <v>25</v>
      </c>
      <c r="W31" s="1654">
        <f t="shared" si="14"/>
        <v>100</v>
      </c>
      <c r="X31" s="2002"/>
      <c r="Y31" s="3605"/>
      <c r="Z31" s="2006">
        <f t="shared" si="15"/>
        <v>111</v>
      </c>
      <c r="AA31" s="1997">
        <f t="shared" si="3"/>
        <v>1</v>
      </c>
      <c r="AB31" s="1997">
        <f t="shared" si="4"/>
        <v>1</v>
      </c>
      <c r="AC31" s="1997">
        <f t="shared" si="5"/>
        <v>1</v>
      </c>
    </row>
    <row r="32" spans="1:29" ht="15">
      <c r="A32" s="1645" t="s">
        <v>2033</v>
      </c>
      <c r="B32" s="1615" t="s">
        <v>2121</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606" t="s">
        <v>2035</v>
      </c>
      <c r="Q32" s="1999" t="str">
        <f t="shared" si="11"/>
        <v>商业类型</v>
      </c>
      <c r="R32" s="1653" t="s">
        <v>25</v>
      </c>
      <c r="S32" s="1654">
        <f t="shared" si="12"/>
        <v>100</v>
      </c>
      <c r="T32" s="1653" t="s">
        <v>25</v>
      </c>
      <c r="U32" s="1654">
        <f t="shared" si="13"/>
        <v>100</v>
      </c>
      <c r="V32" s="1653" t="s">
        <v>25</v>
      </c>
      <c r="W32" s="1654">
        <f t="shared" si="14"/>
        <v>100</v>
      </c>
      <c r="X32" s="2002"/>
      <c r="Y32" s="3609" t="s">
        <v>2035</v>
      </c>
      <c r="Z32" s="2006" t="str">
        <f t="shared" si="15"/>
        <v>商业类型</v>
      </c>
      <c r="AA32" s="1997">
        <f t="shared" si="3"/>
        <v>1</v>
      </c>
      <c r="AB32" s="1997">
        <f t="shared" si="4"/>
        <v>1</v>
      </c>
      <c r="AC32" s="1997">
        <f t="shared" si="5"/>
        <v>1</v>
      </c>
    </row>
    <row r="33" spans="1:29" s="1699" customFormat="1" ht="15">
      <c r="A33" s="1692"/>
      <c r="B33" s="1623" t="s">
        <v>2036</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607"/>
      <c r="Q33" s="1694" t="str">
        <f t="shared" si="11"/>
        <v>项目建筑规模</v>
      </c>
      <c r="R33" s="1695" t="s">
        <v>25</v>
      </c>
      <c r="S33" s="1696" t="e">
        <f t="shared" si="12"/>
        <v>#N/A</v>
      </c>
      <c r="T33" s="1695" t="s">
        <v>25</v>
      </c>
      <c r="U33" s="1696" t="e">
        <f t="shared" si="13"/>
        <v>#N/A</v>
      </c>
      <c r="V33" s="1695" t="s">
        <v>25</v>
      </c>
      <c r="W33" s="1696" t="e">
        <f t="shared" si="14"/>
        <v>#N/A</v>
      </c>
      <c r="X33" s="1697"/>
      <c r="Y33" s="3609"/>
      <c r="Z33" s="1698" t="str">
        <f t="shared" si="15"/>
        <v>项目建筑规模</v>
      </c>
      <c r="AA33" s="1997" t="e">
        <f t="shared" si="3"/>
        <v>#N/A</v>
      </c>
      <c r="AB33" s="1997" t="e">
        <f t="shared" si="4"/>
        <v>#N/A</v>
      </c>
      <c r="AC33" s="1997" t="e">
        <f t="shared" si="5"/>
        <v>#N/A</v>
      </c>
    </row>
    <row r="34" spans="1:29" ht="15">
      <c r="A34" s="1700"/>
      <c r="B34" s="1623" t="s">
        <v>2037</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607"/>
      <c r="Q34" s="1999" t="str">
        <f t="shared" si="11"/>
        <v>建筑结构</v>
      </c>
      <c r="R34" s="1653" t="s">
        <v>25</v>
      </c>
      <c r="S34" s="1654">
        <f t="shared" si="12"/>
        <v>100</v>
      </c>
      <c r="T34" s="1653" t="s">
        <v>25</v>
      </c>
      <c r="U34" s="1654">
        <f t="shared" si="13"/>
        <v>100</v>
      </c>
      <c r="V34" s="1653" t="s">
        <v>25</v>
      </c>
      <c r="W34" s="1654">
        <f t="shared" si="14"/>
        <v>100</v>
      </c>
      <c r="X34" s="2002"/>
      <c r="Y34" s="3609"/>
      <c r="Z34" s="2006" t="str">
        <f t="shared" si="15"/>
        <v>建筑结构</v>
      </c>
      <c r="AA34" s="1997">
        <f t="shared" si="3"/>
        <v>1</v>
      </c>
      <c r="AB34" s="1997">
        <f t="shared" si="4"/>
        <v>1</v>
      </c>
      <c r="AC34" s="1997">
        <f t="shared" si="5"/>
        <v>1</v>
      </c>
    </row>
    <row r="35" spans="1:29" ht="15">
      <c r="A35" s="1700"/>
      <c r="B35" s="1623" t="s">
        <v>2122</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607"/>
      <c r="Q35" s="1999" t="str">
        <f t="shared" si="11"/>
        <v>公共部分装修</v>
      </c>
      <c r="R35" s="1653" t="s">
        <v>25</v>
      </c>
      <c r="S35" s="1654">
        <f t="shared" si="12"/>
        <v>100</v>
      </c>
      <c r="T35" s="1653" t="s">
        <v>25</v>
      </c>
      <c r="U35" s="1654">
        <f t="shared" si="13"/>
        <v>100</v>
      </c>
      <c r="V35" s="1653" t="s">
        <v>25</v>
      </c>
      <c r="W35" s="1654">
        <f t="shared" si="14"/>
        <v>100</v>
      </c>
      <c r="X35" s="2002"/>
      <c r="Y35" s="3609"/>
      <c r="Z35" s="2006" t="str">
        <f t="shared" si="15"/>
        <v>公共部分装修</v>
      </c>
      <c r="AA35" s="1997">
        <f t="shared" si="3"/>
        <v>1</v>
      </c>
      <c r="AB35" s="1997">
        <f t="shared" si="4"/>
        <v>1</v>
      </c>
      <c r="AC35" s="1997">
        <f t="shared" si="5"/>
        <v>1</v>
      </c>
    </row>
    <row r="36" spans="1:29" ht="15">
      <c r="A36" s="1700"/>
      <c r="B36" s="1623" t="s">
        <v>2123</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607"/>
      <c r="Q36" s="1999" t="str">
        <f t="shared" si="11"/>
        <v>成新度</v>
      </c>
      <c r="R36" s="1653" t="s">
        <v>25</v>
      </c>
      <c r="S36" s="1654" t="e">
        <f t="shared" si="12"/>
        <v>#N/A</v>
      </c>
      <c r="T36" s="1653" t="s">
        <v>25</v>
      </c>
      <c r="U36" s="1654" t="e">
        <f t="shared" si="13"/>
        <v>#N/A</v>
      </c>
      <c r="V36" s="1653" t="s">
        <v>25</v>
      </c>
      <c r="W36" s="1654" t="e">
        <f t="shared" si="14"/>
        <v>#N/A</v>
      </c>
      <c r="X36" s="2002"/>
      <c r="Y36" s="3609"/>
      <c r="Z36" s="2006" t="str">
        <f t="shared" si="15"/>
        <v>成新度</v>
      </c>
      <c r="AA36" s="1997" t="e">
        <f t="shared" si="3"/>
        <v>#N/A</v>
      </c>
      <c r="AB36" s="1997" t="e">
        <f t="shared" si="4"/>
        <v>#N/A</v>
      </c>
      <c r="AC36" s="1997" t="e">
        <f t="shared" si="5"/>
        <v>#N/A</v>
      </c>
    </row>
    <row r="37" spans="1:29" s="1612" customFormat="1" ht="15">
      <c r="A37" s="1703"/>
      <c r="B37" s="1623" t="s">
        <v>2124</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607"/>
      <c r="Q37" s="1993" t="str">
        <f t="shared" si="11"/>
        <v>市政基础设施</v>
      </c>
      <c r="R37" s="1608" t="s">
        <v>25</v>
      </c>
      <c r="S37" s="1609">
        <f t="shared" si="12"/>
        <v>100</v>
      </c>
      <c r="T37" s="1608" t="s">
        <v>25</v>
      </c>
      <c r="U37" s="1609">
        <f t="shared" si="13"/>
        <v>100</v>
      </c>
      <c r="V37" s="1608" t="s">
        <v>25</v>
      </c>
      <c r="W37" s="1609">
        <f t="shared" si="14"/>
        <v>100</v>
      </c>
      <c r="X37" s="1610"/>
      <c r="Y37" s="3609"/>
      <c r="Z37" s="1621" t="str">
        <f t="shared" si="15"/>
        <v>市政基础设施</v>
      </c>
      <c r="AA37" s="1611">
        <f t="shared" si="3"/>
        <v>1</v>
      </c>
      <c r="AB37" s="1611">
        <f t="shared" si="4"/>
        <v>1</v>
      </c>
      <c r="AC37" s="1611">
        <f t="shared" si="5"/>
        <v>1</v>
      </c>
    </row>
    <row r="38" spans="1:29" ht="15">
      <c r="A38" s="1700"/>
      <c r="B38" s="1623" t="s">
        <v>2125</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607" t="s">
        <v>2035</v>
      </c>
      <c r="Q38" s="1999" t="str">
        <f t="shared" si="11"/>
        <v>业态</v>
      </c>
      <c r="R38" s="1653" t="s">
        <v>25</v>
      </c>
      <c r="S38" s="1654">
        <f t="shared" si="12"/>
        <v>100</v>
      </c>
      <c r="T38" s="1653" t="s">
        <v>25</v>
      </c>
      <c r="U38" s="1654">
        <f t="shared" si="13"/>
        <v>100</v>
      </c>
      <c r="V38" s="1653" t="s">
        <v>25</v>
      </c>
      <c r="W38" s="1654">
        <f t="shared" si="14"/>
        <v>100</v>
      </c>
      <c r="X38" s="2002"/>
      <c r="Y38" s="3609" t="s">
        <v>2035</v>
      </c>
      <c r="Z38" s="2006" t="str">
        <f t="shared" si="15"/>
        <v>业态</v>
      </c>
      <c r="AA38" s="1997">
        <f t="shared" si="3"/>
        <v>1</v>
      </c>
      <c r="AB38" s="1997">
        <f t="shared" si="4"/>
        <v>1</v>
      </c>
      <c r="AC38" s="1997">
        <f t="shared" si="5"/>
        <v>1</v>
      </c>
    </row>
    <row r="39" spans="1:29" ht="15">
      <c r="A39" s="1700"/>
      <c r="B39" s="1623" t="s">
        <v>2126</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607"/>
      <c r="Q39" s="1999" t="str">
        <f t="shared" si="11"/>
        <v>层高</v>
      </c>
      <c r="R39" s="1653" t="s">
        <v>25</v>
      </c>
      <c r="S39" s="1654">
        <f t="shared" si="12"/>
        <v>100</v>
      </c>
      <c r="T39" s="1653" t="s">
        <v>25</v>
      </c>
      <c r="U39" s="1654">
        <f t="shared" si="13"/>
        <v>100</v>
      </c>
      <c r="V39" s="1653" t="s">
        <v>25</v>
      </c>
      <c r="W39" s="1654">
        <f t="shared" si="14"/>
        <v>100</v>
      </c>
      <c r="X39" s="2002"/>
      <c r="Y39" s="3609"/>
      <c r="Z39" s="2006" t="str">
        <f t="shared" si="15"/>
        <v>层高</v>
      </c>
      <c r="AA39" s="1997">
        <f t="shared" si="3"/>
        <v>1</v>
      </c>
      <c r="AB39" s="1997">
        <f t="shared" si="4"/>
        <v>1</v>
      </c>
      <c r="AC39" s="1997">
        <f t="shared" si="5"/>
        <v>1</v>
      </c>
    </row>
    <row r="40" spans="1:29" ht="15">
      <c r="A40" s="1700"/>
      <c r="B40" s="1623" t="s">
        <v>2127</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607"/>
      <c r="Q40" s="1999" t="str">
        <f t="shared" si="11"/>
        <v>单套建筑面积</v>
      </c>
      <c r="R40" s="1653" t="s">
        <v>25</v>
      </c>
      <c r="S40" s="1654">
        <f t="shared" si="12"/>
        <v>100</v>
      </c>
      <c r="T40" s="1653" t="s">
        <v>25</v>
      </c>
      <c r="U40" s="1654">
        <f t="shared" si="13"/>
        <v>100</v>
      </c>
      <c r="V40" s="1653" t="s">
        <v>25</v>
      </c>
      <c r="W40" s="1654">
        <f t="shared" si="14"/>
        <v>100</v>
      </c>
      <c r="X40" s="2002"/>
      <c r="Y40" s="3609"/>
      <c r="Z40" s="2006" t="str">
        <f t="shared" si="15"/>
        <v>单套建筑面积</v>
      </c>
      <c r="AA40" s="1997">
        <f t="shared" si="3"/>
        <v>1</v>
      </c>
      <c r="AB40" s="1997">
        <f t="shared" si="4"/>
        <v>1</v>
      </c>
      <c r="AC40" s="1997">
        <f t="shared" si="5"/>
        <v>1</v>
      </c>
    </row>
    <row r="41" spans="1:29" s="1699" customFormat="1" ht="15">
      <c r="A41" s="1692"/>
      <c r="B41" s="1998" t="s">
        <v>2128</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607"/>
      <c r="Q41" s="1694" t="str">
        <f t="shared" si="11"/>
        <v>进深比</v>
      </c>
      <c r="R41" s="1695" t="s">
        <v>25</v>
      </c>
      <c r="S41" s="1696">
        <f t="shared" si="12"/>
        <v>100</v>
      </c>
      <c r="T41" s="1695" t="s">
        <v>25</v>
      </c>
      <c r="U41" s="1696">
        <f t="shared" si="13"/>
        <v>100</v>
      </c>
      <c r="V41" s="1695" t="s">
        <v>25</v>
      </c>
      <c r="W41" s="1696">
        <f t="shared" si="14"/>
        <v>100</v>
      </c>
      <c r="X41" s="1697"/>
      <c r="Y41" s="3609"/>
      <c r="Z41" s="1698" t="str">
        <f t="shared" si="15"/>
        <v>进深比</v>
      </c>
      <c r="AA41" s="1997">
        <f t="shared" si="3"/>
        <v>1</v>
      </c>
      <c r="AB41" s="1997">
        <f t="shared" si="4"/>
        <v>1</v>
      </c>
      <c r="AC41" s="1997">
        <f t="shared" si="5"/>
        <v>1</v>
      </c>
    </row>
    <row r="42" spans="1:29" ht="15">
      <c r="A42" s="1700"/>
      <c r="B42" s="1623" t="s">
        <v>2129</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607"/>
      <c r="Q42" s="1999" t="str">
        <f t="shared" si="11"/>
        <v>内部装修</v>
      </c>
      <c r="R42" s="1653" t="s">
        <v>25</v>
      </c>
      <c r="S42" s="1654">
        <f t="shared" si="12"/>
        <v>100</v>
      </c>
      <c r="T42" s="1653" t="s">
        <v>25</v>
      </c>
      <c r="U42" s="1654">
        <f t="shared" si="13"/>
        <v>100</v>
      </c>
      <c r="V42" s="1653" t="s">
        <v>25</v>
      </c>
      <c r="W42" s="1654">
        <f t="shared" si="14"/>
        <v>100</v>
      </c>
      <c r="X42" s="2002"/>
      <c r="Y42" s="3609"/>
      <c r="Z42" s="2006" t="str">
        <f t="shared" si="15"/>
        <v>内部装修</v>
      </c>
      <c r="AA42" s="1997">
        <f t="shared" si="3"/>
        <v>1</v>
      </c>
      <c r="AB42" s="1997">
        <f t="shared" si="4"/>
        <v>1</v>
      </c>
      <c r="AC42" s="1997">
        <f t="shared" si="5"/>
        <v>1</v>
      </c>
    </row>
    <row r="43" spans="1:29" ht="15">
      <c r="A43" s="1700"/>
      <c r="B43" s="1623" t="s">
        <v>2046</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607"/>
      <c r="Q43" s="1999" t="str">
        <f t="shared" si="11"/>
        <v>内部装修维护情况</v>
      </c>
      <c r="R43" s="1653" t="s">
        <v>25</v>
      </c>
      <c r="S43" s="1654">
        <f t="shared" si="12"/>
        <v>100</v>
      </c>
      <c r="T43" s="1653" t="s">
        <v>25</v>
      </c>
      <c r="U43" s="1654">
        <f t="shared" si="13"/>
        <v>100</v>
      </c>
      <c r="V43" s="1653" t="s">
        <v>25</v>
      </c>
      <c r="W43" s="1654">
        <f t="shared" si="14"/>
        <v>100</v>
      </c>
      <c r="X43" s="2002"/>
      <c r="Y43" s="3609"/>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607"/>
      <c r="Q44" s="1993">
        <f t="shared" si="11"/>
        <v>111</v>
      </c>
      <c r="R44" s="1608" t="s">
        <v>25</v>
      </c>
      <c r="S44" s="1609">
        <f t="shared" si="12"/>
        <v>100</v>
      </c>
      <c r="T44" s="1608" t="s">
        <v>25</v>
      </c>
      <c r="U44" s="1609">
        <f t="shared" si="13"/>
        <v>100</v>
      </c>
      <c r="V44" s="1608" t="s">
        <v>25</v>
      </c>
      <c r="W44" s="1609">
        <f t="shared" si="14"/>
        <v>100</v>
      </c>
      <c r="X44" s="1610"/>
      <c r="Y44" s="3609"/>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607"/>
      <c r="Q45" s="1999">
        <f t="shared" si="11"/>
        <v>111</v>
      </c>
      <c r="R45" s="1653" t="s">
        <v>25</v>
      </c>
      <c r="S45" s="1654">
        <f t="shared" si="12"/>
        <v>100</v>
      </c>
      <c r="T45" s="1653" t="s">
        <v>25</v>
      </c>
      <c r="U45" s="1654">
        <f t="shared" si="13"/>
        <v>100</v>
      </c>
      <c r="V45" s="1653" t="s">
        <v>25</v>
      </c>
      <c r="W45" s="1654">
        <f t="shared" si="14"/>
        <v>100</v>
      </c>
      <c r="X45" s="2002"/>
      <c r="Y45" s="3609"/>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608"/>
      <c r="Q46" s="1999">
        <f t="shared" si="11"/>
        <v>111</v>
      </c>
      <c r="R46" s="1653" t="s">
        <v>25</v>
      </c>
      <c r="S46" s="1654">
        <f t="shared" si="12"/>
        <v>100</v>
      </c>
      <c r="T46" s="1653" t="s">
        <v>25</v>
      </c>
      <c r="U46" s="1654">
        <f t="shared" si="13"/>
        <v>100</v>
      </c>
      <c r="V46" s="1653" t="s">
        <v>25</v>
      </c>
      <c r="W46" s="1654">
        <f t="shared" si="14"/>
        <v>100</v>
      </c>
      <c r="X46" s="2002"/>
      <c r="Y46" s="3610"/>
      <c r="Z46" s="2006">
        <f t="shared" si="15"/>
        <v>111</v>
      </c>
      <c r="AA46" s="1997">
        <f t="shared" si="3"/>
        <v>1</v>
      </c>
      <c r="AB46" s="1997">
        <f t="shared" si="4"/>
        <v>1</v>
      </c>
      <c r="AC46" s="1997">
        <f t="shared" si="5"/>
        <v>1</v>
      </c>
    </row>
    <row r="47" spans="1:29" ht="15">
      <c r="A47" s="1709" t="s">
        <v>2047</v>
      </c>
      <c r="B47" s="1710"/>
      <c r="C47" s="1711" t="s">
        <v>1</v>
      </c>
      <c r="D47" s="1712"/>
      <c r="E47" s="1713"/>
      <c r="F47" s="1714"/>
      <c r="G47" s="1715"/>
      <c r="H47" s="1716"/>
      <c r="I47" s="1713"/>
      <c r="J47" s="1716"/>
      <c r="K47" s="1941"/>
      <c r="L47" s="2920"/>
      <c r="N47" s="2915"/>
      <c r="P47" s="3601" t="str">
        <f>A47</f>
        <v>成交单价（元/平方米）</v>
      </c>
      <c r="Q47" s="3601"/>
      <c r="R47" s="3597">
        <f>E47</f>
        <v>0</v>
      </c>
      <c r="S47" s="3597"/>
      <c r="T47" s="3597">
        <f>G47</f>
        <v>0</v>
      </c>
      <c r="U47" s="3597"/>
      <c r="V47" s="3597">
        <f>I47</f>
        <v>0</v>
      </c>
      <c r="W47" s="3597"/>
      <c r="X47" s="1719"/>
      <c r="Y47" s="2001"/>
      <c r="Z47" s="1719"/>
      <c r="AA47" s="1719"/>
      <c r="AB47" s="1719"/>
      <c r="AC47" s="1719"/>
    </row>
    <row r="48" spans="1:29" ht="15.75" thickBot="1">
      <c r="A48" s="1721" t="s">
        <v>2130</v>
      </c>
      <c r="B48" s="1722"/>
      <c r="C48" s="1723" t="e">
        <f>R49</f>
        <v>#DIV/0!</v>
      </c>
      <c r="D48" s="1724" t="s">
        <v>2501</v>
      </c>
      <c r="E48" s="1725" t="e">
        <f>R48</f>
        <v>#DIV/0!</v>
      </c>
      <c r="F48" s="1726"/>
      <c r="G48" s="1723" t="e">
        <f>T48</f>
        <v>#DIV/0!</v>
      </c>
      <c r="H48" s="1726"/>
      <c r="I48" s="1725" t="e">
        <f>V48</f>
        <v>#DIV/0!</v>
      </c>
      <c r="J48" s="1726"/>
      <c r="K48" s="2428">
        <f>F48+H48+J48</f>
        <v>0</v>
      </c>
      <c r="L48" s="2920"/>
      <c r="N48" s="2915"/>
      <c r="P48" s="3601" t="str">
        <f>A48</f>
        <v>比较价值（元/平方米）</v>
      </c>
      <c r="Q48" s="3601"/>
      <c r="R48" s="3597" t="e">
        <f>IF(E1="售价",ROUND(PRODUCT(R47,AA7:AA46),0),ROUND(PRODUCT(R47,AA7:AA46),1))</f>
        <v>#DIV/0!</v>
      </c>
      <c r="S48" s="3597"/>
      <c r="T48" s="3597" t="e">
        <f>IF(E1="售价",ROUND(PRODUCT(T47,AB7:AB46),0),ROUND(PRODUCT(T47,AB7:AB46),1))</f>
        <v>#DIV/0!</v>
      </c>
      <c r="U48" s="3597"/>
      <c r="V48" s="3597" t="e">
        <f>IF(E1="售价",ROUND(PRODUCT(V47,AC7:AC46),0),ROUND(PRODUCT(V47,AC7:AC46),1))</f>
        <v>#DIV/0!</v>
      </c>
      <c r="W48" s="3597"/>
      <c r="X48" s="1719"/>
      <c r="Y48" s="1719"/>
      <c r="Z48" s="1719"/>
      <c r="AA48" s="1719"/>
      <c r="AB48" s="1719"/>
      <c r="AC48" s="1719"/>
    </row>
    <row r="49" spans="1:29" ht="15.75" thickBot="1">
      <c r="A49" s="1727" t="s">
        <v>2131</v>
      </c>
      <c r="B49" s="1728"/>
      <c r="C49" s="1730" t="e">
        <f>R49</f>
        <v>#DIV/0!</v>
      </c>
      <c r="D49" s="1730"/>
      <c r="E49" s="1730"/>
      <c r="F49" s="1730"/>
      <c r="G49" s="1730"/>
      <c r="H49" s="1730"/>
      <c r="I49" s="1730"/>
      <c r="J49" s="1730"/>
      <c r="K49" s="1946"/>
      <c r="L49" s="2920"/>
      <c r="N49" s="2915"/>
      <c r="P49" s="3598" t="str">
        <f>A49</f>
        <v>估价对象XX用房的比较价值（楼面单价，元/平方米）</v>
      </c>
      <c r="Q49" s="3599"/>
      <c r="R49" s="3600" t="e">
        <f>IF(E1="售价",ROUND(IF(D48="简单平均",AVERAGE(R48:V48),R48*F48+T48*H48+V48*J48),0),ROUND(IF(D48="简单平均",AVERAGE(R48:V48),R48*F48+T48*H48+V48*J48),1))</f>
        <v>#DIV/0!</v>
      </c>
      <c r="S49" s="3600"/>
      <c r="T49" s="3600"/>
      <c r="U49" s="3600"/>
      <c r="V49" s="3600"/>
      <c r="W49" s="3600"/>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2132</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2133</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2134</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2135</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2017</v>
      </c>
      <c r="B58" s="1751"/>
      <c r="C58" s="1752" t="str">
        <f>YEAR(C7)&amp;"-"&amp;MONTH(C7)</f>
        <v>2022-12</v>
      </c>
      <c r="D58" s="1753">
        <f>EDATE(C58,-1)</f>
        <v>44866</v>
      </c>
      <c r="E58" s="1753">
        <f t="shared" ref="E58:O58" si="16">EDATE(D58,-1)</f>
        <v>44835</v>
      </c>
      <c r="F58" s="1753">
        <f t="shared" si="16"/>
        <v>44805</v>
      </c>
      <c r="G58" s="1753">
        <f t="shared" si="16"/>
        <v>44774</v>
      </c>
      <c r="H58" s="1753">
        <f t="shared" si="16"/>
        <v>44743</v>
      </c>
      <c r="I58" s="1753">
        <f t="shared" si="16"/>
        <v>44713</v>
      </c>
      <c r="J58" s="1753">
        <f t="shared" si="16"/>
        <v>44682</v>
      </c>
      <c r="K58" s="1753">
        <f t="shared" si="16"/>
        <v>44652</v>
      </c>
      <c r="L58" s="1753">
        <f t="shared" si="16"/>
        <v>44621</v>
      </c>
      <c r="M58" s="1753">
        <f t="shared" si="16"/>
        <v>44593</v>
      </c>
      <c r="N58" s="1753">
        <f t="shared" si="16"/>
        <v>44562</v>
      </c>
      <c r="O58" s="1753">
        <f t="shared" si="16"/>
        <v>44531</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2055</v>
      </c>
      <c r="B60" s="1763"/>
      <c r="C60" s="1764"/>
      <c r="D60" s="1765"/>
      <c r="E60" s="1765"/>
      <c r="F60" s="1765"/>
      <c r="G60" s="1765"/>
      <c r="H60" s="1765"/>
      <c r="I60" s="1765"/>
      <c r="J60" s="1765"/>
      <c r="K60" s="1765"/>
      <c r="L60" s="1765"/>
      <c r="M60" s="1766"/>
      <c r="N60" s="1765"/>
      <c r="O60" s="1766"/>
      <c r="P60" s="1761"/>
      <c r="Q60" s="1749"/>
    </row>
    <row r="61" spans="1:29" s="1612" customFormat="1" ht="15">
      <c r="A61" s="1767" t="s">
        <v>2019</v>
      </c>
      <c r="B61" s="1757"/>
      <c r="C61" s="1768" t="s">
        <v>2020</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2058</v>
      </c>
      <c r="B63" s="1775" t="s">
        <v>2023</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2026</v>
      </c>
      <c r="C65" s="1787" t="s">
        <v>2059</v>
      </c>
      <c r="D65" s="1787" t="s">
        <v>2060</v>
      </c>
      <c r="E65" s="1787" t="s">
        <v>2061</v>
      </c>
      <c r="F65" s="1787" t="s">
        <v>2062</v>
      </c>
      <c r="G65" s="1787" t="s">
        <v>2063</v>
      </c>
      <c r="H65" s="1787" t="s">
        <v>2064</v>
      </c>
      <c r="I65" s="1787" t="s">
        <v>2065</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2027</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2028</v>
      </c>
      <c r="B76" s="1775" t="s">
        <v>2066</v>
      </c>
      <c r="C76" s="1813" t="s">
        <v>2067</v>
      </c>
      <c r="D76" s="1813" t="s">
        <v>2068</v>
      </c>
      <c r="E76" s="1813" t="s">
        <v>2069</v>
      </c>
      <c r="F76" s="1813" t="s">
        <v>2070</v>
      </c>
      <c r="G76" s="1813" t="s">
        <v>2071</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2072</v>
      </c>
      <c r="C78" s="579" t="s">
        <v>2067</v>
      </c>
      <c r="D78" s="579" t="s">
        <v>2068</v>
      </c>
      <c r="E78" s="579" t="s">
        <v>2069</v>
      </c>
      <c r="F78" s="579" t="s">
        <v>2070</v>
      </c>
      <c r="G78" s="579" t="s">
        <v>2071</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2073</v>
      </c>
      <c r="C80" s="579" t="s">
        <v>2067</v>
      </c>
      <c r="D80" s="579" t="s">
        <v>2068</v>
      </c>
      <c r="E80" s="579" t="s">
        <v>2069</v>
      </c>
      <c r="F80" s="579" t="s">
        <v>2070</v>
      </c>
      <c r="G80" s="579" t="s">
        <v>2071</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2116</v>
      </c>
      <c r="C82" s="1787" t="s">
        <v>2074</v>
      </c>
      <c r="D82" s="1787" t="s">
        <v>2075</v>
      </c>
      <c r="E82" s="1787" t="s">
        <v>2076</v>
      </c>
      <c r="F82" s="1787" t="s">
        <v>2077</v>
      </c>
      <c r="G82" s="1787" t="s">
        <v>2078</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2079</v>
      </c>
      <c r="C84" s="579" t="s">
        <v>2067</v>
      </c>
      <c r="D84" s="579" t="s">
        <v>2068</v>
      </c>
      <c r="E84" s="579" t="s">
        <v>2069</v>
      </c>
      <c r="F84" s="579" t="s">
        <v>2070</v>
      </c>
      <c r="G84" s="579" t="s">
        <v>2071</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2136</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2033</v>
      </c>
      <c r="B100" s="1775" t="s">
        <v>2137</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2084</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2086</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2089</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2138</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2139</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2140</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2141</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2091</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2092</v>
      </c>
      <c r="C124" s="579" t="s">
        <v>2067</v>
      </c>
      <c r="D124" s="579" t="s">
        <v>2068</v>
      </c>
      <c r="E124" s="579" t="s">
        <v>2069</v>
      </c>
      <c r="F124" s="579" t="s">
        <v>2070</v>
      </c>
      <c r="G124" s="579" t="s">
        <v>2071</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2000</v>
      </c>
      <c r="B1" s="1565" t="s">
        <v>2142</v>
      </c>
      <c r="C1" s="1566"/>
      <c r="D1" s="1565"/>
      <c r="E1" s="1568"/>
      <c r="F1" s="1569" t="s">
        <v>2002</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2003</v>
      </c>
      <c r="D3" s="1587">
        <f>IF(C1="仅计算典型户型",'数据-取费表'!E5,'数据-取费表'!B5)</f>
        <v>900.27</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2004</v>
      </c>
      <c r="B4" s="1591"/>
      <c r="C4" s="3628" t="s">
        <v>2005</v>
      </c>
      <c r="D4" s="3629"/>
      <c r="E4" s="3630" t="s">
        <v>2006</v>
      </c>
      <c r="F4" s="3631"/>
      <c r="G4" s="3628" t="s">
        <v>2007</v>
      </c>
      <c r="H4" s="3629"/>
      <c r="I4" s="3628" t="s">
        <v>2008</v>
      </c>
      <c r="J4" s="3629"/>
      <c r="K4" s="1893" t="s">
        <v>2009</v>
      </c>
      <c r="L4" s="2914"/>
      <c r="M4" s="2915"/>
      <c r="N4" s="2915"/>
      <c r="O4" s="2915"/>
      <c r="P4" s="3632" t="s">
        <v>2010</v>
      </c>
      <c r="Q4" s="3633"/>
      <c r="R4" s="3617" t="s">
        <v>2006</v>
      </c>
      <c r="S4" s="3618"/>
      <c r="T4" s="3617" t="s">
        <v>2007</v>
      </c>
      <c r="U4" s="3618"/>
      <c r="V4" s="3638" t="s">
        <v>2008</v>
      </c>
      <c r="W4" s="3638"/>
      <c r="X4" s="2002"/>
      <c r="Y4" s="3617" t="s">
        <v>2010</v>
      </c>
      <c r="Z4" s="3618"/>
      <c r="AA4" s="3625" t="s">
        <v>2006</v>
      </c>
      <c r="AB4" s="3625" t="s">
        <v>2007</v>
      </c>
      <c r="AC4" s="3625" t="s">
        <v>2008</v>
      </c>
    </row>
    <row r="5" spans="1:29" ht="15">
      <c r="A5" s="1595"/>
      <c r="B5" s="1596"/>
      <c r="C5" s="3613" t="s">
        <v>2011</v>
      </c>
      <c r="D5" s="3614"/>
      <c r="E5" s="3639" t="s">
        <v>2012</v>
      </c>
      <c r="F5" s="3640"/>
      <c r="G5" s="3613" t="s">
        <v>2013</v>
      </c>
      <c r="H5" s="3614"/>
      <c r="I5" s="3613" t="s">
        <v>2014</v>
      </c>
      <c r="J5" s="3614"/>
      <c r="K5" s="1893"/>
      <c r="L5" s="2914"/>
      <c r="M5" s="2915"/>
      <c r="N5" s="2915"/>
      <c r="O5" s="2915"/>
      <c r="P5" s="3634"/>
      <c r="Q5" s="3635"/>
      <c r="R5" s="3619"/>
      <c r="S5" s="3620"/>
      <c r="T5" s="3619"/>
      <c r="U5" s="3620"/>
      <c r="V5" s="3638"/>
      <c r="W5" s="3638"/>
      <c r="X5" s="2002"/>
      <c r="Y5" s="3619"/>
      <c r="Z5" s="3620"/>
      <c r="AA5" s="3626"/>
      <c r="AB5" s="3626"/>
      <c r="AC5" s="3626"/>
    </row>
    <row r="6" spans="1:29" ht="15.75" thickBot="1">
      <c r="A6" s="1598"/>
      <c r="B6" s="1599"/>
      <c r="C6" s="3611" t="s">
        <v>2015</v>
      </c>
      <c r="D6" s="3612"/>
      <c r="E6" s="3641" t="s">
        <v>2015</v>
      </c>
      <c r="F6" s="3642"/>
      <c r="G6" s="3611" t="s">
        <v>2015</v>
      </c>
      <c r="H6" s="3612"/>
      <c r="I6" s="3611" t="s">
        <v>2015</v>
      </c>
      <c r="J6" s="3612"/>
      <c r="K6" s="1893" t="s">
        <v>2016</v>
      </c>
      <c r="L6" s="2914"/>
      <c r="M6" s="2915"/>
      <c r="N6" s="2915"/>
      <c r="O6" s="2915"/>
      <c r="P6" s="3636"/>
      <c r="Q6" s="3637"/>
      <c r="R6" s="3619"/>
      <c r="S6" s="3620"/>
      <c r="T6" s="3621"/>
      <c r="U6" s="3622"/>
      <c r="V6" s="3638"/>
      <c r="W6" s="3638"/>
      <c r="X6" s="2002"/>
      <c r="Y6" s="3621"/>
      <c r="Z6" s="3622"/>
      <c r="AA6" s="3627"/>
      <c r="AB6" s="3627"/>
      <c r="AC6" s="3627"/>
    </row>
    <row r="7" spans="1:29" s="1612" customFormat="1" ht="15.75" thickBot="1">
      <c r="A7" s="1600" t="s">
        <v>2017</v>
      </c>
      <c r="B7" s="1601"/>
      <c r="C7" s="1602">
        <f>'数据-取费表'!B2</f>
        <v>44908</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615" t="s">
        <v>2018</v>
      </c>
      <c r="Q7" s="3623"/>
      <c r="R7" s="1608" t="s">
        <v>25</v>
      </c>
      <c r="S7" s="1609">
        <f t="shared" ref="S7:S15" si="0">F7</f>
        <v>0</v>
      </c>
      <c r="T7" s="1608" t="s">
        <v>25</v>
      </c>
      <c r="U7" s="1609">
        <f t="shared" ref="U7:U15" si="1">H7</f>
        <v>0</v>
      </c>
      <c r="V7" s="1608" t="s">
        <v>25</v>
      </c>
      <c r="W7" s="1609">
        <f t="shared" ref="W7:W15" si="2">J7</f>
        <v>0</v>
      </c>
      <c r="X7" s="1610"/>
      <c r="Y7" s="3615" t="s">
        <v>2018</v>
      </c>
      <c r="Z7" s="3616"/>
      <c r="AA7" s="1611" t="e">
        <f>D7/F7</f>
        <v>#DIV/0!</v>
      </c>
      <c r="AB7" s="1611" t="e">
        <f>D7/H7</f>
        <v>#DIV/0!</v>
      </c>
      <c r="AC7" s="1611" t="e">
        <f>D7/J7</f>
        <v>#DIV/0!</v>
      </c>
    </row>
    <row r="8" spans="1:29" s="1612" customFormat="1" ht="15.75" thickBot="1">
      <c r="A8" s="1600" t="s">
        <v>2019</v>
      </c>
      <c r="B8" s="1601"/>
      <c r="C8" s="1613" t="s">
        <v>2020</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615" t="s">
        <v>2021</v>
      </c>
      <c r="Q8" s="3616"/>
      <c r="R8" s="1608" t="s">
        <v>25</v>
      </c>
      <c r="S8" s="1609">
        <f t="shared" si="0"/>
        <v>0</v>
      </c>
      <c r="T8" s="1608" t="s">
        <v>25</v>
      </c>
      <c r="U8" s="1609">
        <f t="shared" si="1"/>
        <v>0</v>
      </c>
      <c r="V8" s="1608" t="s">
        <v>25</v>
      </c>
      <c r="W8" s="1609">
        <f t="shared" si="2"/>
        <v>0</v>
      </c>
      <c r="X8" s="1610"/>
      <c r="Y8" s="3615" t="s">
        <v>2021</v>
      </c>
      <c r="Z8" s="3616"/>
      <c r="AA8" s="1611" t="e">
        <f t="shared" ref="AA8:AA47" si="3">D8/F8</f>
        <v>#DIV/0!</v>
      </c>
      <c r="AB8" s="1611" t="e">
        <f t="shared" ref="AB8:AB47" si="4">D8/H8</f>
        <v>#DIV/0!</v>
      </c>
      <c r="AC8" s="1611" t="e">
        <f t="shared" ref="AC8:AC47" si="5">D8/J8</f>
        <v>#DIV/0!</v>
      </c>
    </row>
    <row r="9" spans="1:29" s="1612" customFormat="1">
      <c r="A9" s="1994" t="s">
        <v>2022</v>
      </c>
      <c r="B9" s="1615" t="s">
        <v>2023</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601" t="s">
        <v>2024</v>
      </c>
      <c r="Q9" s="2832" t="str">
        <f t="shared" ref="Q9:Q15" si="6">B9</f>
        <v>用途</v>
      </c>
      <c r="R9" s="1608" t="s">
        <v>25</v>
      </c>
      <c r="S9" s="1609">
        <f t="shared" si="0"/>
        <v>100</v>
      </c>
      <c r="T9" s="1608" t="s">
        <v>25</v>
      </c>
      <c r="U9" s="1609">
        <f t="shared" si="1"/>
        <v>100</v>
      </c>
      <c r="V9" s="1608" t="s">
        <v>25</v>
      </c>
      <c r="W9" s="1609">
        <f t="shared" si="2"/>
        <v>100</v>
      </c>
      <c r="X9" s="1610"/>
      <c r="Y9" s="3461" t="s">
        <v>2025</v>
      </c>
      <c r="Z9" s="1621" t="str">
        <f t="shared" ref="Z9:Z15" si="7">Q9</f>
        <v>用途</v>
      </c>
      <c r="AA9" s="1611">
        <f t="shared" si="3"/>
        <v>1</v>
      </c>
      <c r="AB9" s="1611">
        <f t="shared" si="4"/>
        <v>1</v>
      </c>
      <c r="AC9" s="1611">
        <f t="shared" si="5"/>
        <v>1</v>
      </c>
    </row>
    <row r="10" spans="1:29" s="1629" customFormat="1" ht="27">
      <c r="A10" s="1622"/>
      <c r="B10" s="1623" t="s">
        <v>2026</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601"/>
      <c r="Q10" s="2832" t="str">
        <f t="shared" si="6"/>
        <v>土地使用年限（年）</v>
      </c>
      <c r="R10" s="1608" t="s">
        <v>25</v>
      </c>
      <c r="S10" s="1609">
        <f t="shared" si="0"/>
        <v>100</v>
      </c>
      <c r="T10" s="1608" t="s">
        <v>25</v>
      </c>
      <c r="U10" s="1609">
        <f t="shared" si="1"/>
        <v>100</v>
      </c>
      <c r="V10" s="1608" t="s">
        <v>25</v>
      </c>
      <c r="W10" s="1609">
        <f t="shared" si="2"/>
        <v>100</v>
      </c>
      <c r="X10" s="1610"/>
      <c r="Y10" s="3461"/>
      <c r="Z10" s="1621" t="str">
        <f t="shared" si="7"/>
        <v>土地使用年限（年）</v>
      </c>
      <c r="AA10" s="1611">
        <f t="shared" si="3"/>
        <v>1</v>
      </c>
      <c r="AB10" s="1611">
        <f t="shared" si="4"/>
        <v>1</v>
      </c>
      <c r="AC10" s="1611">
        <f t="shared" si="5"/>
        <v>1</v>
      </c>
    </row>
    <row r="11" spans="1:29" ht="15">
      <c r="A11" s="1630"/>
      <c r="B11" s="1623" t="s">
        <v>2027</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601"/>
      <c r="Q11" s="2832" t="str">
        <f t="shared" si="6"/>
        <v>容积率</v>
      </c>
      <c r="R11" s="1608" t="s">
        <v>25</v>
      </c>
      <c r="S11" s="1609" t="e">
        <f t="shared" si="0"/>
        <v>#N/A</v>
      </c>
      <c r="T11" s="1608" t="s">
        <v>25</v>
      </c>
      <c r="U11" s="1609" t="e">
        <f t="shared" si="1"/>
        <v>#N/A</v>
      </c>
      <c r="V11" s="1608" t="s">
        <v>25</v>
      </c>
      <c r="W11" s="1609" t="e">
        <f t="shared" si="2"/>
        <v>#N/A</v>
      </c>
      <c r="X11" s="1610"/>
      <c r="Y11" s="346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601"/>
      <c r="Q12" s="2832">
        <f t="shared" si="6"/>
        <v>111</v>
      </c>
      <c r="R12" s="1608" t="s">
        <v>25</v>
      </c>
      <c r="S12" s="1609">
        <f t="shared" si="0"/>
        <v>100</v>
      </c>
      <c r="T12" s="1608" t="s">
        <v>25</v>
      </c>
      <c r="U12" s="1609">
        <f t="shared" si="1"/>
        <v>100</v>
      </c>
      <c r="V12" s="1608" t="s">
        <v>25</v>
      </c>
      <c r="W12" s="1609">
        <f t="shared" si="2"/>
        <v>100</v>
      </c>
      <c r="X12" s="1610"/>
      <c r="Y12" s="3461"/>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601"/>
      <c r="Q13" s="2832">
        <f t="shared" si="6"/>
        <v>111</v>
      </c>
      <c r="R13" s="1608" t="s">
        <v>25</v>
      </c>
      <c r="S13" s="1609">
        <f t="shared" si="0"/>
        <v>100</v>
      </c>
      <c r="T13" s="1608" t="s">
        <v>25</v>
      </c>
      <c r="U13" s="1609">
        <f t="shared" si="1"/>
        <v>100</v>
      </c>
      <c r="V13" s="1608" t="s">
        <v>25</v>
      </c>
      <c r="W13" s="1609">
        <f t="shared" si="2"/>
        <v>100</v>
      </c>
      <c r="X13" s="1610"/>
      <c r="Y13" s="3461"/>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601"/>
      <c r="Q14" s="2832">
        <f t="shared" si="6"/>
        <v>111</v>
      </c>
      <c r="R14" s="1608" t="s">
        <v>25</v>
      </c>
      <c r="S14" s="1609">
        <f t="shared" si="0"/>
        <v>100</v>
      </c>
      <c r="T14" s="1608" t="s">
        <v>25</v>
      </c>
      <c r="U14" s="1609">
        <f t="shared" si="1"/>
        <v>100</v>
      </c>
      <c r="V14" s="1608" t="s">
        <v>25</v>
      </c>
      <c r="W14" s="1609">
        <f t="shared" si="2"/>
        <v>100</v>
      </c>
      <c r="X14" s="1610"/>
      <c r="Y14" s="3461"/>
      <c r="Z14" s="1621">
        <f t="shared" si="7"/>
        <v>111</v>
      </c>
      <c r="AA14" s="1611">
        <f t="shared" si="3"/>
        <v>1</v>
      </c>
      <c r="AB14" s="1611">
        <f t="shared" si="4"/>
        <v>1</v>
      </c>
      <c r="AC14" s="1611">
        <f t="shared" si="5"/>
        <v>1</v>
      </c>
    </row>
    <row r="15" spans="1:29" ht="71.25">
      <c r="A15" s="1645" t="s">
        <v>2028</v>
      </c>
      <c r="B15" s="2410" t="s">
        <v>2143</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604" t="s">
        <v>2029</v>
      </c>
      <c r="Q15" s="2833" t="str">
        <f t="shared" si="6"/>
        <v>办公集聚程度</v>
      </c>
      <c r="R15" s="1653" t="s">
        <v>25</v>
      </c>
      <c r="S15" s="1654">
        <f t="shared" si="0"/>
        <v>100</v>
      </c>
      <c r="T15" s="1653" t="s">
        <v>25</v>
      </c>
      <c r="U15" s="1654">
        <f t="shared" si="1"/>
        <v>100</v>
      </c>
      <c r="V15" s="1653" t="s">
        <v>25</v>
      </c>
      <c r="W15" s="1654">
        <f t="shared" si="2"/>
        <v>100</v>
      </c>
      <c r="X15" s="2002"/>
      <c r="Y15" s="3604" t="s">
        <v>2029</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605"/>
      <c r="Q16" s="2833"/>
      <c r="R16" s="1653"/>
      <c r="S16" s="1654"/>
      <c r="T16" s="1653"/>
      <c r="U16" s="1654"/>
      <c r="V16" s="1653"/>
      <c r="W16" s="1654"/>
      <c r="X16" s="2002"/>
      <c r="Y16" s="3605"/>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605"/>
      <c r="Q17" s="2833" t="str">
        <f>B17</f>
        <v>交通便捷度</v>
      </c>
      <c r="R17" s="1653" t="s">
        <v>25</v>
      </c>
      <c r="S17" s="1654">
        <f>F17</f>
        <v>100</v>
      </c>
      <c r="T17" s="1653" t="s">
        <v>25</v>
      </c>
      <c r="U17" s="1654">
        <f>H17</f>
        <v>100</v>
      </c>
      <c r="V17" s="1653" t="s">
        <v>25</v>
      </c>
      <c r="W17" s="1654">
        <f>J17</f>
        <v>100</v>
      </c>
      <c r="X17" s="2002"/>
      <c r="Y17" s="3605"/>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605"/>
      <c r="Q18" s="2833"/>
      <c r="R18" s="1653"/>
      <c r="S18" s="1654"/>
      <c r="T18" s="1653"/>
      <c r="U18" s="1654"/>
      <c r="V18" s="1653"/>
      <c r="W18" s="1654"/>
      <c r="X18" s="2002"/>
      <c r="Y18" s="3605"/>
      <c r="Z18" s="2006"/>
      <c r="AA18" s="1997">
        <v>1</v>
      </c>
      <c r="AB18" s="1997">
        <v>1</v>
      </c>
      <c r="AC18" s="1997">
        <v>1</v>
      </c>
    </row>
    <row r="19" spans="1:29" ht="42.75">
      <c r="A19" s="1630"/>
      <c r="B19" s="2412" t="s">
        <v>2144</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605"/>
      <c r="Q19" s="2833" t="str">
        <f>B19</f>
        <v>公共配套设施</v>
      </c>
      <c r="R19" s="1653" t="s">
        <v>25</v>
      </c>
      <c r="S19" s="1654">
        <f>F19</f>
        <v>100</v>
      </c>
      <c r="T19" s="1653" t="s">
        <v>25</v>
      </c>
      <c r="U19" s="1654">
        <f>H19</f>
        <v>100</v>
      </c>
      <c r="V19" s="1653" t="s">
        <v>25</v>
      </c>
      <c r="W19" s="1654">
        <f>J19</f>
        <v>100</v>
      </c>
      <c r="X19" s="2002"/>
      <c r="Y19" s="3605"/>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605"/>
      <c r="Q20" s="2833"/>
      <c r="R20" s="1653"/>
      <c r="S20" s="1654"/>
      <c r="T20" s="1653"/>
      <c r="U20" s="1654"/>
      <c r="V20" s="1653"/>
      <c r="W20" s="1654"/>
      <c r="X20" s="2002"/>
      <c r="Y20" s="3605"/>
      <c r="Z20" s="2006"/>
      <c r="AA20" s="1997">
        <v>1</v>
      </c>
      <c r="AB20" s="1997">
        <v>1</v>
      </c>
      <c r="AC20" s="1997">
        <v>1</v>
      </c>
    </row>
    <row r="21" spans="1:29" ht="28.5">
      <c r="A21" s="1630"/>
      <c r="B21" s="2414" t="s">
        <v>2145</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605"/>
      <c r="Q21" s="2833" t="str">
        <f>B21</f>
        <v>基础设施水平</v>
      </c>
      <c r="R21" s="1653" t="s">
        <v>25</v>
      </c>
      <c r="S21" s="1654">
        <f>F21</f>
        <v>100</v>
      </c>
      <c r="T21" s="1653" t="s">
        <v>25</v>
      </c>
      <c r="U21" s="1654">
        <f>H21</f>
        <v>100</v>
      </c>
      <c r="V21" s="1653" t="s">
        <v>25</v>
      </c>
      <c r="W21" s="1654">
        <f>J21</f>
        <v>100</v>
      </c>
      <c r="X21" s="2002"/>
      <c r="Y21" s="3605"/>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605"/>
      <c r="Q22" s="2833"/>
      <c r="R22" s="1653"/>
      <c r="S22" s="1654"/>
      <c r="T22" s="1653"/>
      <c r="U22" s="1654"/>
      <c r="V22" s="1653"/>
      <c r="W22" s="1654"/>
      <c r="X22" s="2002"/>
      <c r="Y22" s="3605"/>
      <c r="Z22" s="2006"/>
      <c r="AA22" s="1997">
        <v>1</v>
      </c>
      <c r="AB22" s="1997">
        <v>1</v>
      </c>
      <c r="AC22" s="1997">
        <v>1</v>
      </c>
    </row>
    <row r="23" spans="1:29" ht="57">
      <c r="A23" s="1630"/>
      <c r="B23" s="2412" t="s">
        <v>2146</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605"/>
      <c r="Q23" s="2833" t="str">
        <f>B23</f>
        <v>环境质量</v>
      </c>
      <c r="R23" s="1653" t="s">
        <v>25</v>
      </c>
      <c r="S23" s="1654">
        <f>F23</f>
        <v>100</v>
      </c>
      <c r="T23" s="1653" t="s">
        <v>25</v>
      </c>
      <c r="U23" s="1654">
        <f>H23</f>
        <v>100</v>
      </c>
      <c r="V23" s="1653" t="s">
        <v>25</v>
      </c>
      <c r="W23" s="1654">
        <f>J23</f>
        <v>100</v>
      </c>
      <c r="X23" s="2002"/>
      <c r="Y23" s="3605"/>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605"/>
      <c r="Q24" s="2833"/>
      <c r="R24" s="1653"/>
      <c r="S24" s="1654"/>
      <c r="T24" s="1653"/>
      <c r="U24" s="1654"/>
      <c r="V24" s="1653"/>
      <c r="W24" s="1654"/>
      <c r="X24" s="2002"/>
      <c r="Y24" s="3605"/>
      <c r="Z24" s="2006"/>
      <c r="AA24" s="1997">
        <v>1</v>
      </c>
      <c r="AB24" s="1997">
        <v>1</v>
      </c>
      <c r="AC24" s="1997">
        <v>1</v>
      </c>
    </row>
    <row r="25" spans="1:29" ht="27">
      <c r="A25" s="1595"/>
      <c r="B25" s="2412" t="s">
        <v>2147</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605"/>
      <c r="Q25" s="2833" t="str">
        <f>B25</f>
        <v>毗邻道路的类型与等级</v>
      </c>
      <c r="R25" s="1653" t="s">
        <v>25</v>
      </c>
      <c r="S25" s="1654">
        <f>F25</f>
        <v>100</v>
      </c>
      <c r="T25" s="1653" t="s">
        <v>25</v>
      </c>
      <c r="U25" s="1654">
        <f>H25</f>
        <v>100</v>
      </c>
      <c r="V25" s="1653" t="s">
        <v>25</v>
      </c>
      <c r="W25" s="1654">
        <f>J25</f>
        <v>100</v>
      </c>
      <c r="X25" s="2002"/>
      <c r="Y25" s="3605"/>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605"/>
      <c r="Q26" s="2833"/>
      <c r="R26" s="1653"/>
      <c r="S26" s="1654"/>
      <c r="T26" s="1653"/>
      <c r="U26" s="1654"/>
      <c r="V26" s="1653"/>
      <c r="W26" s="1654"/>
      <c r="X26" s="2002"/>
      <c r="Y26" s="3605"/>
      <c r="Z26" s="2006"/>
      <c r="AA26" s="1997">
        <v>1</v>
      </c>
      <c r="AB26" s="1997">
        <v>1</v>
      </c>
      <c r="AC26" s="1997">
        <v>1</v>
      </c>
    </row>
    <row r="27" spans="1:29" ht="15">
      <c r="A27" s="1630"/>
      <c r="B27" s="2413" t="s">
        <v>2120</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605"/>
      <c r="Q27" s="2833" t="str">
        <f t="shared" ref="Q27:Q47" si="11">B27</f>
        <v>楼层</v>
      </c>
      <c r="R27" s="1653" t="s">
        <v>25</v>
      </c>
      <c r="S27" s="1654">
        <f>F27</f>
        <v>100</v>
      </c>
      <c r="T27" s="1653" t="s">
        <v>25</v>
      </c>
      <c r="U27" s="1654">
        <f>H27</f>
        <v>100</v>
      </c>
      <c r="V27" s="1653" t="s">
        <v>25</v>
      </c>
      <c r="W27" s="1654">
        <f>J27</f>
        <v>100</v>
      </c>
      <c r="X27" s="2002"/>
      <c r="Y27" s="3605"/>
      <c r="Z27" s="2006" t="str">
        <f>Q27</f>
        <v>楼层</v>
      </c>
      <c r="AA27" s="1997">
        <f t="shared" si="3"/>
        <v>1</v>
      </c>
      <c r="AB27" s="1997">
        <f t="shared" si="4"/>
        <v>1</v>
      </c>
      <c r="AC27" s="1997">
        <f t="shared" si="5"/>
        <v>1</v>
      </c>
    </row>
    <row r="28" spans="1:29" s="1612" customFormat="1" ht="15">
      <c r="A28" s="1633"/>
      <c r="B28" s="2412" t="s">
        <v>2148</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605"/>
      <c r="Q28" s="2832" t="str">
        <f t="shared" si="11"/>
        <v>朝向</v>
      </c>
      <c r="R28" s="1608" t="s">
        <v>25</v>
      </c>
      <c r="S28" s="1609">
        <f>F28</f>
        <v>100</v>
      </c>
      <c r="T28" s="1608" t="s">
        <v>25</v>
      </c>
      <c r="U28" s="1609">
        <f>H28</f>
        <v>100</v>
      </c>
      <c r="V28" s="1608" t="s">
        <v>25</v>
      </c>
      <c r="W28" s="1609">
        <f>J28</f>
        <v>100</v>
      </c>
      <c r="X28" s="1610"/>
      <c r="Y28" s="3605"/>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605"/>
      <c r="Q29" s="2833">
        <f t="shared" si="11"/>
        <v>111</v>
      </c>
      <c r="R29" s="1653" t="s">
        <v>25</v>
      </c>
      <c r="S29" s="1654">
        <f t="shared" ref="S29:S47" si="12">F29</f>
        <v>100</v>
      </c>
      <c r="T29" s="1653" t="s">
        <v>25</v>
      </c>
      <c r="U29" s="1654">
        <f t="shared" ref="U29:U47" si="13">H29</f>
        <v>100</v>
      </c>
      <c r="V29" s="1653" t="s">
        <v>25</v>
      </c>
      <c r="W29" s="1654">
        <f t="shared" ref="W29:W47" si="14">J29</f>
        <v>100</v>
      </c>
      <c r="X29" s="2002"/>
      <c r="Y29" s="3605"/>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605"/>
      <c r="Q30" s="2833">
        <f t="shared" si="11"/>
        <v>111</v>
      </c>
      <c r="R30" s="1653" t="s">
        <v>25</v>
      </c>
      <c r="S30" s="1654">
        <f t="shared" si="12"/>
        <v>100</v>
      </c>
      <c r="T30" s="1653" t="s">
        <v>25</v>
      </c>
      <c r="U30" s="1654">
        <f t="shared" si="13"/>
        <v>100</v>
      </c>
      <c r="V30" s="1653" t="s">
        <v>25</v>
      </c>
      <c r="W30" s="1654">
        <f t="shared" si="14"/>
        <v>100</v>
      </c>
      <c r="X30" s="2002"/>
      <c r="Y30" s="3605"/>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605"/>
      <c r="Q31" s="2833">
        <f t="shared" si="11"/>
        <v>111</v>
      </c>
      <c r="R31" s="1653" t="s">
        <v>25</v>
      </c>
      <c r="S31" s="1654">
        <f t="shared" si="12"/>
        <v>100</v>
      </c>
      <c r="T31" s="1653" t="s">
        <v>25</v>
      </c>
      <c r="U31" s="1654">
        <f t="shared" si="13"/>
        <v>100</v>
      </c>
      <c r="V31" s="1653" t="s">
        <v>25</v>
      </c>
      <c r="W31" s="1654">
        <f t="shared" si="14"/>
        <v>100</v>
      </c>
      <c r="X31" s="2002"/>
      <c r="Y31" s="3605"/>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605"/>
      <c r="Q32" s="2833">
        <f t="shared" si="11"/>
        <v>111</v>
      </c>
      <c r="R32" s="1653" t="s">
        <v>25</v>
      </c>
      <c r="S32" s="1654">
        <f t="shared" si="12"/>
        <v>100</v>
      </c>
      <c r="T32" s="1653" t="s">
        <v>25</v>
      </c>
      <c r="U32" s="1654">
        <f t="shared" si="13"/>
        <v>100</v>
      </c>
      <c r="V32" s="1653" t="s">
        <v>25</v>
      </c>
      <c r="W32" s="1654">
        <f t="shared" si="14"/>
        <v>100</v>
      </c>
      <c r="X32" s="2002"/>
      <c r="Y32" s="3605"/>
      <c r="Z32" s="2006">
        <f t="shared" si="15"/>
        <v>111</v>
      </c>
      <c r="AA32" s="1997">
        <f t="shared" si="3"/>
        <v>1</v>
      </c>
      <c r="AB32" s="1997">
        <f t="shared" si="4"/>
        <v>1</v>
      </c>
      <c r="AC32" s="1997">
        <f t="shared" si="5"/>
        <v>1</v>
      </c>
    </row>
    <row r="33" spans="1:29" ht="15">
      <c r="A33" s="1645" t="s">
        <v>2033</v>
      </c>
      <c r="B33" s="1615" t="s">
        <v>2149</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43" t="s">
        <v>2035</v>
      </c>
      <c r="Q33" s="2833" t="str">
        <f t="shared" si="11"/>
        <v>建筑类型</v>
      </c>
      <c r="R33" s="1653" t="s">
        <v>25</v>
      </c>
      <c r="S33" s="1654">
        <f t="shared" si="12"/>
        <v>100</v>
      </c>
      <c r="T33" s="1653" t="s">
        <v>25</v>
      </c>
      <c r="U33" s="1654">
        <f t="shared" si="13"/>
        <v>100</v>
      </c>
      <c r="V33" s="1653" t="s">
        <v>25</v>
      </c>
      <c r="W33" s="1654">
        <f t="shared" si="14"/>
        <v>100</v>
      </c>
      <c r="X33" s="2002"/>
      <c r="Y33" s="3609" t="s">
        <v>2035</v>
      </c>
      <c r="Z33" s="2006" t="str">
        <f t="shared" si="15"/>
        <v>建筑类型</v>
      </c>
      <c r="AA33" s="1997">
        <f t="shared" si="3"/>
        <v>1</v>
      </c>
      <c r="AB33" s="1997">
        <f t="shared" si="4"/>
        <v>1</v>
      </c>
      <c r="AC33" s="1997">
        <f t="shared" si="5"/>
        <v>1</v>
      </c>
    </row>
    <row r="34" spans="1:29" s="1699" customFormat="1" ht="15">
      <c r="A34" s="1692"/>
      <c r="B34" s="1623" t="s">
        <v>2036</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609"/>
      <c r="Q34" s="1694" t="str">
        <f t="shared" si="11"/>
        <v>项目建筑规模</v>
      </c>
      <c r="R34" s="1695" t="s">
        <v>25</v>
      </c>
      <c r="S34" s="1696" t="e">
        <f t="shared" si="12"/>
        <v>#N/A</v>
      </c>
      <c r="T34" s="1695" t="s">
        <v>25</v>
      </c>
      <c r="U34" s="1696" t="e">
        <f t="shared" si="13"/>
        <v>#N/A</v>
      </c>
      <c r="V34" s="1695" t="s">
        <v>25</v>
      </c>
      <c r="W34" s="1696" t="e">
        <f t="shared" si="14"/>
        <v>#N/A</v>
      </c>
      <c r="X34" s="1697"/>
      <c r="Y34" s="3609"/>
      <c r="Z34" s="1698" t="str">
        <f t="shared" si="15"/>
        <v>项目建筑规模</v>
      </c>
      <c r="AA34" s="1997" t="e">
        <f t="shared" si="3"/>
        <v>#N/A</v>
      </c>
      <c r="AB34" s="1997" t="e">
        <f t="shared" si="4"/>
        <v>#N/A</v>
      </c>
      <c r="AC34" s="1997" t="e">
        <f t="shared" si="5"/>
        <v>#N/A</v>
      </c>
    </row>
    <row r="35" spans="1:29" ht="15">
      <c r="A35" s="1700"/>
      <c r="B35" s="1623" t="s">
        <v>2037</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609"/>
      <c r="Q35" s="2833" t="str">
        <f t="shared" si="11"/>
        <v>建筑结构</v>
      </c>
      <c r="R35" s="1653" t="s">
        <v>25</v>
      </c>
      <c r="S35" s="1654">
        <f t="shared" si="12"/>
        <v>100</v>
      </c>
      <c r="T35" s="1653" t="s">
        <v>25</v>
      </c>
      <c r="U35" s="1654">
        <f t="shared" si="13"/>
        <v>100</v>
      </c>
      <c r="V35" s="1653" t="s">
        <v>25</v>
      </c>
      <c r="W35" s="1654">
        <f t="shared" si="14"/>
        <v>100</v>
      </c>
      <c r="X35" s="2002"/>
      <c r="Y35" s="3609"/>
      <c r="Z35" s="2006" t="str">
        <f t="shared" si="15"/>
        <v>建筑结构</v>
      </c>
      <c r="AA35" s="1997">
        <f t="shared" si="3"/>
        <v>1</v>
      </c>
      <c r="AB35" s="1997">
        <f t="shared" si="4"/>
        <v>1</v>
      </c>
      <c r="AC35" s="1997">
        <f t="shared" si="5"/>
        <v>1</v>
      </c>
    </row>
    <row r="36" spans="1:29" ht="15">
      <c r="A36" s="1700"/>
      <c r="B36" s="1623" t="s">
        <v>2122</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609"/>
      <c r="Q36" s="2833" t="str">
        <f t="shared" si="11"/>
        <v>公共部分装修</v>
      </c>
      <c r="R36" s="1653" t="s">
        <v>25</v>
      </c>
      <c r="S36" s="1654">
        <f t="shared" si="12"/>
        <v>100</v>
      </c>
      <c r="T36" s="1653" t="s">
        <v>25</v>
      </c>
      <c r="U36" s="1654">
        <f t="shared" si="13"/>
        <v>100</v>
      </c>
      <c r="V36" s="1653" t="s">
        <v>25</v>
      </c>
      <c r="W36" s="1654">
        <f t="shared" si="14"/>
        <v>100</v>
      </c>
      <c r="X36" s="2002"/>
      <c r="Y36" s="3609"/>
      <c r="Z36" s="2006" t="str">
        <f t="shared" si="15"/>
        <v>公共部分装修</v>
      </c>
      <c r="AA36" s="1997">
        <f t="shared" si="3"/>
        <v>1</v>
      </c>
      <c r="AB36" s="1997">
        <f t="shared" si="4"/>
        <v>1</v>
      </c>
      <c r="AC36" s="1997">
        <f t="shared" si="5"/>
        <v>1</v>
      </c>
    </row>
    <row r="37" spans="1:29" ht="15">
      <c r="A37" s="1700"/>
      <c r="B37" s="1623" t="s">
        <v>2123</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609"/>
      <c r="Q37" s="2833" t="str">
        <f t="shared" si="11"/>
        <v>成新度</v>
      </c>
      <c r="R37" s="1653" t="s">
        <v>25</v>
      </c>
      <c r="S37" s="1654" t="e">
        <f t="shared" si="12"/>
        <v>#N/A</v>
      </c>
      <c r="T37" s="1653" t="s">
        <v>25</v>
      </c>
      <c r="U37" s="1654" t="e">
        <f t="shared" si="13"/>
        <v>#N/A</v>
      </c>
      <c r="V37" s="1653" t="s">
        <v>25</v>
      </c>
      <c r="W37" s="1654" t="e">
        <f t="shared" si="14"/>
        <v>#N/A</v>
      </c>
      <c r="X37" s="2002"/>
      <c r="Y37" s="3609"/>
      <c r="Z37" s="2006" t="str">
        <f t="shared" si="15"/>
        <v>成新度</v>
      </c>
      <c r="AA37" s="1997" t="e">
        <f t="shared" si="3"/>
        <v>#N/A</v>
      </c>
      <c r="AB37" s="1997" t="e">
        <f t="shared" si="4"/>
        <v>#N/A</v>
      </c>
      <c r="AC37" s="1997" t="e">
        <f t="shared" si="5"/>
        <v>#N/A</v>
      </c>
    </row>
    <row r="38" spans="1:29" s="1612" customFormat="1" ht="15">
      <c r="A38" s="1703"/>
      <c r="B38" s="1623" t="s">
        <v>2150</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609"/>
      <c r="Q38" s="2832" t="str">
        <f t="shared" si="11"/>
        <v>写字楼等级</v>
      </c>
      <c r="R38" s="1608" t="s">
        <v>25</v>
      </c>
      <c r="S38" s="1609">
        <f t="shared" si="12"/>
        <v>100</v>
      </c>
      <c r="T38" s="1608" t="s">
        <v>25</v>
      </c>
      <c r="U38" s="1609">
        <f t="shared" si="13"/>
        <v>100</v>
      </c>
      <c r="V38" s="1608" t="s">
        <v>25</v>
      </c>
      <c r="W38" s="1609">
        <f t="shared" si="14"/>
        <v>100</v>
      </c>
      <c r="X38" s="1610"/>
      <c r="Y38" s="3609"/>
      <c r="Z38" s="1621" t="str">
        <f t="shared" si="15"/>
        <v>写字楼等级</v>
      </c>
      <c r="AA38" s="1611">
        <f t="shared" si="3"/>
        <v>1</v>
      </c>
      <c r="AB38" s="1611">
        <f t="shared" si="4"/>
        <v>1</v>
      </c>
      <c r="AC38" s="1611">
        <f t="shared" si="5"/>
        <v>1</v>
      </c>
    </row>
    <row r="39" spans="1:29" ht="15">
      <c r="A39" s="1700"/>
      <c r="B39" s="1623" t="s">
        <v>2151</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609" t="s">
        <v>2035</v>
      </c>
      <c r="Q39" s="2833" t="str">
        <f t="shared" si="11"/>
        <v>物业管理</v>
      </c>
      <c r="R39" s="1653" t="s">
        <v>25</v>
      </c>
      <c r="S39" s="1654">
        <f t="shared" si="12"/>
        <v>100</v>
      </c>
      <c r="T39" s="1653" t="s">
        <v>25</v>
      </c>
      <c r="U39" s="1654">
        <f t="shared" si="13"/>
        <v>100</v>
      </c>
      <c r="V39" s="1653" t="s">
        <v>25</v>
      </c>
      <c r="W39" s="1654">
        <f t="shared" si="14"/>
        <v>100</v>
      </c>
      <c r="X39" s="2002"/>
      <c r="Y39" s="3609" t="s">
        <v>2035</v>
      </c>
      <c r="Z39" s="2006" t="str">
        <f t="shared" si="15"/>
        <v>物业管理</v>
      </c>
      <c r="AA39" s="1997">
        <f t="shared" si="3"/>
        <v>1</v>
      </c>
      <c r="AB39" s="1997">
        <f t="shared" si="4"/>
        <v>1</v>
      </c>
      <c r="AC39" s="1997">
        <f t="shared" si="5"/>
        <v>1</v>
      </c>
    </row>
    <row r="40" spans="1:29" ht="15">
      <c r="A40" s="1700"/>
      <c r="B40" s="1623" t="s">
        <v>2124</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609"/>
      <c r="Q40" s="2833" t="str">
        <f t="shared" si="11"/>
        <v>市政基础设施</v>
      </c>
      <c r="R40" s="1653" t="s">
        <v>25</v>
      </c>
      <c r="S40" s="1654">
        <f t="shared" si="12"/>
        <v>100</v>
      </c>
      <c r="T40" s="1653" t="s">
        <v>25</v>
      </c>
      <c r="U40" s="1654">
        <f t="shared" si="13"/>
        <v>100</v>
      </c>
      <c r="V40" s="1653" t="s">
        <v>25</v>
      </c>
      <c r="W40" s="1654">
        <f t="shared" si="14"/>
        <v>100</v>
      </c>
      <c r="X40" s="2002"/>
      <c r="Y40" s="3609"/>
      <c r="Z40" s="2006" t="str">
        <f t="shared" si="15"/>
        <v>市政基础设施</v>
      </c>
      <c r="AA40" s="1997">
        <f t="shared" si="3"/>
        <v>1</v>
      </c>
      <c r="AB40" s="1997">
        <f t="shared" si="4"/>
        <v>1</v>
      </c>
      <c r="AC40" s="1997">
        <f t="shared" si="5"/>
        <v>1</v>
      </c>
    </row>
    <row r="41" spans="1:29" ht="15">
      <c r="A41" s="1700"/>
      <c r="B41" s="1623" t="s">
        <v>2126</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609"/>
      <c r="Q41" s="2833" t="str">
        <f t="shared" si="11"/>
        <v>层高</v>
      </c>
      <c r="R41" s="1653" t="s">
        <v>25</v>
      </c>
      <c r="S41" s="1654">
        <f t="shared" si="12"/>
        <v>100</v>
      </c>
      <c r="T41" s="1653" t="s">
        <v>25</v>
      </c>
      <c r="U41" s="1654">
        <f t="shared" si="13"/>
        <v>100</v>
      </c>
      <c r="V41" s="1653" t="s">
        <v>25</v>
      </c>
      <c r="W41" s="1654">
        <f t="shared" si="14"/>
        <v>100</v>
      </c>
      <c r="X41" s="2002"/>
      <c r="Y41" s="3609"/>
      <c r="Z41" s="2006" t="str">
        <f t="shared" si="15"/>
        <v>层高</v>
      </c>
      <c r="AA41" s="1997">
        <f t="shared" si="3"/>
        <v>1</v>
      </c>
      <c r="AB41" s="1997">
        <f t="shared" si="4"/>
        <v>1</v>
      </c>
      <c r="AC41" s="1997">
        <f t="shared" si="5"/>
        <v>1</v>
      </c>
    </row>
    <row r="42" spans="1:29" s="1699" customFormat="1" ht="15">
      <c r="A42" s="1692"/>
      <c r="B42" s="1998" t="s">
        <v>2152</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609"/>
      <c r="Q42" s="1694" t="str">
        <f t="shared" si="11"/>
        <v>单套建筑面积</v>
      </c>
      <c r="R42" s="1695" t="s">
        <v>25</v>
      </c>
      <c r="S42" s="1696">
        <f t="shared" si="12"/>
        <v>100</v>
      </c>
      <c r="T42" s="1695" t="s">
        <v>25</v>
      </c>
      <c r="U42" s="1696">
        <f t="shared" si="13"/>
        <v>100</v>
      </c>
      <c r="V42" s="1695" t="s">
        <v>25</v>
      </c>
      <c r="W42" s="1696">
        <f t="shared" si="14"/>
        <v>100</v>
      </c>
      <c r="X42" s="1697"/>
      <c r="Y42" s="3609"/>
      <c r="Z42" s="1698" t="str">
        <f t="shared" si="15"/>
        <v>单套建筑面积</v>
      </c>
      <c r="AA42" s="1997">
        <f t="shared" si="3"/>
        <v>1</v>
      </c>
      <c r="AB42" s="1997">
        <f t="shared" si="4"/>
        <v>1</v>
      </c>
      <c r="AC42" s="1997">
        <f t="shared" si="5"/>
        <v>1</v>
      </c>
    </row>
    <row r="43" spans="1:29" ht="15">
      <c r="A43" s="1700"/>
      <c r="B43" s="1623" t="s">
        <v>2129</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609"/>
      <c r="Q43" s="2833" t="str">
        <f t="shared" si="11"/>
        <v>内部装修</v>
      </c>
      <c r="R43" s="1653" t="s">
        <v>25</v>
      </c>
      <c r="S43" s="1654">
        <f t="shared" si="12"/>
        <v>100</v>
      </c>
      <c r="T43" s="1653" t="s">
        <v>25</v>
      </c>
      <c r="U43" s="1654">
        <f t="shared" si="13"/>
        <v>100</v>
      </c>
      <c r="V43" s="1653" t="s">
        <v>25</v>
      </c>
      <c r="W43" s="1654">
        <f t="shared" si="14"/>
        <v>100</v>
      </c>
      <c r="X43" s="2002"/>
      <c r="Y43" s="3609"/>
      <c r="Z43" s="2006" t="str">
        <f t="shared" si="15"/>
        <v>内部装修</v>
      </c>
      <c r="AA43" s="1997">
        <f t="shared" si="3"/>
        <v>1</v>
      </c>
      <c r="AB43" s="1997">
        <f t="shared" si="4"/>
        <v>1</v>
      </c>
      <c r="AC43" s="1997">
        <f t="shared" si="5"/>
        <v>1</v>
      </c>
    </row>
    <row r="44" spans="1:29" ht="15">
      <c r="A44" s="1700"/>
      <c r="B44" s="1623" t="s">
        <v>2046</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609"/>
      <c r="Q44" s="2833" t="str">
        <f t="shared" si="11"/>
        <v>内部装修维护情况</v>
      </c>
      <c r="R44" s="1653" t="s">
        <v>25</v>
      </c>
      <c r="S44" s="1654">
        <f t="shared" si="12"/>
        <v>100</v>
      </c>
      <c r="T44" s="1653" t="s">
        <v>25</v>
      </c>
      <c r="U44" s="1654">
        <f t="shared" si="13"/>
        <v>100</v>
      </c>
      <c r="V44" s="1653" t="s">
        <v>25</v>
      </c>
      <c r="W44" s="1654">
        <f t="shared" si="14"/>
        <v>100</v>
      </c>
      <c r="X44" s="2002"/>
      <c r="Y44" s="3609"/>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609"/>
      <c r="Q45" s="2832">
        <f t="shared" si="11"/>
        <v>111</v>
      </c>
      <c r="R45" s="1608" t="s">
        <v>25</v>
      </c>
      <c r="S45" s="1609">
        <f t="shared" si="12"/>
        <v>100</v>
      </c>
      <c r="T45" s="1608" t="s">
        <v>25</v>
      </c>
      <c r="U45" s="1609">
        <f t="shared" si="13"/>
        <v>100</v>
      </c>
      <c r="V45" s="1608" t="s">
        <v>25</v>
      </c>
      <c r="W45" s="1609">
        <f t="shared" si="14"/>
        <v>100</v>
      </c>
      <c r="X45" s="1610"/>
      <c r="Y45" s="3609"/>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609"/>
      <c r="Q46" s="2833">
        <f t="shared" si="11"/>
        <v>111</v>
      </c>
      <c r="R46" s="1653" t="s">
        <v>25</v>
      </c>
      <c r="S46" s="1654">
        <f t="shared" si="12"/>
        <v>100</v>
      </c>
      <c r="T46" s="1653" t="s">
        <v>25</v>
      </c>
      <c r="U46" s="1654">
        <f t="shared" si="13"/>
        <v>100</v>
      </c>
      <c r="V46" s="1653" t="s">
        <v>25</v>
      </c>
      <c r="W46" s="1654">
        <f t="shared" si="14"/>
        <v>100</v>
      </c>
      <c r="X46" s="2002"/>
      <c r="Y46" s="3609"/>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610"/>
      <c r="Q47" s="2833">
        <f t="shared" si="11"/>
        <v>111</v>
      </c>
      <c r="R47" s="1653" t="s">
        <v>25</v>
      </c>
      <c r="S47" s="1654">
        <f t="shared" si="12"/>
        <v>100</v>
      </c>
      <c r="T47" s="1653" t="s">
        <v>25</v>
      </c>
      <c r="U47" s="1654">
        <f t="shared" si="13"/>
        <v>100</v>
      </c>
      <c r="V47" s="1653" t="s">
        <v>25</v>
      </c>
      <c r="W47" s="1654">
        <f t="shared" si="14"/>
        <v>100</v>
      </c>
      <c r="X47" s="2002"/>
      <c r="Y47" s="3610"/>
      <c r="Z47" s="2006">
        <f t="shared" si="15"/>
        <v>111</v>
      </c>
      <c r="AA47" s="1997">
        <f t="shared" si="3"/>
        <v>1</v>
      </c>
      <c r="AB47" s="1997">
        <f t="shared" si="4"/>
        <v>1</v>
      </c>
      <c r="AC47" s="1997">
        <f t="shared" si="5"/>
        <v>1</v>
      </c>
    </row>
    <row r="48" spans="1:29" ht="15">
      <c r="A48" s="1709" t="s">
        <v>2047</v>
      </c>
      <c r="B48" s="1710"/>
      <c r="C48" s="1711" t="s">
        <v>1</v>
      </c>
      <c r="D48" s="1712"/>
      <c r="E48" s="1713"/>
      <c r="F48" s="1714"/>
      <c r="G48" s="1715"/>
      <c r="H48" s="1716"/>
      <c r="I48" s="1713"/>
      <c r="J48" s="1716"/>
      <c r="K48" s="1941"/>
      <c r="L48" s="2920"/>
      <c r="M48" s="2915"/>
      <c r="N48" s="2915"/>
      <c r="O48" s="2915"/>
      <c r="P48" s="3601" t="str">
        <f>A48</f>
        <v>成交单价（元/平方米）</v>
      </c>
      <c r="Q48" s="3601"/>
      <c r="R48" s="3597">
        <f>E48</f>
        <v>0</v>
      </c>
      <c r="S48" s="3597"/>
      <c r="T48" s="3597">
        <f>G48</f>
        <v>0</v>
      </c>
      <c r="U48" s="3597"/>
      <c r="V48" s="3597">
        <f>I48</f>
        <v>0</v>
      </c>
      <c r="W48" s="3597"/>
      <c r="X48" s="1719"/>
      <c r="Y48" s="2001"/>
      <c r="Z48" s="1719"/>
      <c r="AA48" s="1719"/>
      <c r="AB48" s="1719"/>
      <c r="AC48" s="1719"/>
    </row>
    <row r="49" spans="1:29" ht="15.75" thickBot="1">
      <c r="A49" s="1721" t="s">
        <v>2130</v>
      </c>
      <c r="B49" s="1722"/>
      <c r="C49" s="1723" t="e">
        <f>R50</f>
        <v>#DIV/0!</v>
      </c>
      <c r="D49" s="1724" t="s">
        <v>2501</v>
      </c>
      <c r="E49" s="1725" t="e">
        <f>R49</f>
        <v>#DIV/0!</v>
      </c>
      <c r="F49" s="1726"/>
      <c r="G49" s="1723" t="e">
        <f>T49</f>
        <v>#DIV/0!</v>
      </c>
      <c r="H49" s="1726"/>
      <c r="I49" s="1725" t="e">
        <f>V49</f>
        <v>#DIV/0!</v>
      </c>
      <c r="J49" s="1726"/>
      <c r="K49" s="2428">
        <f>F49+H49+J49</f>
        <v>0</v>
      </c>
      <c r="L49" s="2920"/>
      <c r="M49" s="2915"/>
      <c r="N49" s="2915"/>
      <c r="O49" s="2915"/>
      <c r="P49" s="3601" t="str">
        <f>A49</f>
        <v>比较价值（元/平方米）</v>
      </c>
      <c r="Q49" s="3601"/>
      <c r="R49" s="3597" t="e">
        <f>IF(E1="售价",ROUND(PRODUCT(R48,AA7:AA47),0),ROUND(PRODUCT(R48,AA7:AA47),1))</f>
        <v>#DIV/0!</v>
      </c>
      <c r="S49" s="3597"/>
      <c r="T49" s="3597" t="e">
        <f>IF(E1="售价",ROUND(PRODUCT(T48,AB7:AB47),0),ROUND(PRODUCT(T48,AB7:AB47),1))</f>
        <v>#DIV/0!</v>
      </c>
      <c r="U49" s="3597"/>
      <c r="V49" s="3597" t="e">
        <f>IF(E1="售价",ROUND(PRODUCT(V48,AC7:AC47),0),ROUND(PRODUCT(V48,AC7:AC47),1))</f>
        <v>#DIV/0!</v>
      </c>
      <c r="W49" s="3597"/>
      <c r="X49" s="1719"/>
      <c r="Y49" s="1719"/>
      <c r="Z49" s="1719"/>
      <c r="AA49" s="1719"/>
      <c r="AB49" s="1719"/>
      <c r="AC49" s="1719"/>
    </row>
    <row r="50" spans="1:29" ht="15.75" thickBot="1">
      <c r="A50" s="1727" t="s">
        <v>2153</v>
      </c>
      <c r="B50" s="1728"/>
      <c r="C50" s="1730" t="e">
        <f>R50</f>
        <v>#DIV/0!</v>
      </c>
      <c r="D50" s="1730"/>
      <c r="E50" s="1730"/>
      <c r="F50" s="1730"/>
      <c r="G50" s="1730"/>
      <c r="H50" s="1730"/>
      <c r="I50" s="1730"/>
      <c r="J50" s="1730"/>
      <c r="K50" s="1946"/>
      <c r="L50" s="2920"/>
      <c r="M50" s="2915"/>
      <c r="N50" s="2915"/>
      <c r="O50" s="2915"/>
      <c r="P50" s="3598" t="str">
        <f>A50</f>
        <v>估价对象XX用房的比较价值（楼面单价，元/平方米）</v>
      </c>
      <c r="Q50" s="3599"/>
      <c r="R50" s="3600" t="e">
        <f>IF(E1="售价",ROUND(IF(D49="简单平均",AVERAGE(R49:V49),R49*F49+T49*H49+V49*J49),0),ROUND(IF(D49="简单平均",AVERAGE(R49:V49),R49*F49+T49*H49+V49*J49),1))</f>
        <v>#DIV/0!</v>
      </c>
      <c r="S50" s="3600"/>
      <c r="T50" s="3600"/>
      <c r="U50" s="3600"/>
      <c r="V50" s="3600"/>
      <c r="W50" s="3600"/>
      <c r="X50" s="1719"/>
      <c r="Y50" s="1719"/>
      <c r="Z50" s="1719"/>
      <c r="AA50" s="1719"/>
      <c r="AB50" s="1719"/>
      <c r="AC50" s="1719"/>
    </row>
    <row r="51" spans="1:29">
      <c r="G51" s="2924"/>
    </row>
    <row r="53" spans="1:29" ht="13.5" customHeight="1">
      <c r="C53" s="383" t="s">
        <v>2132</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2133</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2134</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2135</v>
      </c>
      <c r="B58" s="1719"/>
      <c r="C58" s="1745"/>
      <c r="D58" s="1745"/>
      <c r="E58" s="1745"/>
      <c r="F58" s="1745"/>
      <c r="G58" s="1745"/>
      <c r="H58" s="1745"/>
      <c r="I58" s="1745"/>
      <c r="J58" s="1745"/>
      <c r="K58" s="1746"/>
      <c r="L58" s="1747"/>
      <c r="M58" s="1745"/>
      <c r="N58" s="2923"/>
      <c r="O58" s="2923"/>
      <c r="P58" s="1973"/>
      <c r="Q58" s="1749"/>
    </row>
    <row r="59" spans="1:29" s="1755" customFormat="1" ht="15">
      <c r="A59" s="1750" t="s">
        <v>2017</v>
      </c>
      <c r="B59" s="1751"/>
      <c r="C59" s="1752" t="str">
        <f>YEAR(C7)&amp;"-"&amp;MONTH(C7)</f>
        <v>2022-12</v>
      </c>
      <c r="D59" s="1753">
        <f>EDATE(C59,-1)</f>
        <v>44866</v>
      </c>
      <c r="E59" s="1753">
        <f t="shared" ref="E59:O59" si="16">EDATE(D59,-1)</f>
        <v>44835</v>
      </c>
      <c r="F59" s="1753">
        <f t="shared" si="16"/>
        <v>44805</v>
      </c>
      <c r="G59" s="1753">
        <f t="shared" si="16"/>
        <v>44774</v>
      </c>
      <c r="H59" s="1753">
        <f t="shared" si="16"/>
        <v>44743</v>
      </c>
      <c r="I59" s="1753">
        <f t="shared" si="16"/>
        <v>44713</v>
      </c>
      <c r="J59" s="1753">
        <f t="shared" si="16"/>
        <v>44682</v>
      </c>
      <c r="K59" s="1753">
        <f t="shared" si="16"/>
        <v>44652</v>
      </c>
      <c r="L59" s="1753">
        <f t="shared" si="16"/>
        <v>44621</v>
      </c>
      <c r="M59" s="1753">
        <f t="shared" si="16"/>
        <v>44593</v>
      </c>
      <c r="N59" s="1753">
        <f t="shared" si="16"/>
        <v>44562</v>
      </c>
      <c r="O59" s="1753">
        <f t="shared" si="16"/>
        <v>44531</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2055</v>
      </c>
      <c r="B61" s="1763"/>
      <c r="C61" s="1764"/>
      <c r="D61" s="1765"/>
      <c r="E61" s="1765"/>
      <c r="F61" s="1765"/>
      <c r="G61" s="1765"/>
      <c r="H61" s="1765"/>
      <c r="I61" s="1765"/>
      <c r="J61" s="1765"/>
      <c r="K61" s="1765"/>
      <c r="L61" s="1765"/>
      <c r="M61" s="1766"/>
      <c r="N61" s="1765"/>
      <c r="O61" s="2422"/>
      <c r="P61" s="1749"/>
      <c r="Q61" s="1749"/>
    </row>
    <row r="62" spans="1:29" s="1612" customFormat="1" ht="15">
      <c r="A62" s="1767" t="s">
        <v>2019</v>
      </c>
      <c r="B62" s="1757"/>
      <c r="C62" s="1768" t="s">
        <v>2020</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2058</v>
      </c>
      <c r="B64" s="1775" t="s">
        <v>2023</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2026</v>
      </c>
      <c r="C66" s="1787" t="s">
        <v>2059</v>
      </c>
      <c r="D66" s="1787" t="s">
        <v>2060</v>
      </c>
      <c r="E66" s="1787" t="s">
        <v>2061</v>
      </c>
      <c r="F66" s="1787" t="s">
        <v>2062</v>
      </c>
      <c r="G66" s="1787" t="s">
        <v>2063</v>
      </c>
      <c r="H66" s="1787" t="s">
        <v>2064</v>
      </c>
      <c r="I66" s="1787" t="s">
        <v>2065</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2027</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2028</v>
      </c>
      <c r="B77" s="1775" t="s">
        <v>2154</v>
      </c>
      <c r="C77" s="1813" t="s">
        <v>2067</v>
      </c>
      <c r="D77" s="1813" t="s">
        <v>2068</v>
      </c>
      <c r="E77" s="1813" t="s">
        <v>2069</v>
      </c>
      <c r="F77" s="1813" t="s">
        <v>2070</v>
      </c>
      <c r="G77" s="1813" t="s">
        <v>2071</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2072</v>
      </c>
      <c r="C79" s="579" t="s">
        <v>2067</v>
      </c>
      <c r="D79" s="579" t="s">
        <v>2068</v>
      </c>
      <c r="E79" s="579" t="s">
        <v>2069</v>
      </c>
      <c r="F79" s="579" t="s">
        <v>2070</v>
      </c>
      <c r="G79" s="579" t="s">
        <v>2071</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2073</v>
      </c>
      <c r="C81" s="579" t="s">
        <v>2067</v>
      </c>
      <c r="D81" s="579" t="s">
        <v>2068</v>
      </c>
      <c r="E81" s="579" t="s">
        <v>2069</v>
      </c>
      <c r="F81" s="579" t="s">
        <v>2070</v>
      </c>
      <c r="G81" s="579" t="s">
        <v>2071</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2116</v>
      </c>
      <c r="C83" s="1787" t="s">
        <v>2074</v>
      </c>
      <c r="D83" s="1787" t="s">
        <v>2075</v>
      </c>
      <c r="E83" s="1787" t="s">
        <v>2076</v>
      </c>
      <c r="F83" s="1787" t="s">
        <v>2077</v>
      </c>
      <c r="G83" s="1787" t="s">
        <v>2078</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2155</v>
      </c>
      <c r="C85" s="579" t="s">
        <v>2067</v>
      </c>
      <c r="D85" s="579" t="s">
        <v>2068</v>
      </c>
      <c r="E85" s="579" t="s">
        <v>2069</v>
      </c>
      <c r="F85" s="579" t="s">
        <v>2070</v>
      </c>
      <c r="G85" s="579" t="s">
        <v>2071</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2156</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2033</v>
      </c>
      <c r="B101" s="1775" t="s">
        <v>2082</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2084</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2086</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2157</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2088</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2089</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2158</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2140</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2091</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2092</v>
      </c>
      <c r="C125" s="579" t="s">
        <v>2067</v>
      </c>
      <c r="D125" s="579" t="s">
        <v>2068</v>
      </c>
      <c r="E125" s="579" t="s">
        <v>2069</v>
      </c>
      <c r="F125" s="579" t="s">
        <v>2070</v>
      </c>
      <c r="G125" s="579" t="s">
        <v>2071</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2000</v>
      </c>
      <c r="B1" s="1154" t="s">
        <v>2159</v>
      </c>
      <c r="C1" s="1146"/>
      <c r="D1" s="1159"/>
      <c r="E1" s="1486"/>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2003</v>
      </c>
      <c r="D3" s="292">
        <f>IF(C1="仅计算典型户型",'数据-取费表'!E5,'数据-取费表'!B5)</f>
        <v>900.27</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7" t="s">
        <v>2005</v>
      </c>
      <c r="D4" s="3668"/>
      <c r="E4" s="3669" t="s">
        <v>2006</v>
      </c>
      <c r="F4" s="3670"/>
      <c r="G4" s="3667" t="s">
        <v>2007</v>
      </c>
      <c r="H4" s="3668"/>
      <c r="I4" s="3667" t="s">
        <v>2008</v>
      </c>
      <c r="J4" s="3668"/>
      <c r="K4" s="496" t="s">
        <v>2009</v>
      </c>
      <c r="L4" s="2942"/>
      <c r="M4" s="2943"/>
      <c r="N4" s="2943"/>
      <c r="O4" s="2943"/>
      <c r="P4" s="3671" t="s">
        <v>2010</v>
      </c>
      <c r="Q4" s="3672"/>
      <c r="R4" s="3654" t="s">
        <v>2006</v>
      </c>
      <c r="S4" s="3655"/>
      <c r="T4" s="3654" t="s">
        <v>2007</v>
      </c>
      <c r="U4" s="3655"/>
      <c r="V4" s="3677" t="s">
        <v>2008</v>
      </c>
      <c r="W4" s="3677"/>
      <c r="X4" s="1262"/>
      <c r="Y4" s="3654" t="s">
        <v>2010</v>
      </c>
      <c r="Z4" s="3655"/>
      <c r="AA4" s="3664" t="s">
        <v>2006</v>
      </c>
      <c r="AB4" s="3665" t="s">
        <v>2007</v>
      </c>
      <c r="AC4" s="3664" t="s">
        <v>2008</v>
      </c>
    </row>
    <row r="5" spans="1:29" ht="15">
      <c r="A5" s="297"/>
      <c r="B5" s="298"/>
      <c r="C5" s="3680" t="s">
        <v>2011</v>
      </c>
      <c r="D5" s="3681"/>
      <c r="E5" s="3678" t="s">
        <v>2012</v>
      </c>
      <c r="F5" s="3679"/>
      <c r="G5" s="3680" t="s">
        <v>2013</v>
      </c>
      <c r="H5" s="3681"/>
      <c r="I5" s="3680" t="s">
        <v>2014</v>
      </c>
      <c r="J5" s="3681"/>
      <c r="K5" s="496"/>
      <c r="L5" s="2942"/>
      <c r="M5" s="2943"/>
      <c r="N5" s="2943"/>
      <c r="O5" s="2943"/>
      <c r="P5" s="3673"/>
      <c r="Q5" s="3674"/>
      <c r="R5" s="3656"/>
      <c r="S5" s="3657"/>
      <c r="T5" s="3656"/>
      <c r="U5" s="3657"/>
      <c r="V5" s="3677"/>
      <c r="W5" s="3677"/>
      <c r="X5" s="1262"/>
      <c r="Y5" s="3656"/>
      <c r="Z5" s="3657"/>
      <c r="AA5" s="3665"/>
      <c r="AB5" s="3665"/>
      <c r="AC5" s="3665"/>
    </row>
    <row r="6" spans="1:29" ht="15.75" thickBot="1">
      <c r="A6" s="299"/>
      <c r="B6" s="300"/>
      <c r="C6" s="3682" t="s">
        <v>2015</v>
      </c>
      <c r="D6" s="3683"/>
      <c r="E6" s="3684" t="s">
        <v>2015</v>
      </c>
      <c r="F6" s="3685"/>
      <c r="G6" s="3682" t="s">
        <v>2015</v>
      </c>
      <c r="H6" s="3683"/>
      <c r="I6" s="3682" t="s">
        <v>2015</v>
      </c>
      <c r="J6" s="3683"/>
      <c r="K6" s="496" t="s">
        <v>2016</v>
      </c>
      <c r="L6" s="2942"/>
      <c r="M6" s="2943"/>
      <c r="N6" s="2943"/>
      <c r="O6" s="2943"/>
      <c r="P6" s="3675"/>
      <c r="Q6" s="3676"/>
      <c r="R6" s="3656"/>
      <c r="S6" s="3657"/>
      <c r="T6" s="3658"/>
      <c r="U6" s="3659"/>
      <c r="V6" s="3677"/>
      <c r="W6" s="3677"/>
      <c r="X6" s="1262"/>
      <c r="Y6" s="3658"/>
      <c r="Z6" s="3659"/>
      <c r="AA6" s="3666"/>
      <c r="AB6" s="3666"/>
      <c r="AC6" s="3666"/>
    </row>
    <row r="7" spans="1:29" s="25" customFormat="1" ht="15.75" thickBot="1">
      <c r="A7" s="301" t="s">
        <v>2017</v>
      </c>
      <c r="B7" s="302"/>
      <c r="C7" s="303">
        <f>'数据-取费表'!B2</f>
        <v>44908</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52" t="s">
        <v>2018</v>
      </c>
      <c r="Q7" s="3660"/>
      <c r="R7" s="627" t="s">
        <v>25</v>
      </c>
      <c r="S7" s="628">
        <f t="shared" ref="S7:S15" si="0">F7</f>
        <v>0</v>
      </c>
      <c r="T7" s="627" t="s">
        <v>25</v>
      </c>
      <c r="U7" s="628">
        <f t="shared" ref="U7:U15" si="1">H7</f>
        <v>0</v>
      </c>
      <c r="V7" s="627" t="s">
        <v>25</v>
      </c>
      <c r="W7" s="628">
        <f t="shared" ref="W7:W15" si="2">J7</f>
        <v>0</v>
      </c>
      <c r="X7" s="629"/>
      <c r="Y7" s="3652" t="s">
        <v>2018</v>
      </c>
      <c r="Z7" s="3653"/>
      <c r="AA7" s="630" t="e">
        <f>D7/F7</f>
        <v>#DIV/0!</v>
      </c>
      <c r="AB7" s="630" t="e">
        <f>D7/H7</f>
        <v>#DIV/0!</v>
      </c>
      <c r="AC7" s="630" t="e">
        <f>D7/J7</f>
        <v>#DIV/0!</v>
      </c>
    </row>
    <row r="8" spans="1:29" s="25" customFormat="1" ht="15.75" thickBot="1">
      <c r="A8" s="301" t="s">
        <v>2019</v>
      </c>
      <c r="B8" s="302"/>
      <c r="C8" s="307" t="s">
        <v>2637</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52" t="s">
        <v>2021</v>
      </c>
      <c r="Q8" s="3653"/>
      <c r="R8" s="627" t="s">
        <v>25</v>
      </c>
      <c r="S8" s="628">
        <f t="shared" si="0"/>
        <v>0</v>
      </c>
      <c r="T8" s="627" t="s">
        <v>25</v>
      </c>
      <c r="U8" s="628">
        <f t="shared" si="1"/>
        <v>0</v>
      </c>
      <c r="V8" s="627" t="s">
        <v>25</v>
      </c>
      <c r="W8" s="628">
        <f t="shared" si="2"/>
        <v>0</v>
      </c>
      <c r="X8" s="629"/>
      <c r="Y8" s="3652" t="s">
        <v>2021</v>
      </c>
      <c r="Z8" s="3653"/>
      <c r="AA8" s="630" t="e">
        <f t="shared" ref="AA8:AA40" si="3">D8/F8</f>
        <v>#DIV/0!</v>
      </c>
      <c r="AB8" s="630" t="e">
        <f t="shared" ref="AB8:AB40" si="4">D8/H8</f>
        <v>#DIV/0!</v>
      </c>
      <c r="AC8" s="630" t="e">
        <f t="shared" ref="AC8:AC40" si="5">D8/J8</f>
        <v>#DIV/0!</v>
      </c>
    </row>
    <row r="9" spans="1:29" s="25" customFormat="1">
      <c r="A9" s="308" t="s">
        <v>2022</v>
      </c>
      <c r="B9" s="24" t="s">
        <v>2023</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63" t="s">
        <v>2025</v>
      </c>
      <c r="Z9" s="19" t="str">
        <f t="shared" ref="Z9:Z15" si="7">Q9</f>
        <v>用途</v>
      </c>
      <c r="AA9" s="630">
        <f t="shared" si="3"/>
        <v>1</v>
      </c>
      <c r="AB9" s="630">
        <f t="shared" si="4"/>
        <v>1</v>
      </c>
      <c r="AC9" s="630">
        <f t="shared" si="5"/>
        <v>1</v>
      </c>
    </row>
    <row r="10" spans="1:29" s="317" customFormat="1" ht="27">
      <c r="A10" s="312"/>
      <c r="B10" s="313" t="s">
        <v>2026</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313" t="s">
        <v>2027</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2028</v>
      </c>
      <c r="B15" s="22" t="s">
        <v>2160</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1" t="s">
        <v>2029</v>
      </c>
      <c r="Q15" s="1261" t="str">
        <f t="shared" si="6"/>
        <v>产业集聚程度</v>
      </c>
      <c r="R15" s="631" t="s">
        <v>25</v>
      </c>
      <c r="S15" s="632">
        <f t="shared" si="0"/>
        <v>100</v>
      </c>
      <c r="T15" s="631" t="s">
        <v>25</v>
      </c>
      <c r="U15" s="632">
        <f t="shared" si="1"/>
        <v>100</v>
      </c>
      <c r="V15" s="631" t="s">
        <v>25</v>
      </c>
      <c r="W15" s="632">
        <f t="shared" si="2"/>
        <v>100</v>
      </c>
      <c r="X15" s="1262"/>
      <c r="Y15" s="3661" t="s">
        <v>2029</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2"/>
      <c r="M16" s="2943"/>
      <c r="N16" s="2943"/>
      <c r="O16" s="2951"/>
      <c r="P16" s="3662"/>
      <c r="Q16" s="1261"/>
      <c r="R16" s="631"/>
      <c r="S16" s="632"/>
      <c r="T16" s="631"/>
      <c r="U16" s="632"/>
      <c r="V16" s="631"/>
      <c r="W16" s="632"/>
      <c r="X16" s="1262"/>
      <c r="Y16" s="3662"/>
      <c r="Z16" s="1263"/>
      <c r="AA16" s="1264">
        <v>1</v>
      </c>
      <c r="AB16" s="1264">
        <v>1</v>
      </c>
      <c r="AC16" s="1264">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2"/>
      <c r="Q17" s="1261" t="str">
        <f>B17</f>
        <v>交通便捷度</v>
      </c>
      <c r="R17" s="631" t="s">
        <v>25</v>
      </c>
      <c r="S17" s="632">
        <f>F17</f>
        <v>100</v>
      </c>
      <c r="T17" s="631" t="s">
        <v>25</v>
      </c>
      <c r="U17" s="632">
        <f>H17</f>
        <v>100</v>
      </c>
      <c r="V17" s="631" t="s">
        <v>25</v>
      </c>
      <c r="W17" s="632">
        <f>J17</f>
        <v>100</v>
      </c>
      <c r="X17" s="1262"/>
      <c r="Y17" s="3662"/>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2"/>
      <c r="M18" s="2943"/>
      <c r="N18" s="2943"/>
      <c r="O18" s="2951"/>
      <c r="P18" s="3662"/>
      <c r="Q18" s="1261"/>
      <c r="R18" s="631"/>
      <c r="S18" s="632"/>
      <c r="T18" s="631"/>
      <c r="U18" s="632"/>
      <c r="V18" s="631"/>
      <c r="W18" s="632"/>
      <c r="X18" s="1262"/>
      <c r="Y18" s="3662"/>
      <c r="Z18" s="1263"/>
      <c r="AA18" s="1264">
        <v>1</v>
      </c>
      <c r="AB18" s="1264">
        <v>1</v>
      </c>
      <c r="AC18" s="1264">
        <v>1</v>
      </c>
    </row>
    <row r="19" spans="1:29" ht="42.75">
      <c r="A19" s="318"/>
      <c r="B19" s="513" t="s">
        <v>2144</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2"/>
      <c r="Q19" s="1261" t="str">
        <f>B19</f>
        <v>公共配套设施</v>
      </c>
      <c r="R19" s="631" t="s">
        <v>25</v>
      </c>
      <c r="S19" s="632">
        <f>F19</f>
        <v>100</v>
      </c>
      <c r="T19" s="631" t="s">
        <v>25</v>
      </c>
      <c r="U19" s="632">
        <f>H19</f>
        <v>100</v>
      </c>
      <c r="V19" s="631" t="s">
        <v>25</v>
      </c>
      <c r="W19" s="632">
        <f>J19</f>
        <v>100</v>
      </c>
      <c r="X19" s="1262"/>
      <c r="Y19" s="3662"/>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2"/>
      <c r="M20" s="2943"/>
      <c r="N20" s="2943"/>
      <c r="O20" s="2951"/>
      <c r="P20" s="3662"/>
      <c r="Q20" s="1261"/>
      <c r="R20" s="631"/>
      <c r="S20" s="632"/>
      <c r="T20" s="631"/>
      <c r="U20" s="632"/>
      <c r="V20" s="631"/>
      <c r="W20" s="632"/>
      <c r="X20" s="1262"/>
      <c r="Y20" s="3662"/>
      <c r="Z20" s="1263"/>
      <c r="AA20" s="1264">
        <v>1</v>
      </c>
      <c r="AB20" s="1264">
        <v>1</v>
      </c>
      <c r="AC20" s="1264">
        <v>1</v>
      </c>
    </row>
    <row r="21" spans="1:29" ht="28.5">
      <c r="A21" s="318"/>
      <c r="B21" s="515" t="s">
        <v>2145</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2"/>
      <c r="Q21" s="1261" t="str">
        <f>B21</f>
        <v>基础设施水平</v>
      </c>
      <c r="R21" s="631" t="s">
        <v>25</v>
      </c>
      <c r="S21" s="632">
        <f>F21</f>
        <v>100</v>
      </c>
      <c r="T21" s="631" t="s">
        <v>25</v>
      </c>
      <c r="U21" s="632">
        <f>H21</f>
        <v>100</v>
      </c>
      <c r="V21" s="631" t="s">
        <v>25</v>
      </c>
      <c r="W21" s="632">
        <f>J21</f>
        <v>100</v>
      </c>
      <c r="X21" s="1262"/>
      <c r="Y21" s="3662"/>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2"/>
      <c r="M22" s="2943"/>
      <c r="N22" s="2943"/>
      <c r="O22" s="2951"/>
      <c r="P22" s="3662"/>
      <c r="Q22" s="1261"/>
      <c r="R22" s="631"/>
      <c r="S22" s="632"/>
      <c r="T22" s="631"/>
      <c r="U22" s="632"/>
      <c r="V22" s="631"/>
      <c r="W22" s="632"/>
      <c r="X22" s="1262"/>
      <c r="Y22" s="3662"/>
      <c r="Z22" s="1263"/>
      <c r="AA22" s="1264">
        <v>1</v>
      </c>
      <c r="AB22" s="1264">
        <v>1</v>
      </c>
      <c r="AC22" s="1264">
        <v>1</v>
      </c>
    </row>
    <row r="23" spans="1:29" ht="71.25">
      <c r="A23" s="318"/>
      <c r="B23" s="340" t="s">
        <v>2146</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2"/>
      <c r="Q23" s="1261" t="str">
        <f>B23</f>
        <v>环境质量</v>
      </c>
      <c r="R23" s="631" t="s">
        <v>25</v>
      </c>
      <c r="S23" s="632">
        <f>F23</f>
        <v>100</v>
      </c>
      <c r="T23" s="631" t="s">
        <v>25</v>
      </c>
      <c r="U23" s="632">
        <f>H23</f>
        <v>100</v>
      </c>
      <c r="V23" s="631" t="s">
        <v>25</v>
      </c>
      <c r="W23" s="632">
        <f>J23</f>
        <v>100</v>
      </c>
      <c r="X23" s="1262"/>
      <c r="Y23" s="3662"/>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2"/>
      <c r="M24" s="2943"/>
      <c r="N24" s="2943"/>
      <c r="O24" s="2951"/>
      <c r="P24" s="3662"/>
      <c r="Q24" s="1261"/>
      <c r="R24" s="631"/>
      <c r="S24" s="632"/>
      <c r="T24" s="631"/>
      <c r="U24" s="632"/>
      <c r="V24" s="631"/>
      <c r="W24" s="632"/>
      <c r="X24" s="1262"/>
      <c r="Y24" s="3662"/>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2"/>
      <c r="Q25" s="1261">
        <f>B25</f>
        <v>111</v>
      </c>
      <c r="R25" s="631" t="s">
        <v>25</v>
      </c>
      <c r="S25" s="632">
        <f>F25</f>
        <v>100</v>
      </c>
      <c r="T25" s="631" t="s">
        <v>25</v>
      </c>
      <c r="U25" s="632">
        <f>H25</f>
        <v>100</v>
      </c>
      <c r="V25" s="631" t="s">
        <v>25</v>
      </c>
      <c r="W25" s="632">
        <f>J25</f>
        <v>100</v>
      </c>
      <c r="X25" s="1262"/>
      <c r="Y25" s="3662"/>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2"/>
      <c r="Q26" s="1261">
        <f t="shared" ref="Q26:Q40" si="11">B26</f>
        <v>111</v>
      </c>
      <c r="R26" s="631" t="s">
        <v>25</v>
      </c>
      <c r="S26" s="632">
        <f>F26</f>
        <v>100</v>
      </c>
      <c r="T26" s="631" t="s">
        <v>25</v>
      </c>
      <c r="U26" s="632">
        <f>H26</f>
        <v>100</v>
      </c>
      <c r="V26" s="631" t="s">
        <v>25</v>
      </c>
      <c r="W26" s="632">
        <f>J26</f>
        <v>100</v>
      </c>
      <c r="X26" s="1262"/>
      <c r="Y26" s="3662"/>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2"/>
      <c r="Q27" s="1254">
        <f t="shared" si="11"/>
        <v>111</v>
      </c>
      <c r="R27" s="627" t="s">
        <v>25</v>
      </c>
      <c r="S27" s="628">
        <f>F27</f>
        <v>100</v>
      </c>
      <c r="T27" s="627" t="s">
        <v>25</v>
      </c>
      <c r="U27" s="628">
        <f>H27</f>
        <v>100</v>
      </c>
      <c r="V27" s="627" t="s">
        <v>25</v>
      </c>
      <c r="W27" s="628">
        <f>J27</f>
        <v>100</v>
      </c>
      <c r="X27" s="629"/>
      <c r="Y27" s="3662"/>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2"/>
      <c r="Q28" s="1261">
        <f t="shared" si="11"/>
        <v>111</v>
      </c>
      <c r="R28" s="631" t="s">
        <v>25</v>
      </c>
      <c r="S28" s="632">
        <f t="shared" ref="S28:S40" si="12">F28</f>
        <v>100</v>
      </c>
      <c r="T28" s="631" t="s">
        <v>25</v>
      </c>
      <c r="U28" s="632">
        <f t="shared" ref="U28:U40" si="13">H28</f>
        <v>100</v>
      </c>
      <c r="V28" s="631" t="s">
        <v>25</v>
      </c>
      <c r="W28" s="632">
        <f t="shared" ref="W28:W40" si="14">J28</f>
        <v>100</v>
      </c>
      <c r="X28" s="1262"/>
      <c r="Y28" s="3662"/>
      <c r="Z28" s="1263">
        <f t="shared" ref="Z28:Z40" si="15">Q28</f>
        <v>111</v>
      </c>
      <c r="AA28" s="1264">
        <f t="shared" si="3"/>
        <v>1</v>
      </c>
      <c r="AB28" s="1264">
        <f t="shared" si="4"/>
        <v>1</v>
      </c>
      <c r="AC28" s="1264">
        <f t="shared" si="5"/>
        <v>1</v>
      </c>
    </row>
    <row r="29" spans="1:29" ht="28.5">
      <c r="A29" s="354" t="s">
        <v>2033</v>
      </c>
      <c r="B29" s="24" t="s">
        <v>2149</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49" t="s">
        <v>2035</v>
      </c>
      <c r="Q29" s="1261" t="str">
        <f t="shared" si="11"/>
        <v>建筑类型</v>
      </c>
      <c r="R29" s="631" t="s">
        <v>25</v>
      </c>
      <c r="S29" s="632">
        <f t="shared" si="12"/>
        <v>100</v>
      </c>
      <c r="T29" s="631" t="s">
        <v>25</v>
      </c>
      <c r="U29" s="632">
        <f t="shared" si="13"/>
        <v>100</v>
      </c>
      <c r="V29" s="631" t="s">
        <v>25</v>
      </c>
      <c r="W29" s="632">
        <f t="shared" si="14"/>
        <v>100</v>
      </c>
      <c r="X29" s="1262"/>
      <c r="Y29" s="3650" t="s">
        <v>2035</v>
      </c>
      <c r="Z29" s="1263" t="str">
        <f t="shared" si="15"/>
        <v>建筑类型</v>
      </c>
      <c r="AA29" s="1264">
        <f t="shared" si="3"/>
        <v>1</v>
      </c>
      <c r="AB29" s="1264">
        <f t="shared" si="4"/>
        <v>1</v>
      </c>
      <c r="AC29" s="1264">
        <f t="shared" si="5"/>
        <v>1</v>
      </c>
    </row>
    <row r="30" spans="1:29" s="359" customFormat="1" ht="15">
      <c r="A30" s="356"/>
      <c r="B30" s="313" t="s">
        <v>2036</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50"/>
      <c r="Q30" s="633" t="str">
        <f t="shared" si="11"/>
        <v>项目建筑规模</v>
      </c>
      <c r="R30" s="634" t="s">
        <v>25</v>
      </c>
      <c r="S30" s="635" t="e">
        <f t="shared" si="12"/>
        <v>#N/A</v>
      </c>
      <c r="T30" s="634" t="s">
        <v>25</v>
      </c>
      <c r="U30" s="635" t="e">
        <f t="shared" si="13"/>
        <v>#N/A</v>
      </c>
      <c r="V30" s="634" t="s">
        <v>25</v>
      </c>
      <c r="W30" s="635" t="e">
        <f t="shared" si="14"/>
        <v>#N/A</v>
      </c>
      <c r="X30" s="636"/>
      <c r="Y30" s="3650"/>
      <c r="Z30" s="637" t="str">
        <f t="shared" si="15"/>
        <v>项目建筑规模</v>
      </c>
      <c r="AA30" s="1264" t="e">
        <f t="shared" si="3"/>
        <v>#N/A</v>
      </c>
      <c r="AB30" s="1264" t="e">
        <f t="shared" si="4"/>
        <v>#N/A</v>
      </c>
      <c r="AC30" s="1264" t="e">
        <f t="shared" si="5"/>
        <v>#N/A</v>
      </c>
    </row>
    <row r="31" spans="1:29" ht="15">
      <c r="A31" s="360"/>
      <c r="B31" s="313" t="s">
        <v>2037</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50"/>
      <c r="Q31" s="1261" t="str">
        <f t="shared" si="11"/>
        <v>建筑结构</v>
      </c>
      <c r="R31" s="631" t="s">
        <v>25</v>
      </c>
      <c r="S31" s="632">
        <f t="shared" si="12"/>
        <v>100</v>
      </c>
      <c r="T31" s="631" t="s">
        <v>25</v>
      </c>
      <c r="U31" s="632">
        <f t="shared" si="13"/>
        <v>100</v>
      </c>
      <c r="V31" s="631" t="s">
        <v>25</v>
      </c>
      <c r="W31" s="632">
        <f t="shared" si="14"/>
        <v>100</v>
      </c>
      <c r="X31" s="1262"/>
      <c r="Y31" s="3650"/>
      <c r="Z31" s="1263" t="str">
        <f t="shared" si="15"/>
        <v>建筑结构</v>
      </c>
      <c r="AA31" s="1264">
        <f t="shared" si="3"/>
        <v>1</v>
      </c>
      <c r="AB31" s="1264">
        <f t="shared" si="4"/>
        <v>1</v>
      </c>
      <c r="AC31" s="1264">
        <f t="shared" si="5"/>
        <v>1</v>
      </c>
    </row>
    <row r="32" spans="1:29" ht="15">
      <c r="A32" s="360"/>
      <c r="B32" s="313" t="s">
        <v>2122</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50"/>
      <c r="Q32" s="1261" t="str">
        <f t="shared" si="11"/>
        <v>公共部分装修</v>
      </c>
      <c r="R32" s="631" t="s">
        <v>25</v>
      </c>
      <c r="S32" s="632">
        <f t="shared" si="12"/>
        <v>100</v>
      </c>
      <c r="T32" s="631" t="s">
        <v>25</v>
      </c>
      <c r="U32" s="632">
        <f t="shared" si="13"/>
        <v>100</v>
      </c>
      <c r="V32" s="631" t="s">
        <v>25</v>
      </c>
      <c r="W32" s="632">
        <f t="shared" si="14"/>
        <v>100</v>
      </c>
      <c r="X32" s="1262"/>
      <c r="Y32" s="3650"/>
      <c r="Z32" s="1263" t="str">
        <f t="shared" si="15"/>
        <v>公共部分装修</v>
      </c>
      <c r="AA32" s="1264">
        <f t="shared" si="3"/>
        <v>1</v>
      </c>
      <c r="AB32" s="1264">
        <f t="shared" si="4"/>
        <v>1</v>
      </c>
      <c r="AC32" s="1264">
        <f t="shared" si="5"/>
        <v>1</v>
      </c>
    </row>
    <row r="33" spans="1:29" ht="15">
      <c r="A33" s="360"/>
      <c r="B33" s="313" t="s">
        <v>2123</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50"/>
      <c r="Q33" s="1261" t="str">
        <f t="shared" si="11"/>
        <v>成新度</v>
      </c>
      <c r="R33" s="631" t="s">
        <v>25</v>
      </c>
      <c r="S33" s="632" t="e">
        <f t="shared" si="12"/>
        <v>#N/A</v>
      </c>
      <c r="T33" s="631" t="s">
        <v>25</v>
      </c>
      <c r="U33" s="632" t="e">
        <f t="shared" si="13"/>
        <v>#N/A</v>
      </c>
      <c r="V33" s="631" t="s">
        <v>25</v>
      </c>
      <c r="W33" s="632" t="e">
        <f t="shared" si="14"/>
        <v>#N/A</v>
      </c>
      <c r="X33" s="1262"/>
      <c r="Y33" s="3650"/>
      <c r="Z33" s="1263" t="str">
        <f t="shared" si="15"/>
        <v>成新度</v>
      </c>
      <c r="AA33" s="1264" t="e">
        <f t="shared" si="3"/>
        <v>#N/A</v>
      </c>
      <c r="AB33" s="1264" t="e">
        <f t="shared" si="4"/>
        <v>#N/A</v>
      </c>
      <c r="AC33" s="1264" t="e">
        <f t="shared" si="5"/>
        <v>#N/A</v>
      </c>
    </row>
    <row r="34" spans="1:29" s="25" customFormat="1" ht="15">
      <c r="A34" s="361"/>
      <c r="B34" s="313" t="s">
        <v>2151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50"/>
      <c r="Q34" s="1254" t="str">
        <f t="shared" si="11"/>
        <v>物业管理</v>
      </c>
      <c r="R34" s="627" t="s">
        <v>25</v>
      </c>
      <c r="S34" s="628">
        <f t="shared" si="12"/>
        <v>100</v>
      </c>
      <c r="T34" s="627" t="s">
        <v>25</v>
      </c>
      <c r="U34" s="628">
        <f t="shared" si="13"/>
        <v>100</v>
      </c>
      <c r="V34" s="627" t="s">
        <v>25</v>
      </c>
      <c r="W34" s="628">
        <f t="shared" si="14"/>
        <v>100</v>
      </c>
      <c r="X34" s="629"/>
      <c r="Y34" s="3650"/>
      <c r="Z34" s="19" t="str">
        <f t="shared" si="15"/>
        <v>物业管理</v>
      </c>
      <c r="AA34" s="630">
        <f t="shared" si="3"/>
        <v>1</v>
      </c>
      <c r="AB34" s="630">
        <f t="shared" si="4"/>
        <v>1</v>
      </c>
      <c r="AC34" s="630">
        <f t="shared" si="5"/>
        <v>1</v>
      </c>
    </row>
    <row r="35" spans="1:29" ht="15">
      <c r="A35" s="360"/>
      <c r="B35" s="313" t="s">
        <v>2124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50" t="s">
        <v>2035</v>
      </c>
      <c r="Q35" s="1261" t="str">
        <f t="shared" si="11"/>
        <v>市政基础设施</v>
      </c>
      <c r="R35" s="631" t="s">
        <v>25</v>
      </c>
      <c r="S35" s="632">
        <f t="shared" si="12"/>
        <v>100</v>
      </c>
      <c r="T35" s="631" t="s">
        <v>25</v>
      </c>
      <c r="U35" s="632">
        <f t="shared" si="13"/>
        <v>100</v>
      </c>
      <c r="V35" s="631" t="s">
        <v>25</v>
      </c>
      <c r="W35" s="632">
        <f t="shared" si="14"/>
        <v>100</v>
      </c>
      <c r="X35" s="1262"/>
      <c r="Y35" s="3650" t="s">
        <v>2035</v>
      </c>
      <c r="Z35" s="1263" t="str">
        <f t="shared" si="15"/>
        <v>市政基础设施</v>
      </c>
      <c r="AA35" s="1264">
        <f t="shared" si="3"/>
        <v>1</v>
      </c>
      <c r="AB35" s="1264">
        <f t="shared" si="4"/>
        <v>1</v>
      </c>
      <c r="AC35" s="1264">
        <f t="shared" si="5"/>
        <v>1</v>
      </c>
    </row>
    <row r="36" spans="1:29" ht="15">
      <c r="A36" s="360"/>
      <c r="B36" s="313" t="s">
        <v>2129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50"/>
      <c r="Q36" s="1261" t="str">
        <f t="shared" si="11"/>
        <v>内部装修</v>
      </c>
      <c r="R36" s="631" t="s">
        <v>25</v>
      </c>
      <c r="S36" s="632">
        <f t="shared" si="12"/>
        <v>100</v>
      </c>
      <c r="T36" s="631" t="s">
        <v>25</v>
      </c>
      <c r="U36" s="632">
        <f t="shared" si="13"/>
        <v>100</v>
      </c>
      <c r="V36" s="631" t="s">
        <v>25</v>
      </c>
      <c r="W36" s="632">
        <f t="shared" si="14"/>
        <v>100</v>
      </c>
      <c r="X36" s="1262"/>
      <c r="Y36" s="3650"/>
      <c r="Z36" s="1263" t="str">
        <f t="shared" si="15"/>
        <v>内部装修</v>
      </c>
      <c r="AA36" s="1264">
        <f t="shared" si="3"/>
        <v>1</v>
      </c>
      <c r="AB36" s="1264">
        <f t="shared" si="4"/>
        <v>1</v>
      </c>
      <c r="AC36" s="1264">
        <f t="shared" si="5"/>
        <v>1</v>
      </c>
    </row>
    <row r="37" spans="1:29" ht="15">
      <c r="A37" s="360"/>
      <c r="B37" s="313" t="s">
        <v>2161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50"/>
      <c r="Q37" s="1261" t="str">
        <f t="shared" si="11"/>
        <v>内部装修状况</v>
      </c>
      <c r="R37" s="631" t="s">
        <v>25</v>
      </c>
      <c r="S37" s="632">
        <f t="shared" si="12"/>
        <v>100</v>
      </c>
      <c r="T37" s="631" t="s">
        <v>25</v>
      </c>
      <c r="U37" s="632">
        <f t="shared" si="13"/>
        <v>100</v>
      </c>
      <c r="V37" s="631" t="s">
        <v>25</v>
      </c>
      <c r="W37" s="632">
        <f t="shared" si="14"/>
        <v>100</v>
      </c>
      <c r="X37" s="1262"/>
      <c r="Y37" s="3650"/>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50"/>
      <c r="Q38" s="633">
        <f t="shared" si="11"/>
        <v>111</v>
      </c>
      <c r="R38" s="634" t="s">
        <v>25</v>
      </c>
      <c r="S38" s="635">
        <f t="shared" si="12"/>
        <v>100</v>
      </c>
      <c r="T38" s="634" t="s">
        <v>25</v>
      </c>
      <c r="U38" s="635">
        <f t="shared" si="13"/>
        <v>100</v>
      </c>
      <c r="V38" s="634" t="s">
        <v>25</v>
      </c>
      <c r="W38" s="635">
        <f t="shared" si="14"/>
        <v>100</v>
      </c>
      <c r="X38" s="636"/>
      <c r="Y38" s="3650"/>
      <c r="Z38" s="637">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50"/>
      <c r="Q39" s="1261">
        <f t="shared" si="11"/>
        <v>111</v>
      </c>
      <c r="R39" s="631" t="s">
        <v>25</v>
      </c>
      <c r="S39" s="632">
        <f t="shared" si="12"/>
        <v>100</v>
      </c>
      <c r="T39" s="631" t="s">
        <v>25</v>
      </c>
      <c r="U39" s="632">
        <f t="shared" si="13"/>
        <v>100</v>
      </c>
      <c r="V39" s="631" t="s">
        <v>25</v>
      </c>
      <c r="W39" s="632">
        <f t="shared" si="14"/>
        <v>100</v>
      </c>
      <c r="X39" s="1262"/>
      <c r="Y39" s="3650"/>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51"/>
      <c r="Q40" s="1261">
        <f t="shared" si="11"/>
        <v>111</v>
      </c>
      <c r="R40" s="631" t="s">
        <v>25</v>
      </c>
      <c r="S40" s="632">
        <f t="shared" si="12"/>
        <v>100</v>
      </c>
      <c r="T40" s="631" t="s">
        <v>25</v>
      </c>
      <c r="U40" s="632">
        <f t="shared" si="13"/>
        <v>100</v>
      </c>
      <c r="V40" s="631" t="s">
        <v>25</v>
      </c>
      <c r="W40" s="632">
        <f t="shared" si="14"/>
        <v>100</v>
      </c>
      <c r="X40" s="1262"/>
      <c r="Y40" s="3651"/>
      <c r="Z40" s="1263">
        <f t="shared" si="15"/>
        <v>111</v>
      </c>
      <c r="AA40" s="1264">
        <f t="shared" si="3"/>
        <v>1</v>
      </c>
      <c r="AB40" s="1264">
        <f t="shared" si="4"/>
        <v>1</v>
      </c>
      <c r="AC40" s="1264">
        <f t="shared" si="5"/>
        <v>1</v>
      </c>
    </row>
    <row r="41" spans="1:29" ht="15">
      <c r="A41" s="367" t="s">
        <v>2047</v>
      </c>
      <c r="B41" s="368"/>
      <c r="C41" s="1081" t="s">
        <v>1</v>
      </c>
      <c r="D41" s="1082"/>
      <c r="E41" s="1083"/>
      <c r="F41" s="1084"/>
      <c r="G41" s="1085"/>
      <c r="H41" s="1086"/>
      <c r="I41" s="1083"/>
      <c r="J41" s="1086"/>
      <c r="K41" s="640"/>
      <c r="L41" s="2954"/>
      <c r="N41" s="2943"/>
      <c r="P41" s="3644" t="str">
        <f>A41</f>
        <v>成交单价（元/平方米）</v>
      </c>
      <c r="Q41" s="3644"/>
      <c r="R41" s="3645">
        <f>E41</f>
        <v>0</v>
      </c>
      <c r="S41" s="3645"/>
      <c r="T41" s="3645">
        <f>G41</f>
        <v>0</v>
      </c>
      <c r="U41" s="3645"/>
      <c r="V41" s="3645">
        <f>I41</f>
        <v>0</v>
      </c>
      <c r="W41" s="3645"/>
      <c r="X41" s="618"/>
      <c r="Y41" s="638"/>
      <c r="Z41" s="618"/>
      <c r="AA41" s="618"/>
      <c r="AB41" s="618"/>
      <c r="AC41" s="618"/>
    </row>
    <row r="42" spans="1:29" ht="15.75" thickBot="1">
      <c r="A42" s="374" t="s">
        <v>2130</v>
      </c>
      <c r="B42" s="375"/>
      <c r="C42" s="1087" t="e">
        <f>R43</f>
        <v>#DIV/0!</v>
      </c>
      <c r="D42" s="1724" t="s">
        <v>2501</v>
      </c>
      <c r="E42" s="1088" t="e">
        <f>R42</f>
        <v>#DIV/0!</v>
      </c>
      <c r="F42" s="1726"/>
      <c r="G42" s="1087" t="e">
        <f>T42</f>
        <v>#DIV/0!</v>
      </c>
      <c r="H42" s="1726"/>
      <c r="I42" s="1088" t="e">
        <f>V42</f>
        <v>#DIV/0!</v>
      </c>
      <c r="J42" s="1726"/>
      <c r="K42" s="2428">
        <f>F42+H42+J42</f>
        <v>0</v>
      </c>
      <c r="L42" s="2954"/>
      <c r="N42" s="2943"/>
      <c r="P42" s="3644" t="str">
        <f>A42</f>
        <v>比较价值（元/平方米）</v>
      </c>
      <c r="Q42" s="3644"/>
      <c r="R42" s="3645" t="e">
        <f>IF(E1="售价",ROUND(PRODUCT(R41,AA7:AA40),0),ROUND(PRODUCT(R41,AA7:AA40),1))</f>
        <v>#DIV/0!</v>
      </c>
      <c r="S42" s="3645"/>
      <c r="T42" s="3645" t="e">
        <f>IF(E1="售价",ROUND(PRODUCT(T41,AB7:AB40),0),ROUND(PRODUCT(T41,AB7:AB40),1))</f>
        <v>#DIV/0!</v>
      </c>
      <c r="U42" s="3645"/>
      <c r="V42" s="3645" t="e">
        <f>IF(E1="售价",ROUND(PRODUCT(V41,AC7:AC40),0),ROUND(PRODUCT(V41,AC7:AC40),1))</f>
        <v>#DIV/0!</v>
      </c>
      <c r="W42" s="3645"/>
      <c r="X42" s="618"/>
      <c r="Y42" s="618"/>
      <c r="Z42" s="618"/>
      <c r="AA42" s="618"/>
      <c r="AB42" s="618"/>
      <c r="AC42" s="618"/>
    </row>
    <row r="43" spans="1:29" ht="15.75" thickBot="1">
      <c r="A43" s="378" t="s">
        <v>2153</v>
      </c>
      <c r="B43" s="379"/>
      <c r="C43" s="1089" t="e">
        <f>R43</f>
        <v>#DIV/0!</v>
      </c>
      <c r="D43" s="1089"/>
      <c r="E43" s="1089"/>
      <c r="F43" s="1089"/>
      <c r="G43" s="1089"/>
      <c r="H43" s="1089"/>
      <c r="I43" s="1089"/>
      <c r="J43" s="1089"/>
      <c r="K43" s="641"/>
      <c r="L43" s="2954"/>
      <c r="P43" s="3646" t="str">
        <f>A43</f>
        <v>估价对象XX用房的比较价值（楼面单价，元/平方米）</v>
      </c>
      <c r="Q43" s="3647"/>
      <c r="R43" s="3648" t="e">
        <f>IF(E1="售价",ROUND(IF(D42="简单平均",AVERAGE(R42:V42),R42*F42+T42*H42+V42*J42),0),ROUND(IF(D42="简单平均",AVERAGE(R42:V42),R42*F42+T42*H42+V42*J42),1))</f>
        <v>#DIV/0!</v>
      </c>
      <c r="S43" s="3648"/>
      <c r="T43" s="3648"/>
      <c r="U43" s="3648"/>
      <c r="V43" s="3648"/>
      <c r="W43" s="3648"/>
      <c r="X43" s="618"/>
      <c r="Y43" s="618"/>
      <c r="Z43" s="618"/>
      <c r="AA43" s="618"/>
      <c r="AB43" s="618"/>
      <c r="AC43" s="618"/>
    </row>
    <row r="44" spans="1:29">
      <c r="G44" s="2957"/>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2135</v>
      </c>
      <c r="B51" s="618"/>
      <c r="C51" s="621"/>
      <c r="D51" s="621"/>
      <c r="E51" s="621"/>
      <c r="F51" s="622"/>
      <c r="G51" s="622"/>
      <c r="H51" s="621"/>
      <c r="I51" s="621"/>
      <c r="J51" s="621"/>
      <c r="K51" s="623"/>
      <c r="L51" s="624"/>
      <c r="M51" s="621"/>
      <c r="N51" s="2960"/>
      <c r="O51" s="2960"/>
      <c r="P51" s="389"/>
      <c r="Q51" s="390"/>
    </row>
    <row r="52" spans="1:17" s="394" customFormat="1" ht="15">
      <c r="A52" s="391" t="s">
        <v>2017</v>
      </c>
      <c r="B52" s="392"/>
      <c r="C52" s="1115" t="str">
        <f>YEAR(C7)&amp;"-"&amp;MONTH(C7)</f>
        <v>2022-12</v>
      </c>
      <c r="D52" s="1116">
        <f>EDATE(C52,-1)</f>
        <v>44866</v>
      </c>
      <c r="E52" s="1117">
        <f t="shared" ref="E52:O52" si="16">EDATE(D52,-1)</f>
        <v>44835</v>
      </c>
      <c r="F52" s="1117">
        <f t="shared" si="16"/>
        <v>44805</v>
      </c>
      <c r="G52" s="1117">
        <f t="shared" si="16"/>
        <v>44774</v>
      </c>
      <c r="H52" s="1117">
        <f t="shared" si="16"/>
        <v>44743</v>
      </c>
      <c r="I52" s="1117">
        <f t="shared" si="16"/>
        <v>44713</v>
      </c>
      <c r="J52" s="1117">
        <f t="shared" si="16"/>
        <v>44682</v>
      </c>
      <c r="K52" s="1117">
        <f t="shared" si="16"/>
        <v>44652</v>
      </c>
      <c r="L52" s="1117">
        <f t="shared" si="16"/>
        <v>44621</v>
      </c>
      <c r="M52" s="1117">
        <f t="shared" si="16"/>
        <v>44593</v>
      </c>
      <c r="N52" s="1117">
        <f t="shared" si="16"/>
        <v>44562</v>
      </c>
      <c r="O52" s="1117">
        <f t="shared" si="16"/>
        <v>44531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2055</v>
      </c>
      <c r="B54" s="401"/>
      <c r="C54" s="402"/>
      <c r="D54" s="403"/>
      <c r="E54" s="403"/>
      <c r="F54" s="403"/>
      <c r="G54" s="403"/>
      <c r="H54" s="403"/>
      <c r="I54" s="403"/>
      <c r="J54" s="403"/>
      <c r="K54" s="403"/>
      <c r="L54" s="403"/>
      <c r="M54" s="404"/>
      <c r="N54" s="403"/>
      <c r="O54" s="405"/>
      <c r="P54" s="390"/>
      <c r="Q54" s="390"/>
    </row>
    <row r="55" spans="1:17" s="25" customFormat="1" ht="15">
      <c r="A55" s="406" t="s">
        <v>2019</v>
      </c>
      <c r="B55" s="396"/>
      <c r="C55" s="407" t="s">
        <v>2020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2058</v>
      </c>
      <c r="B57" s="413" t="s">
        <v>2023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2026</v>
      </c>
      <c r="C59" s="426" t="s">
        <v>2059</v>
      </c>
      <c r="D59" s="426" t="s">
        <v>2060</v>
      </c>
      <c r="E59" s="426" t="s">
        <v>2061</v>
      </c>
      <c r="F59" s="426" t="s">
        <v>2062</v>
      </c>
      <c r="G59" s="426" t="s">
        <v>2063</v>
      </c>
      <c r="H59" s="426" t="s">
        <v>2064</v>
      </c>
      <c r="I59" s="426" t="s">
        <v>2065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2028</v>
      </c>
      <c r="B70" s="413" t="s">
        <v>2162</v>
      </c>
      <c r="C70" s="461" t="s">
        <v>2067</v>
      </c>
      <c r="D70" s="461" t="s">
        <v>2068</v>
      </c>
      <c r="E70" s="461" t="s">
        <v>2069</v>
      </c>
      <c r="F70" s="461" t="s">
        <v>2070</v>
      </c>
      <c r="G70" s="461" t="s">
        <v>2071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2072</v>
      </c>
      <c r="C72" s="466" t="s">
        <v>2067</v>
      </c>
      <c r="D72" s="466" t="s">
        <v>2068</v>
      </c>
      <c r="E72" s="466" t="s">
        <v>2069</v>
      </c>
      <c r="F72" s="466" t="s">
        <v>2070</v>
      </c>
      <c r="G72" s="466" t="s">
        <v>2071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2073</v>
      </c>
      <c r="C74" s="466" t="s">
        <v>2067</v>
      </c>
      <c r="D74" s="466" t="s">
        <v>2068</v>
      </c>
      <c r="E74" s="466" t="s">
        <v>2069</v>
      </c>
      <c r="F74" s="466" t="s">
        <v>2070</v>
      </c>
      <c r="G74" s="466" t="s">
        <v>2071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2145</v>
      </c>
      <c r="C76" s="426" t="s">
        <v>2074</v>
      </c>
      <c r="D76" s="426" t="s">
        <v>2075</v>
      </c>
      <c r="E76" s="426" t="s">
        <v>2076</v>
      </c>
      <c r="F76" s="426" t="s">
        <v>2077</v>
      </c>
      <c r="G76" s="426" t="s">
        <v>2078</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2155</v>
      </c>
      <c r="C78" s="466" t="s">
        <v>2067</v>
      </c>
      <c r="D78" s="466" t="s">
        <v>2068</v>
      </c>
      <c r="E78" s="466" t="s">
        <v>2069</v>
      </c>
      <c r="F78" s="466" t="s">
        <v>2070</v>
      </c>
      <c r="G78" s="466" t="s">
        <v>2071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2033</v>
      </c>
      <c r="B88" s="413" t="s">
        <v>2082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2089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2163</v>
      </c>
      <c r="C106" s="466" t="s">
        <v>2067</v>
      </c>
      <c r="D106" s="466" t="s">
        <v>2068</v>
      </c>
      <c r="E106" s="466" t="s">
        <v>2069</v>
      </c>
      <c r="F106" s="466" t="s">
        <v>2070</v>
      </c>
      <c r="G106" s="466" t="s">
        <v>2071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0"/>
      <c r="E1" s="1486"/>
      <c r="F1" s="1151" t="s">
        <v>2002</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2003</v>
      </c>
      <c r="D3" s="292">
        <f>IF(C1="仅计算典型户型",'数据-取费表'!E5,'数据-取费表'!B5)</f>
        <v>900.27</v>
      </c>
      <c r="E3" s="797" t="s">
        <v>2165</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7" t="s">
        <v>2005</v>
      </c>
      <c r="D4" s="3668"/>
      <c r="E4" s="3669" t="s">
        <v>2006</v>
      </c>
      <c r="F4" s="3670"/>
      <c r="G4" s="3667" t="s">
        <v>2007</v>
      </c>
      <c r="H4" s="3668"/>
      <c r="I4" s="3667" t="s">
        <v>2008</v>
      </c>
      <c r="J4" s="3668"/>
      <c r="K4" s="496" t="s">
        <v>2009</v>
      </c>
      <c r="L4" s="2942"/>
      <c r="M4" s="2943"/>
      <c r="N4" s="2943"/>
      <c r="O4" s="2943"/>
      <c r="P4" s="3671" t="s">
        <v>2010</v>
      </c>
      <c r="Q4" s="3672"/>
      <c r="R4" s="3654" t="s">
        <v>2006</v>
      </c>
      <c r="S4" s="3655"/>
      <c r="T4" s="3654" t="s">
        <v>2007</v>
      </c>
      <c r="U4" s="3655"/>
      <c r="V4" s="3677" t="s">
        <v>2008</v>
      </c>
      <c r="W4" s="3677"/>
      <c r="X4" s="1262"/>
      <c r="Y4" s="3654" t="s">
        <v>2010</v>
      </c>
      <c r="Z4" s="3655"/>
      <c r="AA4" s="3664" t="s">
        <v>2006</v>
      </c>
      <c r="AB4" s="3665" t="s">
        <v>2007</v>
      </c>
      <c r="AC4" s="3664" t="s">
        <v>2008</v>
      </c>
    </row>
    <row r="5" spans="1:29" ht="15">
      <c r="A5" s="297"/>
      <c r="B5" s="298"/>
      <c r="C5" s="3680" t="s">
        <v>2011</v>
      </c>
      <c r="D5" s="3681"/>
      <c r="E5" s="3678" t="s">
        <v>2012</v>
      </c>
      <c r="F5" s="3679"/>
      <c r="G5" s="3680" t="s">
        <v>2013</v>
      </c>
      <c r="H5" s="3681"/>
      <c r="I5" s="3680" t="s">
        <v>2014</v>
      </c>
      <c r="J5" s="3681"/>
      <c r="K5" s="496"/>
      <c r="L5" s="2942"/>
      <c r="M5" s="2943"/>
      <c r="N5" s="2943"/>
      <c r="O5" s="2943"/>
      <c r="P5" s="3673"/>
      <c r="Q5" s="3674"/>
      <c r="R5" s="3656"/>
      <c r="S5" s="3657"/>
      <c r="T5" s="3656"/>
      <c r="U5" s="3657"/>
      <c r="V5" s="3677"/>
      <c r="W5" s="3677"/>
      <c r="X5" s="1262"/>
      <c r="Y5" s="3656"/>
      <c r="Z5" s="3657"/>
      <c r="AA5" s="3665"/>
      <c r="AB5" s="3665"/>
      <c r="AC5" s="3665"/>
    </row>
    <row r="6" spans="1:29" ht="15.75" thickBot="1">
      <c r="A6" s="299"/>
      <c r="B6" s="300"/>
      <c r="C6" s="3682" t="s">
        <v>2015</v>
      </c>
      <c r="D6" s="3683"/>
      <c r="E6" s="3684" t="s">
        <v>2015</v>
      </c>
      <c r="F6" s="3685"/>
      <c r="G6" s="3682" t="s">
        <v>2015</v>
      </c>
      <c r="H6" s="3683"/>
      <c r="I6" s="3682" t="s">
        <v>2015</v>
      </c>
      <c r="J6" s="3683"/>
      <c r="K6" s="496" t="s">
        <v>2016</v>
      </c>
      <c r="L6" s="2942"/>
      <c r="M6" s="2943"/>
      <c r="N6" s="2943"/>
      <c r="O6" s="2943"/>
      <c r="P6" s="3675"/>
      <c r="Q6" s="3676"/>
      <c r="R6" s="3656"/>
      <c r="S6" s="3657"/>
      <c r="T6" s="3658"/>
      <c r="U6" s="3659"/>
      <c r="V6" s="3677"/>
      <c r="W6" s="3677"/>
      <c r="X6" s="1262"/>
      <c r="Y6" s="3658"/>
      <c r="Z6" s="3659"/>
      <c r="AA6" s="3666"/>
      <c r="AB6" s="3666"/>
      <c r="AC6" s="3666"/>
    </row>
    <row r="7" spans="1:29" s="25" customFormat="1" ht="15.75" thickBot="1">
      <c r="A7" s="301" t="s">
        <v>2017</v>
      </c>
      <c r="B7" s="302"/>
      <c r="C7" s="303">
        <f>'数据-取费表'!B2</f>
        <v>44908</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52" t="s">
        <v>2018</v>
      </c>
      <c r="Q7" s="3660"/>
      <c r="R7" s="627" t="s">
        <v>25</v>
      </c>
      <c r="S7" s="628">
        <f t="shared" ref="S7:S14" si="0">F7</f>
        <v>0</v>
      </c>
      <c r="T7" s="627" t="s">
        <v>25</v>
      </c>
      <c r="U7" s="628">
        <f t="shared" ref="U7:U14" si="1">H7</f>
        <v>0</v>
      </c>
      <c r="V7" s="627" t="s">
        <v>25</v>
      </c>
      <c r="W7" s="628">
        <f t="shared" ref="W7:W14" si="2">J7</f>
        <v>0</v>
      </c>
      <c r="X7" s="629"/>
      <c r="Y7" s="3652" t="s">
        <v>2018</v>
      </c>
      <c r="Z7" s="3653"/>
      <c r="AA7" s="630" t="e">
        <f>D7/F7</f>
        <v>#DIV/0!</v>
      </c>
      <c r="AB7" s="630" t="e">
        <f>D7/H7</f>
        <v>#DIV/0!</v>
      </c>
      <c r="AC7" s="630" t="e">
        <f>D7/J7</f>
        <v>#DIV/0!</v>
      </c>
    </row>
    <row r="8" spans="1:29" s="25" customFormat="1" ht="15.75" thickBot="1">
      <c r="A8" s="301" t="s">
        <v>2019</v>
      </c>
      <c r="B8" s="302"/>
      <c r="C8" s="307" t="s">
        <v>2020</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52" t="s">
        <v>2021</v>
      </c>
      <c r="Q8" s="3653"/>
      <c r="R8" s="627" t="s">
        <v>25</v>
      </c>
      <c r="S8" s="628">
        <f t="shared" si="0"/>
        <v>0</v>
      </c>
      <c r="T8" s="627" t="s">
        <v>25</v>
      </c>
      <c r="U8" s="628">
        <f t="shared" si="1"/>
        <v>0</v>
      </c>
      <c r="V8" s="627" t="s">
        <v>25</v>
      </c>
      <c r="W8" s="628">
        <f t="shared" si="2"/>
        <v>0</v>
      </c>
      <c r="X8" s="629"/>
      <c r="Y8" s="3652" t="s">
        <v>2021</v>
      </c>
      <c r="Z8" s="3653"/>
      <c r="AA8" s="630" t="e">
        <f t="shared" ref="AA8:AA36" si="3">D8/F8</f>
        <v>#DIV/0!</v>
      </c>
      <c r="AB8" s="630" t="e">
        <f t="shared" ref="AB8:AB36" si="4">D8/H8</f>
        <v>#DIV/0!</v>
      </c>
      <c r="AC8" s="630" t="e">
        <f t="shared" ref="AC8:AC36" si="5">D8/J8</f>
        <v>#DIV/0!</v>
      </c>
    </row>
    <row r="9" spans="1:29" s="25" customFormat="1">
      <c r="A9" s="21" t="s">
        <v>2022</v>
      </c>
      <c r="B9" s="522" t="s">
        <v>2023</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63" t="s">
        <v>2025</v>
      </c>
      <c r="Z9" s="19" t="str">
        <f t="shared" ref="Z9:Z14" si="7">Q9</f>
        <v>用途</v>
      </c>
      <c r="AA9" s="630">
        <f t="shared" si="3"/>
        <v>1</v>
      </c>
      <c r="AB9" s="630">
        <f t="shared" si="4"/>
        <v>1</v>
      </c>
      <c r="AC9" s="630">
        <f t="shared" si="5"/>
        <v>1</v>
      </c>
    </row>
    <row r="10" spans="1:29" s="317" customFormat="1" ht="27">
      <c r="A10" s="523"/>
      <c r="B10" s="524" t="s">
        <v>2026</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294" t="s">
        <v>2028</v>
      </c>
      <c r="B14" s="511" t="s">
        <v>2166</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1" t="s">
        <v>2029</v>
      </c>
      <c r="Q14" s="1261" t="str">
        <f t="shared" si="6"/>
        <v>交通便捷度</v>
      </c>
      <c r="R14" s="631" t="s">
        <v>25</v>
      </c>
      <c r="S14" s="632">
        <f t="shared" si="0"/>
        <v>100</v>
      </c>
      <c r="T14" s="631" t="s">
        <v>25</v>
      </c>
      <c r="U14" s="632">
        <f t="shared" si="1"/>
        <v>100</v>
      </c>
      <c r="V14" s="631" t="s">
        <v>25</v>
      </c>
      <c r="W14" s="632">
        <f t="shared" si="2"/>
        <v>100</v>
      </c>
      <c r="X14" s="1262"/>
      <c r="Y14" s="3661" t="s">
        <v>2029</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2"/>
      <c r="M15" s="2943"/>
      <c r="N15" s="2943"/>
      <c r="O15" s="2951"/>
      <c r="P15" s="3662"/>
      <c r="Q15" s="1261"/>
      <c r="R15" s="631"/>
      <c r="S15" s="632"/>
      <c r="T15" s="631"/>
      <c r="U15" s="632"/>
      <c r="V15" s="631"/>
      <c r="W15" s="632"/>
      <c r="X15" s="1262"/>
      <c r="Y15" s="3662"/>
      <c r="Z15" s="1263"/>
      <c r="AA15" s="1264">
        <v>1</v>
      </c>
      <c r="AB15" s="1264">
        <v>1</v>
      </c>
      <c r="AC15" s="1264">
        <v>1</v>
      </c>
    </row>
    <row r="16" spans="1:29" ht="42.75">
      <c r="A16" s="297"/>
      <c r="B16" s="513" t="s">
        <v>2144</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2"/>
      <c r="Q16" s="1261" t="str">
        <f>B16</f>
        <v>公共配套设施</v>
      </c>
      <c r="R16" s="631" t="s">
        <v>25</v>
      </c>
      <c r="S16" s="632">
        <f>F16</f>
        <v>100</v>
      </c>
      <c r="T16" s="631" t="s">
        <v>25</v>
      </c>
      <c r="U16" s="632">
        <f>H16</f>
        <v>100</v>
      </c>
      <c r="V16" s="631" t="s">
        <v>25</v>
      </c>
      <c r="W16" s="632">
        <f>J16</f>
        <v>100</v>
      </c>
      <c r="X16" s="1262"/>
      <c r="Y16" s="3662"/>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2"/>
      <c r="M17" s="2943"/>
      <c r="N17" s="2943"/>
      <c r="O17" s="2951"/>
      <c r="P17" s="3662"/>
      <c r="Q17" s="1261"/>
      <c r="R17" s="631"/>
      <c r="S17" s="632"/>
      <c r="T17" s="631"/>
      <c r="U17" s="632"/>
      <c r="V17" s="631"/>
      <c r="W17" s="632"/>
      <c r="X17" s="1262"/>
      <c r="Y17" s="3662"/>
      <c r="Z17" s="1263"/>
      <c r="AA17" s="1264">
        <v>1</v>
      </c>
      <c r="AB17" s="1264">
        <v>1</v>
      </c>
      <c r="AC17" s="1264">
        <v>1</v>
      </c>
    </row>
    <row r="18" spans="1:29" ht="28.5">
      <c r="A18" s="297"/>
      <c r="B18" s="515" t="s">
        <v>2145</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2"/>
      <c r="Q18" s="1261" t="str">
        <f>B18</f>
        <v>基础设施水平</v>
      </c>
      <c r="R18" s="631" t="s">
        <v>25</v>
      </c>
      <c r="S18" s="632">
        <f>F18</f>
        <v>100</v>
      </c>
      <c r="T18" s="631" t="s">
        <v>25</v>
      </c>
      <c r="U18" s="632">
        <f>H18</f>
        <v>100</v>
      </c>
      <c r="V18" s="631" t="s">
        <v>25</v>
      </c>
      <c r="W18" s="632">
        <f>J18</f>
        <v>100</v>
      </c>
      <c r="X18" s="1262"/>
      <c r="Y18" s="3662"/>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2"/>
      <c r="M19" s="2943"/>
      <c r="N19" s="2943"/>
      <c r="O19" s="2951"/>
      <c r="P19" s="3662"/>
      <c r="Q19" s="1261"/>
      <c r="R19" s="631"/>
      <c r="S19" s="632"/>
      <c r="T19" s="631"/>
      <c r="U19" s="632"/>
      <c r="V19" s="631"/>
      <c r="W19" s="632"/>
      <c r="X19" s="1262"/>
      <c r="Y19" s="3662"/>
      <c r="Z19" s="1263"/>
      <c r="AA19" s="1264">
        <v>1</v>
      </c>
      <c r="AB19" s="1264">
        <v>1</v>
      </c>
      <c r="AC19" s="1264">
        <v>1</v>
      </c>
    </row>
    <row r="20" spans="1:29" ht="57">
      <c r="A20" s="297"/>
      <c r="B20" s="513" t="s">
        <v>2167</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2"/>
      <c r="Q20" s="1261" t="str">
        <f>B20</f>
        <v>自然及人文环境</v>
      </c>
      <c r="R20" s="631" t="s">
        <v>25</v>
      </c>
      <c r="S20" s="632">
        <f>F20</f>
        <v>100</v>
      </c>
      <c r="T20" s="631" t="s">
        <v>25</v>
      </c>
      <c r="U20" s="632">
        <f>H20</f>
        <v>100</v>
      </c>
      <c r="V20" s="631" t="s">
        <v>25</v>
      </c>
      <c r="W20" s="632">
        <f>J20</f>
        <v>100</v>
      </c>
      <c r="X20" s="1262"/>
      <c r="Y20" s="3662"/>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2"/>
      <c r="M21" s="2943"/>
      <c r="N21" s="2943"/>
      <c r="O21" s="2951"/>
      <c r="P21" s="3662"/>
      <c r="Q21" s="1261"/>
      <c r="R21" s="631"/>
      <c r="S21" s="632"/>
      <c r="T21" s="631"/>
      <c r="U21" s="632"/>
      <c r="V21" s="631"/>
      <c r="W21" s="632"/>
      <c r="X21" s="1262"/>
      <c r="Y21" s="3662"/>
      <c r="Z21" s="1263"/>
      <c r="AA21" s="1264">
        <v>1</v>
      </c>
      <c r="AB21" s="1264">
        <v>1</v>
      </c>
      <c r="AC21" s="1264">
        <v>1</v>
      </c>
    </row>
    <row r="22" spans="1:29" ht="15">
      <c r="A22" s="297"/>
      <c r="B22" s="513" t="s">
        <v>2168</v>
      </c>
      <c r="C22" s="516"/>
      <c r="D22" s="1067">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2"/>
      <c r="Q22" s="1261" t="str">
        <f>B22</f>
        <v>楼层</v>
      </c>
      <c r="R22" s="631" t="s">
        <v>25</v>
      </c>
      <c r="S22" s="632">
        <f>F22</f>
        <v>100</v>
      </c>
      <c r="T22" s="631" t="s">
        <v>25</v>
      </c>
      <c r="U22" s="632">
        <f>H22</f>
        <v>100</v>
      </c>
      <c r="V22" s="631" t="s">
        <v>25</v>
      </c>
      <c r="W22" s="632">
        <f>J22</f>
        <v>100</v>
      </c>
      <c r="X22" s="1262"/>
      <c r="Y22" s="3662"/>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2"/>
      <c r="M23" s="2943"/>
      <c r="N23" s="2943"/>
      <c r="O23" s="2951"/>
      <c r="P23" s="3662"/>
      <c r="Q23" s="1261">
        <f>B23</f>
        <v>111</v>
      </c>
      <c r="R23" s="631" t="s">
        <v>25</v>
      </c>
      <c r="S23" s="632">
        <f>F23</f>
        <v>100</v>
      </c>
      <c r="T23" s="631" t="s">
        <v>25</v>
      </c>
      <c r="U23" s="632">
        <f>H23</f>
        <v>100</v>
      </c>
      <c r="V23" s="631" t="s">
        <v>25</v>
      </c>
      <c r="W23" s="632">
        <f>J23</f>
        <v>100</v>
      </c>
      <c r="X23" s="1262"/>
      <c r="Y23" s="3662"/>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2"/>
      <c r="M24" s="2943"/>
      <c r="N24" s="2943"/>
      <c r="O24" s="2951"/>
      <c r="P24" s="3662"/>
      <c r="Q24" s="1261">
        <f t="shared" ref="Q24:Q36" si="11">B24</f>
        <v>111</v>
      </c>
      <c r="R24" s="631" t="s">
        <v>25</v>
      </c>
      <c r="S24" s="632">
        <f>F24</f>
        <v>100</v>
      </c>
      <c r="T24" s="631" t="s">
        <v>25</v>
      </c>
      <c r="U24" s="632">
        <f>H24</f>
        <v>100</v>
      </c>
      <c r="V24" s="631" t="s">
        <v>25</v>
      </c>
      <c r="W24" s="632">
        <f>J24</f>
        <v>100</v>
      </c>
      <c r="X24" s="1262"/>
      <c r="Y24" s="3662"/>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2"/>
      <c r="Q25" s="1254">
        <f t="shared" si="11"/>
        <v>111</v>
      </c>
      <c r="R25" s="627" t="s">
        <v>25</v>
      </c>
      <c r="S25" s="628">
        <f>F25</f>
        <v>100</v>
      </c>
      <c r="T25" s="627" t="s">
        <v>25</v>
      </c>
      <c r="U25" s="628">
        <f>H25</f>
        <v>100</v>
      </c>
      <c r="V25" s="627" t="s">
        <v>25</v>
      </c>
      <c r="W25" s="628">
        <f>J25</f>
        <v>100</v>
      </c>
      <c r="X25" s="629"/>
      <c r="Y25" s="3662"/>
      <c r="Z25" s="19">
        <f>Q25</f>
        <v>111</v>
      </c>
      <c r="AA25" s="1264">
        <f>D25/F25</f>
        <v>1</v>
      </c>
      <c r="AB25" s="1264">
        <f>D25/H25</f>
        <v>1</v>
      </c>
      <c r="AC25" s="1264">
        <f>D25/J25</f>
        <v>1</v>
      </c>
    </row>
    <row r="26" spans="1:29" ht="28.5">
      <c r="A26" s="533" t="s">
        <v>2033</v>
      </c>
      <c r="B26" s="23" t="s">
        <v>2169</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49" t="s">
        <v>2035</v>
      </c>
      <c r="Q26" s="1261" t="str">
        <f t="shared" si="11"/>
        <v>配套类型</v>
      </c>
      <c r="R26" s="631" t="s">
        <v>25</v>
      </c>
      <c r="S26" s="632">
        <f t="shared" ref="S26:S36" si="12">F26</f>
        <v>100</v>
      </c>
      <c r="T26" s="631" t="s">
        <v>25</v>
      </c>
      <c r="U26" s="632">
        <f t="shared" ref="U26:U36" si="13">H26</f>
        <v>100</v>
      </c>
      <c r="V26" s="631" t="s">
        <v>25</v>
      </c>
      <c r="W26" s="632">
        <f t="shared" ref="W26:W36" si="14">J26</f>
        <v>100</v>
      </c>
      <c r="X26" s="1262"/>
      <c r="Y26" s="3650" t="s">
        <v>2035</v>
      </c>
      <c r="Z26" s="1263" t="str">
        <f t="shared" ref="Z26:Z36" si="15">Q26</f>
        <v>配套类型</v>
      </c>
      <c r="AA26" s="1264">
        <f t="shared" si="3"/>
        <v>1</v>
      </c>
      <c r="AB26" s="1264">
        <f t="shared" si="4"/>
        <v>1</v>
      </c>
      <c r="AC26" s="1264">
        <f t="shared" si="5"/>
        <v>1</v>
      </c>
    </row>
    <row r="27" spans="1:29" s="359" customFormat="1" ht="15">
      <c r="A27" s="534"/>
      <c r="B27" s="535" t="s">
        <v>2170</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50"/>
      <c r="Q27" s="633" t="str">
        <f t="shared" si="11"/>
        <v>项目停车位配比</v>
      </c>
      <c r="R27" s="634" t="s">
        <v>25</v>
      </c>
      <c r="S27" s="635">
        <f t="shared" si="12"/>
        <v>100</v>
      </c>
      <c r="T27" s="634" t="s">
        <v>25</v>
      </c>
      <c r="U27" s="635">
        <f t="shared" si="13"/>
        <v>100</v>
      </c>
      <c r="V27" s="634" t="s">
        <v>25</v>
      </c>
      <c r="W27" s="635">
        <f t="shared" si="14"/>
        <v>100</v>
      </c>
      <c r="X27" s="636"/>
      <c r="Y27" s="3650"/>
      <c r="Z27" s="637" t="str">
        <f t="shared" si="15"/>
        <v>项目停车位配比</v>
      </c>
      <c r="AA27" s="1264">
        <f t="shared" si="3"/>
        <v>1</v>
      </c>
      <c r="AB27" s="1264">
        <f t="shared" si="4"/>
        <v>1</v>
      </c>
      <c r="AC27" s="1264">
        <f t="shared" si="5"/>
        <v>1</v>
      </c>
    </row>
    <row r="28" spans="1:29" ht="15">
      <c r="A28" s="537"/>
      <c r="B28" s="535" t="s">
        <v>2171</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50"/>
      <c r="Q28" s="1261" t="str">
        <f t="shared" si="11"/>
        <v>公共部分装修</v>
      </c>
      <c r="R28" s="631" t="s">
        <v>25</v>
      </c>
      <c r="S28" s="632">
        <f t="shared" si="12"/>
        <v>100</v>
      </c>
      <c r="T28" s="631" t="s">
        <v>25</v>
      </c>
      <c r="U28" s="632">
        <f t="shared" si="13"/>
        <v>100</v>
      </c>
      <c r="V28" s="631" t="s">
        <v>25</v>
      </c>
      <c r="W28" s="632">
        <f t="shared" si="14"/>
        <v>100</v>
      </c>
      <c r="X28" s="1262"/>
      <c r="Y28" s="3650"/>
      <c r="Z28" s="1263" t="str">
        <f t="shared" si="15"/>
        <v>公共部分装修</v>
      </c>
      <c r="AA28" s="1264">
        <f t="shared" si="3"/>
        <v>1</v>
      </c>
      <c r="AB28" s="1264">
        <f t="shared" si="4"/>
        <v>1</v>
      </c>
      <c r="AC28" s="1264">
        <f t="shared" si="5"/>
        <v>1</v>
      </c>
    </row>
    <row r="29" spans="1:29" ht="15">
      <c r="A29" s="537"/>
      <c r="B29" s="535" t="s">
        <v>2172</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50"/>
      <c r="Q29" s="1261" t="str">
        <f t="shared" si="11"/>
        <v>成新率</v>
      </c>
      <c r="R29" s="631" t="s">
        <v>25</v>
      </c>
      <c r="S29" s="632" t="e">
        <f t="shared" si="12"/>
        <v>#N/A</v>
      </c>
      <c r="T29" s="631" t="s">
        <v>25</v>
      </c>
      <c r="U29" s="632" t="e">
        <f t="shared" si="13"/>
        <v>#N/A</v>
      </c>
      <c r="V29" s="631" t="s">
        <v>25</v>
      </c>
      <c r="W29" s="632" t="e">
        <f t="shared" si="14"/>
        <v>#N/A</v>
      </c>
      <c r="X29" s="1262"/>
      <c r="Y29" s="3650"/>
      <c r="Z29" s="1263" t="str">
        <f t="shared" si="15"/>
        <v>成新率</v>
      </c>
      <c r="AA29" s="1264" t="e">
        <f t="shared" si="3"/>
        <v>#N/A</v>
      </c>
      <c r="AB29" s="1264" t="e">
        <f t="shared" si="4"/>
        <v>#N/A</v>
      </c>
      <c r="AC29" s="1264" t="e">
        <f t="shared" si="5"/>
        <v>#N/A</v>
      </c>
    </row>
    <row r="30" spans="1:29" ht="15">
      <c r="A30" s="537"/>
      <c r="B30" s="535" t="s">
        <v>2173</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50"/>
      <c r="Q30" s="1261" t="str">
        <f t="shared" si="11"/>
        <v>物业等级</v>
      </c>
      <c r="R30" s="631" t="s">
        <v>25</v>
      </c>
      <c r="S30" s="632">
        <f t="shared" si="12"/>
        <v>100</v>
      </c>
      <c r="T30" s="631" t="s">
        <v>25</v>
      </c>
      <c r="U30" s="632">
        <f t="shared" si="13"/>
        <v>100</v>
      </c>
      <c r="V30" s="631" t="s">
        <v>25</v>
      </c>
      <c r="W30" s="632">
        <f t="shared" si="14"/>
        <v>100</v>
      </c>
      <c r="X30" s="1262"/>
      <c r="Y30" s="3650"/>
      <c r="Z30" s="1263" t="str">
        <f t="shared" si="15"/>
        <v>物业等级</v>
      </c>
      <c r="AA30" s="1264">
        <f t="shared" si="3"/>
        <v>1</v>
      </c>
      <c r="AB30" s="1264">
        <f t="shared" si="4"/>
        <v>1</v>
      </c>
      <c r="AC30" s="1264">
        <f t="shared" si="5"/>
        <v>1</v>
      </c>
    </row>
    <row r="31" spans="1:29" s="25" customFormat="1" ht="15">
      <c r="A31" s="539"/>
      <c r="B31" s="535" t="s">
        <v>2174</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50"/>
      <c r="Q31" s="1254" t="str">
        <f t="shared" si="11"/>
        <v>停车位面积</v>
      </c>
      <c r="R31" s="627" t="s">
        <v>25</v>
      </c>
      <c r="S31" s="628" t="e">
        <f t="shared" si="12"/>
        <v>#N/A</v>
      </c>
      <c r="T31" s="627" t="s">
        <v>25</v>
      </c>
      <c r="U31" s="628" t="e">
        <f t="shared" si="13"/>
        <v>#N/A</v>
      </c>
      <c r="V31" s="627" t="s">
        <v>25</v>
      </c>
      <c r="W31" s="628" t="e">
        <f t="shared" si="14"/>
        <v>#N/A</v>
      </c>
      <c r="X31" s="629"/>
      <c r="Y31" s="3650"/>
      <c r="Z31" s="19" t="str">
        <f t="shared" si="15"/>
        <v>停车位面积</v>
      </c>
      <c r="AA31" s="630" t="e">
        <f t="shared" si="3"/>
        <v>#N/A</v>
      </c>
      <c r="AB31" s="630" t="e">
        <f t="shared" si="4"/>
        <v>#N/A</v>
      </c>
      <c r="AC31" s="630" t="e">
        <f t="shared" si="5"/>
        <v>#N/A</v>
      </c>
    </row>
    <row r="32" spans="1:29" ht="15">
      <c r="A32" s="537"/>
      <c r="B32" s="535" t="s">
        <v>2175</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50" t="s">
        <v>2035</v>
      </c>
      <c r="Q32" s="1261" t="str">
        <f t="shared" si="11"/>
        <v>车位类型</v>
      </c>
      <c r="R32" s="631" t="s">
        <v>25</v>
      </c>
      <c r="S32" s="632">
        <f t="shared" si="12"/>
        <v>100</v>
      </c>
      <c r="T32" s="631" t="s">
        <v>25</v>
      </c>
      <c r="U32" s="632">
        <f t="shared" si="13"/>
        <v>100</v>
      </c>
      <c r="V32" s="631" t="s">
        <v>25</v>
      </c>
      <c r="W32" s="632">
        <f t="shared" si="14"/>
        <v>100</v>
      </c>
      <c r="X32" s="1262"/>
      <c r="Y32" s="3650" t="s">
        <v>2035</v>
      </c>
      <c r="Z32" s="1263" t="str">
        <f t="shared" si="15"/>
        <v>车位类型</v>
      </c>
      <c r="AA32" s="1264">
        <f t="shared" si="3"/>
        <v>1</v>
      </c>
      <c r="AB32" s="1264">
        <f t="shared" si="4"/>
        <v>1</v>
      </c>
      <c r="AC32" s="1264">
        <f t="shared" si="5"/>
        <v>1</v>
      </c>
    </row>
    <row r="33" spans="1:29" ht="15">
      <c r="A33" s="537"/>
      <c r="B33" s="535" t="s">
        <v>2176</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50"/>
      <c r="Q33" s="1261" t="str">
        <f t="shared" si="11"/>
        <v>是否直接入户</v>
      </c>
      <c r="R33" s="631" t="s">
        <v>25</v>
      </c>
      <c r="S33" s="632">
        <f t="shared" si="12"/>
        <v>100</v>
      </c>
      <c r="T33" s="631" t="s">
        <v>25</v>
      </c>
      <c r="U33" s="632">
        <f t="shared" si="13"/>
        <v>100</v>
      </c>
      <c r="V33" s="631" t="s">
        <v>25</v>
      </c>
      <c r="W33" s="632">
        <f t="shared" si="14"/>
        <v>100</v>
      </c>
      <c r="X33" s="1262"/>
      <c r="Y33" s="3650"/>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50"/>
      <c r="Q34" s="1261">
        <f t="shared" si="11"/>
        <v>111</v>
      </c>
      <c r="R34" s="631" t="s">
        <v>25</v>
      </c>
      <c r="S34" s="632">
        <f t="shared" si="12"/>
        <v>100</v>
      </c>
      <c r="T34" s="631" t="s">
        <v>25</v>
      </c>
      <c r="U34" s="632">
        <f t="shared" si="13"/>
        <v>100</v>
      </c>
      <c r="V34" s="631" t="s">
        <v>25</v>
      </c>
      <c r="W34" s="632">
        <f t="shared" si="14"/>
        <v>100</v>
      </c>
      <c r="X34" s="1262"/>
      <c r="Y34" s="3650"/>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50"/>
      <c r="Q35" s="633">
        <f t="shared" si="11"/>
        <v>111</v>
      </c>
      <c r="R35" s="634" t="s">
        <v>25</v>
      </c>
      <c r="S35" s="635">
        <f t="shared" si="12"/>
        <v>100</v>
      </c>
      <c r="T35" s="634" t="s">
        <v>25</v>
      </c>
      <c r="U35" s="635">
        <f t="shared" si="13"/>
        <v>100</v>
      </c>
      <c r="V35" s="634" t="s">
        <v>25</v>
      </c>
      <c r="W35" s="635">
        <f t="shared" si="14"/>
        <v>100</v>
      </c>
      <c r="X35" s="636"/>
      <c r="Y35" s="3650"/>
      <c r="Z35" s="637">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50"/>
      <c r="Q36" s="1261">
        <f t="shared" si="11"/>
        <v>111</v>
      </c>
      <c r="R36" s="631" t="s">
        <v>25</v>
      </c>
      <c r="S36" s="632">
        <f t="shared" si="12"/>
        <v>100</v>
      </c>
      <c r="T36" s="631" t="s">
        <v>25</v>
      </c>
      <c r="U36" s="632">
        <f t="shared" si="13"/>
        <v>100</v>
      </c>
      <c r="V36" s="631" t="s">
        <v>25</v>
      </c>
      <c r="W36" s="632">
        <f t="shared" si="14"/>
        <v>100</v>
      </c>
      <c r="X36" s="1262"/>
      <c r="Y36" s="3650"/>
      <c r="Z36" s="1263">
        <f t="shared" si="15"/>
        <v>111</v>
      </c>
      <c r="AA36" s="1264">
        <f t="shared" si="3"/>
        <v>1</v>
      </c>
      <c r="AB36" s="1264">
        <f t="shared" si="4"/>
        <v>1</v>
      </c>
      <c r="AC36" s="1264">
        <f t="shared" si="5"/>
        <v>1</v>
      </c>
    </row>
    <row r="37" spans="1:29" ht="15">
      <c r="A37" s="367" t="s">
        <v>2177</v>
      </c>
      <c r="B37" s="798" t="s">
        <v>2178</v>
      </c>
      <c r="C37" s="1081" t="s">
        <v>1</v>
      </c>
      <c r="D37" s="1082"/>
      <c r="E37" s="1083"/>
      <c r="F37" s="1084"/>
      <c r="G37" s="1085"/>
      <c r="H37" s="1086"/>
      <c r="I37" s="1083"/>
      <c r="J37" s="1086"/>
      <c r="K37" s="503"/>
      <c r="L37" s="2954"/>
      <c r="N37" s="2943"/>
      <c r="P37" s="3644" t="str">
        <f>A37</f>
        <v>成交单价</v>
      </c>
      <c r="Q37" s="3644"/>
      <c r="R37" s="3645">
        <f>E37</f>
        <v>0</v>
      </c>
      <c r="S37" s="3645"/>
      <c r="T37" s="3645">
        <f>G37</f>
        <v>0</v>
      </c>
      <c r="U37" s="3645"/>
      <c r="V37" s="3645">
        <f>I37</f>
        <v>0</v>
      </c>
      <c r="W37" s="3645"/>
      <c r="X37" s="618"/>
      <c r="Y37" s="638"/>
      <c r="Z37" s="618"/>
      <c r="AA37" s="618"/>
      <c r="AB37" s="618"/>
      <c r="AC37" s="618"/>
    </row>
    <row r="38" spans="1:29" ht="15.75" thickBot="1">
      <c r="A38" s="374" t="s">
        <v>2179</v>
      </c>
      <c r="B38" s="375" t="str">
        <f>B37</f>
        <v>元/平方米</v>
      </c>
      <c r="C38" s="1087" t="e">
        <f>R39</f>
        <v>#DIV/0!</v>
      </c>
      <c r="D38" s="1724" t="s">
        <v>2501</v>
      </c>
      <c r="E38" s="1088" t="e">
        <f>R38</f>
        <v>#DIV/0!</v>
      </c>
      <c r="F38" s="1726"/>
      <c r="G38" s="1087" t="e">
        <f>T38</f>
        <v>#DIV/0!</v>
      </c>
      <c r="H38" s="1726"/>
      <c r="I38" s="1088" t="e">
        <f>V38</f>
        <v>#DIV/0!</v>
      </c>
      <c r="J38" s="1726"/>
      <c r="K38" s="2428">
        <f>F38+H38+J38</f>
        <v>0</v>
      </c>
      <c r="L38" s="2954"/>
      <c r="P38" s="3644" t="str">
        <f>A38</f>
        <v>比较价值</v>
      </c>
      <c r="Q38" s="3644"/>
      <c r="R38" s="3645" t="e">
        <f>IF(E1="售价",ROUND(PRODUCT(R37,AA7:AA36),0),ROUND(PRODUCT(R37,AA7:AA36),1))</f>
        <v>#DIV/0!</v>
      </c>
      <c r="S38" s="3645"/>
      <c r="T38" s="3645" t="e">
        <f>IF(E1="售价",ROUND(PRODUCT(T37,AB7:AB36),0),ROUND(PRODUCT(T37,AB7:AB36),1))</f>
        <v>#DIV/0!</v>
      </c>
      <c r="U38" s="3645"/>
      <c r="V38" s="3645" t="e">
        <f>IF(E1="售价",ROUND(PRODUCT(V37,AC7:AC36),0),ROUND(PRODUCT(V37,AC7:AC36),1))</f>
        <v>#DIV/0!</v>
      </c>
      <c r="W38" s="3645"/>
      <c r="X38" s="618"/>
      <c r="Y38" s="618"/>
      <c r="Z38" s="618"/>
      <c r="AA38" s="618"/>
      <c r="AB38" s="618"/>
      <c r="AC38" s="618"/>
    </row>
    <row r="39" spans="1:29" ht="15.75" thickBot="1">
      <c r="A39" s="378" t="s">
        <v>2180</v>
      </c>
      <c r="B39" s="379"/>
      <c r="C39" s="1089" t="e">
        <f>R39</f>
        <v>#DIV/0!</v>
      </c>
      <c r="D39" s="1089"/>
      <c r="E39" s="1089"/>
      <c r="F39" s="1089"/>
      <c r="G39" s="1089"/>
      <c r="H39" s="1089"/>
      <c r="I39" s="1089"/>
      <c r="J39" s="1089"/>
      <c r="K39" s="504"/>
      <c r="L39" s="2954"/>
      <c r="P39" s="3646" t="str">
        <f>A39</f>
        <v>估价对象XX用房的比较价值（楼面单价，元/平方米）</v>
      </c>
      <c r="Q39" s="3647"/>
      <c r="R39" s="3648" t="e">
        <f>IF(E1="售价",ROUND(IF(D38="简单平均",AVERAGE(R38:W38),R38*F38+T38*H38+V38*J38),0),ROUND(IF(D38="简单平均",AVERAGE(R38:V38),R38*F38+T38*H38+V38*J38),1))</f>
        <v>#DIV/0!</v>
      </c>
      <c r="S39" s="3648"/>
      <c r="T39" s="3648"/>
      <c r="U39" s="3648"/>
      <c r="V39" s="3648"/>
      <c r="W39" s="3648"/>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1" t="s">
        <v>2184</v>
      </c>
      <c r="B47" s="913"/>
      <c r="C47" s="921"/>
      <c r="D47" s="921"/>
      <c r="E47" s="921"/>
      <c r="F47" s="1092"/>
      <c r="G47" s="1092"/>
      <c r="H47" s="921"/>
      <c r="I47" s="921"/>
      <c r="J47" s="921"/>
      <c r="K47" s="919"/>
      <c r="L47" s="624"/>
      <c r="M47" s="621"/>
      <c r="N47" s="621"/>
      <c r="O47" s="621"/>
      <c r="P47" s="621"/>
      <c r="Q47" s="1090"/>
      <c r="R47" s="618"/>
      <c r="S47" s="618"/>
      <c r="T47" s="618"/>
      <c r="U47" s="618"/>
      <c r="V47" s="618"/>
      <c r="W47" s="618"/>
      <c r="X47" s="618"/>
      <c r="Y47" s="618"/>
      <c r="Z47" s="618"/>
      <c r="AA47" s="618"/>
      <c r="AB47" s="618"/>
      <c r="AC47" s="618"/>
    </row>
    <row r="48" spans="1:29" s="394" customFormat="1" ht="15">
      <c r="A48" s="391" t="s">
        <v>2185</v>
      </c>
      <c r="B48" s="392"/>
      <c r="C48" s="1115" t="str">
        <f>YEAR(C7)&amp;"-"&amp;MONTH(C7)</f>
        <v>2022-12</v>
      </c>
      <c r="D48" s="1116">
        <f>EDATE(C48,-1)</f>
        <v>44866</v>
      </c>
      <c r="E48" s="1116">
        <f t="shared" ref="E48:O48" si="16">EDATE(D48,-1)</f>
        <v>44835</v>
      </c>
      <c r="F48" s="1116">
        <f t="shared" si="16"/>
        <v>44805</v>
      </c>
      <c r="G48" s="1116">
        <f t="shared" si="16"/>
        <v>44774</v>
      </c>
      <c r="H48" s="1116">
        <f t="shared" si="16"/>
        <v>44743</v>
      </c>
      <c r="I48" s="1116">
        <f t="shared" si="16"/>
        <v>44713</v>
      </c>
      <c r="J48" s="1116">
        <f t="shared" si="16"/>
        <v>44682</v>
      </c>
      <c r="K48" s="1116">
        <f t="shared" si="16"/>
        <v>44652</v>
      </c>
      <c r="L48" s="1116">
        <f t="shared" si="16"/>
        <v>44621</v>
      </c>
      <c r="M48" s="1116">
        <f t="shared" si="16"/>
        <v>44593</v>
      </c>
      <c r="N48" s="1116">
        <f t="shared" si="16"/>
        <v>44562</v>
      </c>
      <c r="O48" s="1116">
        <f t="shared" si="16"/>
        <v>44531</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2055</v>
      </c>
      <c r="B50" s="401"/>
      <c r="C50" s="402"/>
      <c r="D50" s="403"/>
      <c r="E50" s="403"/>
      <c r="F50" s="403"/>
      <c r="G50" s="403"/>
      <c r="H50" s="403"/>
      <c r="I50" s="403"/>
      <c r="J50" s="403"/>
      <c r="K50" s="403"/>
      <c r="L50" s="403"/>
      <c r="M50" s="404"/>
      <c r="N50" s="403"/>
      <c r="O50" s="405"/>
      <c r="P50" s="390"/>
      <c r="Q50" s="390"/>
    </row>
    <row r="51" spans="1:17" s="25" customFormat="1" ht="15">
      <c r="A51" s="406" t="s">
        <v>2019</v>
      </c>
      <c r="B51" s="396"/>
      <c r="C51" s="407" t="s">
        <v>2020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2058</v>
      </c>
      <c r="B53" s="413" t="s">
        <v>2023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2026</v>
      </c>
      <c r="C55" s="426" t="s">
        <v>2059</v>
      </c>
      <c r="D55" s="426" t="s">
        <v>2060</v>
      </c>
      <c r="E55" s="426" t="s">
        <v>2061</v>
      </c>
      <c r="F55" s="426" t="s">
        <v>2062</v>
      </c>
      <c r="G55" s="426" t="s">
        <v>2063</v>
      </c>
      <c r="H55" s="426" t="s">
        <v>2064</v>
      </c>
      <c r="I55" s="426" t="s">
        <v>2065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2028</v>
      </c>
      <c r="B63" s="413" t="s">
        <v>2072</v>
      </c>
      <c r="C63" s="461" t="s">
        <v>2067</v>
      </c>
      <c r="D63" s="461" t="s">
        <v>2068</v>
      </c>
      <c r="E63" s="461" t="s">
        <v>2069</v>
      </c>
      <c r="F63" s="461" t="s">
        <v>2070</v>
      </c>
      <c r="G63" s="461" t="s">
        <v>2071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2073</v>
      </c>
      <c r="C65" s="466" t="s">
        <v>2067</v>
      </c>
      <c r="D65" s="466" t="s">
        <v>2068</v>
      </c>
      <c r="E65" s="466" t="s">
        <v>2069</v>
      </c>
      <c r="F65" s="466" t="s">
        <v>2070</v>
      </c>
      <c r="G65" s="466" t="s">
        <v>2071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2145</v>
      </c>
      <c r="C67" s="426" t="s">
        <v>2074</v>
      </c>
      <c r="D67" s="426" t="s">
        <v>2075</v>
      </c>
      <c r="E67" s="426" t="s">
        <v>2076</v>
      </c>
      <c r="F67" s="426" t="s">
        <v>2077</v>
      </c>
      <c r="G67" s="426" t="s">
        <v>2078</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2079</v>
      </c>
      <c r="C69" s="466" t="s">
        <v>2067</v>
      </c>
      <c r="D69" s="466" t="s">
        <v>2068</v>
      </c>
      <c r="E69" s="466" t="s">
        <v>2069</v>
      </c>
      <c r="F69" s="466" t="s">
        <v>2070</v>
      </c>
      <c r="G69" s="466" t="s">
        <v>2071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2033</v>
      </c>
      <c r="B79" s="413" t="s">
        <v>2187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2189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2164</v>
      </c>
      <c r="B1" s="1509"/>
      <c r="C1" s="1149"/>
      <c r="D1" s="1159"/>
      <c r="E1" s="1486" t="s">
        <v>2502</v>
      </c>
      <c r="F1" s="1160" t="s">
        <v>2002</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1674</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2003</v>
      </c>
      <c r="D3" s="292">
        <f>IF(C1="仅计算典型户型",'数据-取费表'!E5,'数据-取费表'!B5)</f>
        <v>900.27</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7" t="s">
        <v>2005</v>
      </c>
      <c r="D4" s="3668"/>
      <c r="E4" s="3669" t="s">
        <v>2006</v>
      </c>
      <c r="F4" s="3670"/>
      <c r="G4" s="3667" t="s">
        <v>2007</v>
      </c>
      <c r="H4" s="3668"/>
      <c r="I4" s="3667" t="s">
        <v>2008</v>
      </c>
      <c r="J4" s="3668"/>
      <c r="K4" s="496" t="s">
        <v>2009</v>
      </c>
      <c r="L4" s="2942"/>
      <c r="M4" s="2943"/>
      <c r="N4" s="2943"/>
      <c r="O4" s="2943"/>
      <c r="P4" s="3671" t="s">
        <v>2010</v>
      </c>
      <c r="Q4" s="3672"/>
      <c r="R4" s="3654" t="s">
        <v>2006</v>
      </c>
      <c r="S4" s="3655"/>
      <c r="T4" s="3654" t="s">
        <v>2007</v>
      </c>
      <c r="U4" s="3655"/>
      <c r="V4" s="3677" t="s">
        <v>2008</v>
      </c>
      <c r="W4" s="3677"/>
      <c r="X4" s="1262"/>
      <c r="Y4" s="3654" t="s">
        <v>2010</v>
      </c>
      <c r="Z4" s="3655"/>
      <c r="AA4" s="3664" t="s">
        <v>2006</v>
      </c>
      <c r="AB4" s="3665" t="s">
        <v>2007</v>
      </c>
      <c r="AC4" s="3664" t="s">
        <v>2008</v>
      </c>
    </row>
    <row r="5" spans="1:29" ht="15">
      <c r="A5" s="297"/>
      <c r="B5" s="298"/>
      <c r="C5" s="3680" t="s">
        <v>2011</v>
      </c>
      <c r="D5" s="3681"/>
      <c r="E5" s="3678" t="s">
        <v>2012</v>
      </c>
      <c r="F5" s="3679"/>
      <c r="G5" s="3680" t="s">
        <v>2013</v>
      </c>
      <c r="H5" s="3681"/>
      <c r="I5" s="3680" t="s">
        <v>2014</v>
      </c>
      <c r="J5" s="3681"/>
      <c r="K5" s="496"/>
      <c r="L5" s="2942"/>
      <c r="M5" s="2943"/>
      <c r="N5" s="2943"/>
      <c r="O5" s="2943"/>
      <c r="P5" s="3673"/>
      <c r="Q5" s="3674"/>
      <c r="R5" s="3656"/>
      <c r="S5" s="3657"/>
      <c r="T5" s="3656"/>
      <c r="U5" s="3657"/>
      <c r="V5" s="3677"/>
      <c r="W5" s="3677"/>
      <c r="X5" s="1262"/>
      <c r="Y5" s="3656"/>
      <c r="Z5" s="3657"/>
      <c r="AA5" s="3665"/>
      <c r="AB5" s="3665"/>
      <c r="AC5" s="3665"/>
    </row>
    <row r="6" spans="1:29" ht="15.75" thickBot="1">
      <c r="A6" s="299"/>
      <c r="B6" s="300"/>
      <c r="C6" s="3682" t="s">
        <v>2015</v>
      </c>
      <c r="D6" s="3683"/>
      <c r="E6" s="3684" t="s">
        <v>2015</v>
      </c>
      <c r="F6" s="3685"/>
      <c r="G6" s="3682" t="s">
        <v>2015</v>
      </c>
      <c r="H6" s="3683"/>
      <c r="I6" s="3682" t="s">
        <v>2015</v>
      </c>
      <c r="J6" s="3683"/>
      <c r="K6" s="496" t="s">
        <v>2016</v>
      </c>
      <c r="L6" s="2942"/>
      <c r="M6" s="2943"/>
      <c r="N6" s="2943"/>
      <c r="O6" s="2943"/>
      <c r="P6" s="3675"/>
      <c r="Q6" s="3676"/>
      <c r="R6" s="3656"/>
      <c r="S6" s="3657"/>
      <c r="T6" s="3658"/>
      <c r="U6" s="3659"/>
      <c r="V6" s="3677"/>
      <c r="W6" s="3677"/>
      <c r="X6" s="1262"/>
      <c r="Y6" s="3658"/>
      <c r="Z6" s="3659"/>
      <c r="AA6" s="3666"/>
      <c r="AB6" s="3666"/>
      <c r="AC6" s="3666"/>
    </row>
    <row r="7" spans="1:29" s="25" customFormat="1" ht="15.75" thickBot="1">
      <c r="A7" s="301" t="s">
        <v>2017</v>
      </c>
      <c r="B7" s="302"/>
      <c r="C7" s="303">
        <f>'数据-取费表'!B2</f>
        <v>44908</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52" t="s">
        <v>2018</v>
      </c>
      <c r="Q7" s="3660"/>
      <c r="R7" s="627" t="s">
        <v>25</v>
      </c>
      <c r="S7" s="628">
        <f t="shared" ref="S7:S14" si="0">F7</f>
        <v>0</v>
      </c>
      <c r="T7" s="627" t="s">
        <v>25</v>
      </c>
      <c r="U7" s="628">
        <f t="shared" ref="U7:U14" si="1">H7</f>
        <v>0</v>
      </c>
      <c r="V7" s="627" t="s">
        <v>25</v>
      </c>
      <c r="W7" s="628">
        <f t="shared" ref="W7:W14" si="2">J7</f>
        <v>0</v>
      </c>
      <c r="X7" s="629"/>
      <c r="Y7" s="3652" t="s">
        <v>2018</v>
      </c>
      <c r="Z7" s="3653"/>
      <c r="AA7" s="630" t="e">
        <f>D7/F7</f>
        <v>#DIV/0!</v>
      </c>
      <c r="AB7" s="630" t="e">
        <f>D7/H7</f>
        <v>#DIV/0!</v>
      </c>
      <c r="AC7" s="630" t="e">
        <f>D7/J7</f>
        <v>#DIV/0!</v>
      </c>
    </row>
    <row r="8" spans="1:29" s="25" customFormat="1" ht="15.75" thickBot="1">
      <c r="A8" s="301" t="s">
        <v>2019</v>
      </c>
      <c r="B8" s="302"/>
      <c r="C8" s="307" t="s">
        <v>2020</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52" t="s">
        <v>2021</v>
      </c>
      <c r="Q8" s="3653"/>
      <c r="R8" s="627" t="s">
        <v>25</v>
      </c>
      <c r="S8" s="628">
        <f t="shared" si="0"/>
        <v>0</v>
      </c>
      <c r="T8" s="627" t="s">
        <v>25</v>
      </c>
      <c r="U8" s="628">
        <f t="shared" si="1"/>
        <v>0</v>
      </c>
      <c r="V8" s="627" t="s">
        <v>25</v>
      </c>
      <c r="W8" s="628">
        <f t="shared" si="2"/>
        <v>0</v>
      </c>
      <c r="X8" s="629"/>
      <c r="Y8" s="3652" t="s">
        <v>2021</v>
      </c>
      <c r="Z8" s="3653"/>
      <c r="AA8" s="630" t="e">
        <f t="shared" ref="AA8:AA34" si="3">D8/F8</f>
        <v>#DIV/0!</v>
      </c>
      <c r="AB8" s="630" t="e">
        <f t="shared" ref="AB8:AB34" si="4">D8/H8</f>
        <v>#DIV/0!</v>
      </c>
      <c r="AC8" s="630" t="e">
        <f t="shared" ref="AC8:AC34" si="5">D8/J8</f>
        <v>#DIV/0!</v>
      </c>
    </row>
    <row r="9" spans="1:29" s="25" customFormat="1">
      <c r="A9" s="308" t="s">
        <v>2022</v>
      </c>
      <c r="B9" s="24" t="s">
        <v>2023</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4" t="s">
        <v>2024</v>
      </c>
      <c r="Q9" s="1254" t="str">
        <f t="shared" ref="Q9:Q14" si="6">B9</f>
        <v>用途</v>
      </c>
      <c r="R9" s="627" t="s">
        <v>25</v>
      </c>
      <c r="S9" s="628">
        <f t="shared" si="0"/>
        <v>100</v>
      </c>
      <c r="T9" s="627" t="s">
        <v>25</v>
      </c>
      <c r="U9" s="628">
        <f t="shared" si="1"/>
        <v>100</v>
      </c>
      <c r="V9" s="627" t="s">
        <v>25</v>
      </c>
      <c r="W9" s="628">
        <f t="shared" si="2"/>
        <v>100</v>
      </c>
      <c r="X9" s="629"/>
      <c r="Y9" s="3663" t="s">
        <v>2025</v>
      </c>
      <c r="Z9" s="19" t="str">
        <f t="shared" ref="Z9:Z14" si="7">Q9</f>
        <v>用途</v>
      </c>
      <c r="AA9" s="630">
        <f t="shared" si="3"/>
        <v>1</v>
      </c>
      <c r="AB9" s="630">
        <f t="shared" si="4"/>
        <v>1</v>
      </c>
      <c r="AC9" s="630">
        <f t="shared" si="5"/>
        <v>1</v>
      </c>
    </row>
    <row r="10" spans="1:29" s="317" customFormat="1" ht="27">
      <c r="A10" s="312"/>
      <c r="B10" s="313" t="s">
        <v>2026</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4"/>
      <c r="Q10" s="1254" t="str">
        <f t="shared" si="6"/>
        <v>土地使用年限（年）</v>
      </c>
      <c r="R10" s="627" t="s">
        <v>25</v>
      </c>
      <c r="S10" s="628">
        <f t="shared" si="0"/>
        <v>100</v>
      </c>
      <c r="T10" s="627" t="s">
        <v>25</v>
      </c>
      <c r="U10" s="628">
        <f t="shared" si="1"/>
        <v>100</v>
      </c>
      <c r="V10" s="627" t="s">
        <v>25</v>
      </c>
      <c r="W10" s="628">
        <f t="shared" si="2"/>
        <v>100</v>
      </c>
      <c r="X10" s="629"/>
      <c r="Y10" s="3663"/>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4"/>
      <c r="Q11" s="1254">
        <f t="shared" si="6"/>
        <v>111</v>
      </c>
      <c r="R11" s="627" t="s">
        <v>25</v>
      </c>
      <c r="S11" s="628">
        <f t="shared" si="0"/>
        <v>100</v>
      </c>
      <c r="T11" s="627" t="s">
        <v>25</v>
      </c>
      <c r="U11" s="628">
        <f t="shared" si="1"/>
        <v>100</v>
      </c>
      <c r="V11" s="627" t="s">
        <v>25</v>
      </c>
      <c r="W11" s="628">
        <f t="shared" si="2"/>
        <v>100</v>
      </c>
      <c r="X11" s="629"/>
      <c r="Y11" s="3663"/>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85.5">
      <c r="A14" s="329" t="s">
        <v>2028</v>
      </c>
      <c r="B14" s="22" t="s">
        <v>2166</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1" t="s">
        <v>2029</v>
      </c>
      <c r="Q14" s="1261" t="str">
        <f t="shared" si="6"/>
        <v>交通便捷度</v>
      </c>
      <c r="R14" s="631" t="s">
        <v>25</v>
      </c>
      <c r="S14" s="632">
        <f t="shared" si="0"/>
        <v>100</v>
      </c>
      <c r="T14" s="631" t="s">
        <v>25</v>
      </c>
      <c r="U14" s="632">
        <f t="shared" si="1"/>
        <v>100</v>
      </c>
      <c r="V14" s="631" t="s">
        <v>25</v>
      </c>
      <c r="W14" s="632">
        <f t="shared" si="2"/>
        <v>100</v>
      </c>
      <c r="X14" s="1262"/>
      <c r="Y14" s="3661" t="s">
        <v>2029</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2"/>
      <c r="M15" s="2943"/>
      <c r="N15" s="2943"/>
      <c r="O15" s="2951"/>
      <c r="P15" s="3662"/>
      <c r="Q15" s="1261"/>
      <c r="R15" s="631"/>
      <c r="S15" s="632"/>
      <c r="T15" s="631"/>
      <c r="U15" s="632"/>
      <c r="V15" s="631"/>
      <c r="W15" s="632"/>
      <c r="X15" s="1262"/>
      <c r="Y15" s="3662"/>
      <c r="Z15" s="1263"/>
      <c r="AA15" s="1264">
        <v>1</v>
      </c>
      <c r="AB15" s="1264">
        <v>1</v>
      </c>
      <c r="AC15" s="1264">
        <v>1</v>
      </c>
    </row>
    <row r="16" spans="1:29" ht="42.75">
      <c r="A16" s="318"/>
      <c r="B16" s="513" t="s">
        <v>2144</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2"/>
      <c r="Q16" s="1261" t="str">
        <f>B16</f>
        <v>公共配套设施</v>
      </c>
      <c r="R16" s="631" t="s">
        <v>25</v>
      </c>
      <c r="S16" s="632">
        <f>F16</f>
        <v>100</v>
      </c>
      <c r="T16" s="631" t="s">
        <v>25</v>
      </c>
      <c r="U16" s="632">
        <f>H16</f>
        <v>100</v>
      </c>
      <c r="V16" s="631" t="s">
        <v>25</v>
      </c>
      <c r="W16" s="632">
        <f>J16</f>
        <v>100</v>
      </c>
      <c r="X16" s="1262"/>
      <c r="Y16" s="3662"/>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2"/>
      <c r="M17" s="2943"/>
      <c r="N17" s="2943"/>
      <c r="O17" s="2951"/>
      <c r="P17" s="3662"/>
      <c r="Q17" s="1261"/>
      <c r="R17" s="631"/>
      <c r="S17" s="632"/>
      <c r="T17" s="631"/>
      <c r="U17" s="632"/>
      <c r="V17" s="631"/>
      <c r="W17" s="632"/>
      <c r="X17" s="1262"/>
      <c r="Y17" s="3662"/>
      <c r="Z17" s="1263"/>
      <c r="AA17" s="1264">
        <v>1</v>
      </c>
      <c r="AB17" s="1264">
        <v>1</v>
      </c>
      <c r="AC17" s="1264">
        <v>1</v>
      </c>
    </row>
    <row r="18" spans="1:29" ht="28.5">
      <c r="A18" s="318"/>
      <c r="B18" s="515" t="s">
        <v>2145</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2"/>
      <c r="Q18" s="1261" t="str">
        <f>B18</f>
        <v>基础设施水平</v>
      </c>
      <c r="R18" s="631" t="s">
        <v>25</v>
      </c>
      <c r="S18" s="632">
        <f>F18</f>
        <v>100</v>
      </c>
      <c r="T18" s="631" t="s">
        <v>25</v>
      </c>
      <c r="U18" s="632">
        <f>H18</f>
        <v>100</v>
      </c>
      <c r="V18" s="631" t="s">
        <v>25</v>
      </c>
      <c r="W18" s="632">
        <f>J18</f>
        <v>100</v>
      </c>
      <c r="X18" s="1262"/>
      <c r="Y18" s="3662"/>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2"/>
      <c r="M19" s="2943"/>
      <c r="N19" s="2943"/>
      <c r="O19" s="2951"/>
      <c r="P19" s="3662"/>
      <c r="Q19" s="1261"/>
      <c r="R19" s="631"/>
      <c r="S19" s="632"/>
      <c r="T19" s="631"/>
      <c r="U19" s="632"/>
      <c r="V19" s="631"/>
      <c r="W19" s="632"/>
      <c r="X19" s="1262"/>
      <c r="Y19" s="3662"/>
      <c r="Z19" s="1263"/>
      <c r="AA19" s="1264">
        <v>1</v>
      </c>
      <c r="AB19" s="1264">
        <v>1</v>
      </c>
      <c r="AC19" s="1264">
        <v>1</v>
      </c>
    </row>
    <row r="20" spans="1:29" ht="57">
      <c r="A20" s="318"/>
      <c r="B20" s="340" t="s">
        <v>2167</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2"/>
      <c r="Q20" s="1261" t="str">
        <f>B20</f>
        <v>自然及人文环境</v>
      </c>
      <c r="R20" s="631" t="s">
        <v>25</v>
      </c>
      <c r="S20" s="632">
        <f>F20</f>
        <v>100</v>
      </c>
      <c r="T20" s="631" t="s">
        <v>25</v>
      </c>
      <c r="U20" s="632">
        <f>H20</f>
        <v>100</v>
      </c>
      <c r="V20" s="631" t="s">
        <v>25</v>
      </c>
      <c r="W20" s="632">
        <f>J20</f>
        <v>100</v>
      </c>
      <c r="X20" s="1262"/>
      <c r="Y20" s="3662"/>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2"/>
      <c r="M21" s="2943"/>
      <c r="N21" s="2943"/>
      <c r="O21" s="2951"/>
      <c r="P21" s="3662"/>
      <c r="Q21" s="1261"/>
      <c r="R21" s="631"/>
      <c r="S21" s="632"/>
      <c r="T21" s="631"/>
      <c r="U21" s="632"/>
      <c r="V21" s="631"/>
      <c r="W21" s="632"/>
      <c r="X21" s="1262"/>
      <c r="Y21" s="3662"/>
      <c r="Z21" s="1263"/>
      <c r="AA21" s="1264">
        <v>1</v>
      </c>
      <c r="AB21" s="1264">
        <v>1</v>
      </c>
      <c r="AC21" s="1264">
        <v>1</v>
      </c>
    </row>
    <row r="22" spans="1:29" ht="15">
      <c r="A22" s="318"/>
      <c r="B22" s="340" t="s">
        <v>2168</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2"/>
      <c r="Q22" s="1261" t="str">
        <f>B22</f>
        <v>楼层</v>
      </c>
      <c r="R22" s="631" t="s">
        <v>25</v>
      </c>
      <c r="S22" s="632">
        <f>F22</f>
        <v>100</v>
      </c>
      <c r="T22" s="631" t="s">
        <v>25</v>
      </c>
      <c r="U22" s="632">
        <f>H22</f>
        <v>100</v>
      </c>
      <c r="V22" s="631" t="s">
        <v>25</v>
      </c>
      <c r="W22" s="632">
        <f>J22</f>
        <v>100</v>
      </c>
      <c r="X22" s="1262"/>
      <c r="Y22" s="3662"/>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2"/>
      <c r="Q23" s="1261">
        <f>B23</f>
        <v>111</v>
      </c>
      <c r="R23" s="631" t="s">
        <v>25</v>
      </c>
      <c r="S23" s="632">
        <f>F23</f>
        <v>100</v>
      </c>
      <c r="T23" s="631" t="s">
        <v>25</v>
      </c>
      <c r="U23" s="632">
        <f>H23</f>
        <v>100</v>
      </c>
      <c r="V23" s="631" t="s">
        <v>25</v>
      </c>
      <c r="W23" s="632">
        <f>J23</f>
        <v>100</v>
      </c>
      <c r="X23" s="1262"/>
      <c r="Y23" s="3662"/>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2"/>
      <c r="Q24" s="1261">
        <f t="shared" ref="Q24:Q34" si="11">B24</f>
        <v>111</v>
      </c>
      <c r="R24" s="631" t="s">
        <v>25</v>
      </c>
      <c r="S24" s="632">
        <f>F24</f>
        <v>100</v>
      </c>
      <c r="T24" s="631" t="s">
        <v>25</v>
      </c>
      <c r="U24" s="632">
        <f>H24</f>
        <v>100</v>
      </c>
      <c r="V24" s="631" t="s">
        <v>25</v>
      </c>
      <c r="W24" s="632">
        <f>J24</f>
        <v>100</v>
      </c>
      <c r="X24" s="1262"/>
      <c r="Y24" s="3662"/>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62"/>
      <c r="Q25" s="1254">
        <f t="shared" si="11"/>
        <v>111</v>
      </c>
      <c r="R25" s="627" t="s">
        <v>25</v>
      </c>
      <c r="S25" s="628">
        <f>F25</f>
        <v>100</v>
      </c>
      <c r="T25" s="627" t="s">
        <v>25</v>
      </c>
      <c r="U25" s="628">
        <f>H25</f>
        <v>100</v>
      </c>
      <c r="V25" s="627" t="s">
        <v>25</v>
      </c>
      <c r="W25" s="628">
        <f>J25</f>
        <v>100</v>
      </c>
      <c r="X25" s="629"/>
      <c r="Y25" s="3662"/>
      <c r="Z25" s="19">
        <f>Q25</f>
        <v>111</v>
      </c>
      <c r="AA25" s="1264">
        <f>D25/F25</f>
        <v>1</v>
      </c>
      <c r="AB25" s="1264">
        <f>D25/H25</f>
        <v>1</v>
      </c>
      <c r="AC25" s="1264">
        <f>D25/J25</f>
        <v>1</v>
      </c>
    </row>
    <row r="26" spans="1:29" ht="28.5">
      <c r="A26" s="354" t="s">
        <v>2033</v>
      </c>
      <c r="B26" s="24" t="s">
        <v>2171</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49" t="s">
        <v>2035</v>
      </c>
      <c r="Q26" s="1261" t="str">
        <f t="shared" si="11"/>
        <v>公共部分装修</v>
      </c>
      <c r="R26" s="631" t="s">
        <v>25</v>
      </c>
      <c r="S26" s="632">
        <f t="shared" ref="S26:S34" si="12">F26</f>
        <v>100</v>
      </c>
      <c r="T26" s="631" t="s">
        <v>25</v>
      </c>
      <c r="U26" s="632">
        <f t="shared" ref="U26:U34" si="13">H26</f>
        <v>100</v>
      </c>
      <c r="V26" s="631" t="s">
        <v>25</v>
      </c>
      <c r="W26" s="632">
        <f t="shared" ref="W26:W34" si="14">J26</f>
        <v>100</v>
      </c>
      <c r="X26" s="1262"/>
      <c r="Y26" s="3650" t="s">
        <v>2035</v>
      </c>
      <c r="Z26" s="1263" t="str">
        <f t="shared" ref="Z26:Z34" si="15">Q26</f>
        <v>公共部分装修</v>
      </c>
      <c r="AA26" s="1264">
        <f t="shared" si="3"/>
        <v>1</v>
      </c>
      <c r="AB26" s="1264">
        <f t="shared" si="4"/>
        <v>1</v>
      </c>
      <c r="AC26" s="1264">
        <f t="shared" si="5"/>
        <v>1</v>
      </c>
    </row>
    <row r="27" spans="1:29" s="359" customFormat="1" ht="15">
      <c r="A27" s="356"/>
      <c r="B27" s="313" t="s">
        <v>2172</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50"/>
      <c r="Q27" s="633" t="str">
        <f t="shared" si="11"/>
        <v>成新率</v>
      </c>
      <c r="R27" s="634" t="s">
        <v>25</v>
      </c>
      <c r="S27" s="635" t="e">
        <f t="shared" si="12"/>
        <v>#N/A</v>
      </c>
      <c r="T27" s="634" t="s">
        <v>25</v>
      </c>
      <c r="U27" s="635" t="e">
        <f t="shared" si="13"/>
        <v>#N/A</v>
      </c>
      <c r="V27" s="634" t="s">
        <v>25</v>
      </c>
      <c r="W27" s="635" t="e">
        <f t="shared" si="14"/>
        <v>#N/A</v>
      </c>
      <c r="X27" s="636"/>
      <c r="Y27" s="3650"/>
      <c r="Z27" s="637" t="str">
        <f t="shared" si="15"/>
        <v>成新率</v>
      </c>
      <c r="AA27" s="1264" t="e">
        <f t="shared" si="3"/>
        <v>#N/A</v>
      </c>
      <c r="AB27" s="1264" t="e">
        <f t="shared" si="4"/>
        <v>#N/A</v>
      </c>
      <c r="AC27" s="1264" t="e">
        <f t="shared" si="5"/>
        <v>#N/A</v>
      </c>
    </row>
    <row r="28" spans="1:29" ht="15">
      <c r="A28" s="360"/>
      <c r="B28" s="313" t="s">
        <v>2173</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50"/>
      <c r="Q28" s="1261" t="str">
        <f t="shared" si="11"/>
        <v>物业等级</v>
      </c>
      <c r="R28" s="631" t="s">
        <v>25</v>
      </c>
      <c r="S28" s="632">
        <f t="shared" si="12"/>
        <v>100</v>
      </c>
      <c r="T28" s="631" t="s">
        <v>25</v>
      </c>
      <c r="U28" s="632">
        <f t="shared" si="13"/>
        <v>100</v>
      </c>
      <c r="V28" s="631" t="s">
        <v>25</v>
      </c>
      <c r="W28" s="632">
        <f t="shared" si="14"/>
        <v>100</v>
      </c>
      <c r="X28" s="1262"/>
      <c r="Y28" s="3650"/>
      <c r="Z28" s="1263" t="str">
        <f t="shared" si="15"/>
        <v>物业等级</v>
      </c>
      <c r="AA28" s="1264">
        <f t="shared" si="3"/>
        <v>1</v>
      </c>
      <c r="AB28" s="1264">
        <f t="shared" si="4"/>
        <v>1</v>
      </c>
      <c r="AC28" s="1264">
        <f t="shared" si="5"/>
        <v>1</v>
      </c>
    </row>
    <row r="29" spans="1:29" ht="15">
      <c r="A29" s="360"/>
      <c r="B29" s="313" t="s">
        <v>2194</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50"/>
      <c r="Q29" s="1261" t="str">
        <f t="shared" si="11"/>
        <v>有无电梯</v>
      </c>
      <c r="R29" s="631" t="s">
        <v>25</v>
      </c>
      <c r="S29" s="632">
        <f t="shared" si="12"/>
        <v>100</v>
      </c>
      <c r="T29" s="631" t="s">
        <v>25</v>
      </c>
      <c r="U29" s="632">
        <f t="shared" si="13"/>
        <v>100</v>
      </c>
      <c r="V29" s="631" t="s">
        <v>25</v>
      </c>
      <c r="W29" s="632">
        <f t="shared" si="14"/>
        <v>100</v>
      </c>
      <c r="X29" s="1262"/>
      <c r="Y29" s="3650"/>
      <c r="Z29" s="1263" t="str">
        <f t="shared" si="15"/>
        <v>有无电梯</v>
      </c>
      <c r="AA29" s="1264">
        <f t="shared" si="3"/>
        <v>1</v>
      </c>
      <c r="AB29" s="1264">
        <f t="shared" si="4"/>
        <v>1</v>
      </c>
      <c r="AC29" s="1264">
        <f t="shared" si="5"/>
        <v>1</v>
      </c>
    </row>
    <row r="30" spans="1:29" ht="15">
      <c r="A30" s="360"/>
      <c r="B30" s="313" t="s">
        <v>2195</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50"/>
      <c r="Q30" s="1261" t="str">
        <f t="shared" si="11"/>
        <v>建筑面积</v>
      </c>
      <c r="R30" s="631" t="s">
        <v>25</v>
      </c>
      <c r="S30" s="632" t="e">
        <f t="shared" si="12"/>
        <v>#N/A</v>
      </c>
      <c r="T30" s="631" t="s">
        <v>25</v>
      </c>
      <c r="U30" s="632" t="e">
        <f t="shared" si="13"/>
        <v>#N/A</v>
      </c>
      <c r="V30" s="631" t="s">
        <v>25</v>
      </c>
      <c r="W30" s="632" t="e">
        <f t="shared" si="14"/>
        <v>#N/A</v>
      </c>
      <c r="X30" s="1262"/>
      <c r="Y30" s="3650"/>
      <c r="Z30" s="1263" t="str">
        <f t="shared" si="15"/>
        <v>建筑面积</v>
      </c>
      <c r="AA30" s="1264" t="e">
        <f t="shared" si="3"/>
        <v>#N/A</v>
      </c>
      <c r="AB30" s="1264" t="e">
        <f t="shared" si="4"/>
        <v>#N/A</v>
      </c>
      <c r="AC30" s="1264" t="e">
        <f t="shared" si="5"/>
        <v>#N/A</v>
      </c>
    </row>
    <row r="31" spans="1:29" s="25" customFormat="1" ht="15">
      <c r="A31" s="361"/>
      <c r="B31" s="313" t="s">
        <v>2196</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50"/>
      <c r="Q31" s="1254" t="str">
        <f t="shared" si="11"/>
        <v>是否封闭</v>
      </c>
      <c r="R31" s="627" t="s">
        <v>25</v>
      </c>
      <c r="S31" s="628">
        <f t="shared" si="12"/>
        <v>100</v>
      </c>
      <c r="T31" s="627" t="s">
        <v>25</v>
      </c>
      <c r="U31" s="628">
        <f t="shared" si="13"/>
        <v>100</v>
      </c>
      <c r="V31" s="627" t="s">
        <v>25</v>
      </c>
      <c r="W31" s="628">
        <f t="shared" si="14"/>
        <v>100</v>
      </c>
      <c r="X31" s="629"/>
      <c r="Y31" s="3650"/>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50" t="s">
        <v>2035</v>
      </c>
      <c r="Q32" s="1261">
        <f t="shared" si="11"/>
        <v>111</v>
      </c>
      <c r="R32" s="631" t="s">
        <v>25</v>
      </c>
      <c r="S32" s="632">
        <f t="shared" si="12"/>
        <v>100</v>
      </c>
      <c r="T32" s="631" t="s">
        <v>25</v>
      </c>
      <c r="U32" s="632">
        <f t="shared" si="13"/>
        <v>100</v>
      </c>
      <c r="V32" s="631" t="s">
        <v>25</v>
      </c>
      <c r="W32" s="632">
        <f t="shared" si="14"/>
        <v>100</v>
      </c>
      <c r="X32" s="1262"/>
      <c r="Y32" s="3650" t="s">
        <v>2035</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50"/>
      <c r="Q33" s="1261">
        <f t="shared" si="11"/>
        <v>111</v>
      </c>
      <c r="R33" s="631" t="s">
        <v>25</v>
      </c>
      <c r="S33" s="632">
        <f t="shared" si="12"/>
        <v>100</v>
      </c>
      <c r="T33" s="631" t="s">
        <v>25</v>
      </c>
      <c r="U33" s="632">
        <f t="shared" si="13"/>
        <v>100</v>
      </c>
      <c r="V33" s="631" t="s">
        <v>25</v>
      </c>
      <c r="W33" s="632">
        <f t="shared" si="14"/>
        <v>100</v>
      </c>
      <c r="X33" s="1262"/>
      <c r="Y33" s="3650"/>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50"/>
      <c r="Q34" s="1261">
        <f t="shared" si="11"/>
        <v>111</v>
      </c>
      <c r="R34" s="631" t="s">
        <v>25</v>
      </c>
      <c r="S34" s="632">
        <f t="shared" si="12"/>
        <v>100</v>
      </c>
      <c r="T34" s="631" t="s">
        <v>25</v>
      </c>
      <c r="U34" s="632">
        <f t="shared" si="13"/>
        <v>100</v>
      </c>
      <c r="V34" s="631" t="s">
        <v>25</v>
      </c>
      <c r="W34" s="632">
        <f t="shared" si="14"/>
        <v>100</v>
      </c>
      <c r="X34" s="1262"/>
      <c r="Y34" s="3650"/>
      <c r="Z34" s="1263">
        <f t="shared" si="15"/>
        <v>111</v>
      </c>
      <c r="AA34" s="1264">
        <f t="shared" si="3"/>
        <v>1</v>
      </c>
      <c r="AB34" s="1264">
        <f t="shared" si="4"/>
        <v>1</v>
      </c>
      <c r="AC34" s="1264">
        <f t="shared" si="5"/>
        <v>1</v>
      </c>
    </row>
    <row r="35" spans="1:29" ht="15">
      <c r="A35" s="367" t="s">
        <v>2047</v>
      </c>
      <c r="B35" s="368"/>
      <c r="C35" s="1081" t="s">
        <v>1</v>
      </c>
      <c r="D35" s="1082"/>
      <c r="E35" s="1083"/>
      <c r="F35" s="1084"/>
      <c r="G35" s="1085"/>
      <c r="H35" s="1086"/>
      <c r="I35" s="1083"/>
      <c r="J35" s="1086"/>
      <c r="K35" s="640"/>
      <c r="L35" s="2954"/>
      <c r="N35" s="2943"/>
      <c r="P35" s="3644" t="str">
        <f>A35</f>
        <v>成交单价（元/平方米）</v>
      </c>
      <c r="Q35" s="3644"/>
      <c r="R35" s="3645">
        <f>E35</f>
        <v>0</v>
      </c>
      <c r="S35" s="3645"/>
      <c r="T35" s="3645">
        <f>G35</f>
        <v>0</v>
      </c>
      <c r="U35" s="3645"/>
      <c r="V35" s="3645">
        <f>I35</f>
        <v>0</v>
      </c>
      <c r="W35" s="3645"/>
      <c r="X35" s="618"/>
      <c r="Y35" s="638"/>
      <c r="Z35" s="618"/>
      <c r="AA35" s="618"/>
      <c r="AB35" s="618"/>
      <c r="AC35" s="618"/>
    </row>
    <row r="36" spans="1:29" ht="15.75" thickBot="1">
      <c r="A36" s="374" t="s">
        <v>2130</v>
      </c>
      <c r="B36" s="375"/>
      <c r="C36" s="1087" t="e">
        <f>R37</f>
        <v>#DIV/0!</v>
      </c>
      <c r="D36" s="1724" t="s">
        <v>2501</v>
      </c>
      <c r="E36" s="1088" t="e">
        <f>R36</f>
        <v>#DIV/0!</v>
      </c>
      <c r="F36" s="1726"/>
      <c r="G36" s="1087" t="e">
        <f>T36</f>
        <v>#DIV/0!</v>
      </c>
      <c r="H36" s="1726"/>
      <c r="I36" s="1088" t="e">
        <f>V36</f>
        <v>#DIV/0!</v>
      </c>
      <c r="J36" s="1726"/>
      <c r="K36" s="2428">
        <f>F36+H36+J36</f>
        <v>0</v>
      </c>
      <c r="L36" s="2954"/>
      <c r="N36" s="2943"/>
      <c r="P36" s="3644" t="str">
        <f>A36</f>
        <v>比较价值（元/平方米）</v>
      </c>
      <c r="Q36" s="3644"/>
      <c r="R36" s="3645" t="e">
        <f>IF(E1="售价",ROUND(PRODUCT(R35,AA7:AA34),0),ROUND(PRODUCT(R35,AA7:AA34),1))</f>
        <v>#DIV/0!</v>
      </c>
      <c r="S36" s="3645"/>
      <c r="T36" s="3645" t="e">
        <f>IF(E1="售价",ROUND(PRODUCT(T35,AB7:AB34),0),ROUND(PRODUCT(T35,AB7:AB34),1))</f>
        <v>#DIV/0!</v>
      </c>
      <c r="U36" s="3645"/>
      <c r="V36" s="3645" t="e">
        <f>IF(E1="售价",ROUND(PRODUCT(V35,AC7:AC34),0),ROUND(PRODUCT(V35,AC7:AC34),1))</f>
        <v>#DIV/0!</v>
      </c>
      <c r="W36" s="3645"/>
      <c r="X36" s="618"/>
      <c r="Y36" s="618"/>
      <c r="Z36" s="618"/>
      <c r="AA36" s="618"/>
      <c r="AB36" s="618"/>
      <c r="AC36" s="618"/>
    </row>
    <row r="37" spans="1:29" ht="15.75" thickBot="1">
      <c r="A37" s="378" t="s">
        <v>2153</v>
      </c>
      <c r="B37" s="379"/>
      <c r="C37" s="1089" t="e">
        <f>R37</f>
        <v>#DIV/0!</v>
      </c>
      <c r="D37" s="1089"/>
      <c r="E37" s="1089"/>
      <c r="F37" s="1089"/>
      <c r="G37" s="1089"/>
      <c r="H37" s="1089"/>
      <c r="I37" s="1089"/>
      <c r="J37" s="1089"/>
      <c r="K37" s="641"/>
      <c r="L37" s="2954"/>
      <c r="P37" s="3646" t="str">
        <f>A37</f>
        <v>估价对象XX用房的比较价值（楼面单价，元/平方米）</v>
      </c>
      <c r="Q37" s="3647"/>
      <c r="R37" s="3648" t="e">
        <f>IF(E1="售价",ROUND(IF(D36="简单平均",AVERAGE(R36:W36),R36*F36+T36*H36+V36*J36),0),ROUND(IF(D36="简单平均",AVERAGE(R36:V36),R36*F36+T36*H36+V36*J36),1))</f>
        <v>#DIV/0!</v>
      </c>
      <c r="S37" s="3648"/>
      <c r="T37" s="3648"/>
      <c r="U37" s="3648"/>
      <c r="V37" s="3648"/>
      <c r="W37" s="3648"/>
      <c r="X37" s="618"/>
      <c r="Y37" s="618"/>
      <c r="Z37" s="618"/>
      <c r="AA37" s="618"/>
      <c r="AB37" s="618"/>
      <c r="AC37" s="618"/>
    </row>
    <row r="38" spans="1:29">
      <c r="G38" s="2957"/>
    </row>
    <row r="40" spans="1:29" ht="13.5" customHeight="1">
      <c r="C40" s="383" t="s">
        <v>2132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2135</v>
      </c>
      <c r="B45" s="618"/>
      <c r="C45" s="621"/>
      <c r="D45" s="621"/>
      <c r="E45" s="621"/>
      <c r="F45" s="622"/>
      <c r="G45" s="622"/>
      <c r="H45" s="621"/>
      <c r="I45" s="621"/>
      <c r="J45" s="621"/>
      <c r="K45" s="623"/>
      <c r="L45" s="624"/>
      <c r="M45" s="621"/>
      <c r="N45" s="2960"/>
      <c r="O45" s="2960"/>
      <c r="P45" s="389"/>
      <c r="Q45" s="390"/>
    </row>
    <row r="46" spans="1:29" s="394" customFormat="1" ht="15">
      <c r="A46" s="391" t="s">
        <v>2017</v>
      </c>
      <c r="B46" s="392"/>
      <c r="C46" s="1115" t="str">
        <f>YEAR(C7)&amp;"-"&amp;MONTH(C7)</f>
        <v>2022-12</v>
      </c>
      <c r="D46" s="1116">
        <f>EDATE(C46,-1)</f>
        <v>44866</v>
      </c>
      <c r="E46" s="1116">
        <f t="shared" ref="E46:O46" si="16">EDATE(D46,-1)</f>
        <v>44835</v>
      </c>
      <c r="F46" s="1116">
        <f t="shared" si="16"/>
        <v>44805</v>
      </c>
      <c r="G46" s="1116">
        <f t="shared" si="16"/>
        <v>44774</v>
      </c>
      <c r="H46" s="1116">
        <f t="shared" si="16"/>
        <v>44743</v>
      </c>
      <c r="I46" s="1116">
        <f t="shared" si="16"/>
        <v>44713</v>
      </c>
      <c r="J46" s="1116">
        <f t="shared" si="16"/>
        <v>44682</v>
      </c>
      <c r="K46" s="1116">
        <f t="shared" si="16"/>
        <v>44652</v>
      </c>
      <c r="L46" s="1116">
        <f t="shared" si="16"/>
        <v>44621</v>
      </c>
      <c r="M46" s="1116">
        <f t="shared" si="16"/>
        <v>44593</v>
      </c>
      <c r="N46" s="1116">
        <f t="shared" si="16"/>
        <v>44562</v>
      </c>
      <c r="O46" s="1116">
        <f t="shared" si="16"/>
        <v>44531</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2055</v>
      </c>
      <c r="B48" s="401"/>
      <c r="C48" s="402"/>
      <c r="D48" s="403"/>
      <c r="E48" s="403"/>
      <c r="F48" s="403"/>
      <c r="G48" s="403"/>
      <c r="H48" s="403"/>
      <c r="I48" s="403"/>
      <c r="J48" s="403"/>
      <c r="K48" s="403"/>
      <c r="L48" s="403"/>
      <c r="M48" s="404"/>
      <c r="N48" s="403"/>
      <c r="O48" s="405"/>
      <c r="P48" s="390"/>
      <c r="Q48" s="390"/>
    </row>
    <row r="49" spans="1:17" s="25" customFormat="1" ht="15">
      <c r="A49" s="406" t="s">
        <v>2019</v>
      </c>
      <c r="B49" s="396"/>
      <c r="C49" s="407" t="s">
        <v>2020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2058</v>
      </c>
      <c r="B51" s="413" t="s">
        <v>2023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2026</v>
      </c>
      <c r="C53" s="426" t="s">
        <v>2059</v>
      </c>
      <c r="D53" s="426" t="s">
        <v>2060</v>
      </c>
      <c r="E53" s="426" t="s">
        <v>2061</v>
      </c>
      <c r="F53" s="426" t="s">
        <v>2062</v>
      </c>
      <c r="G53" s="426" t="s">
        <v>2063</v>
      </c>
      <c r="H53" s="426" t="s">
        <v>2064</v>
      </c>
      <c r="I53" s="426" t="s">
        <v>2065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2028</v>
      </c>
      <c r="B61" s="413" t="s">
        <v>2072</v>
      </c>
      <c r="C61" s="461" t="s">
        <v>2067</v>
      </c>
      <c r="D61" s="461" t="s">
        <v>2068</v>
      </c>
      <c r="E61" s="461" t="s">
        <v>2069</v>
      </c>
      <c r="F61" s="461" t="s">
        <v>2070</v>
      </c>
      <c r="G61" s="461" t="s">
        <v>2071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2073</v>
      </c>
      <c r="C63" s="466" t="s">
        <v>2067</v>
      </c>
      <c r="D63" s="466" t="s">
        <v>2068</v>
      </c>
      <c r="E63" s="466" t="s">
        <v>2069</v>
      </c>
      <c r="F63" s="466" t="s">
        <v>2070</v>
      </c>
      <c r="G63" s="466" t="s">
        <v>2071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2145</v>
      </c>
      <c r="C65" s="426" t="s">
        <v>2074</v>
      </c>
      <c r="D65" s="426" t="s">
        <v>2075</v>
      </c>
      <c r="E65" s="426" t="s">
        <v>2076</v>
      </c>
      <c r="F65" s="426" t="s">
        <v>2077</v>
      </c>
      <c r="G65" s="426" t="s">
        <v>2078</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2079</v>
      </c>
      <c r="C67" s="466" t="s">
        <v>2067</v>
      </c>
      <c r="D67" s="466" t="s">
        <v>2068</v>
      </c>
      <c r="E67" s="466" t="s">
        <v>2069</v>
      </c>
      <c r="F67" s="466" t="s">
        <v>2070</v>
      </c>
      <c r="G67" s="466" t="s">
        <v>2071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2033</v>
      </c>
      <c r="B77" s="413" t="s">
        <v>2086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2189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2199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2200</v>
      </c>
      <c r="B1" s="1879"/>
      <c r="C1" s="1880" t="s">
        <v>2201</v>
      </c>
      <c r="D1" s="1879"/>
      <c r="E1" s="1879"/>
      <c r="F1" s="1881" t="s">
        <v>2002</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2202</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2203</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2004</v>
      </c>
      <c r="B4" s="1591"/>
      <c r="C4" s="3628" t="s">
        <v>2005</v>
      </c>
      <c r="D4" s="3629"/>
      <c r="E4" s="3630" t="s">
        <v>2006</v>
      </c>
      <c r="F4" s="3631"/>
      <c r="G4" s="3628" t="s">
        <v>2007</v>
      </c>
      <c r="H4" s="3629"/>
      <c r="I4" s="3628" t="s">
        <v>2008</v>
      </c>
      <c r="J4" s="3629"/>
      <c r="K4" s="1893" t="s">
        <v>2009</v>
      </c>
      <c r="L4" s="2914"/>
      <c r="M4" s="2915"/>
      <c r="N4" s="2915"/>
      <c r="O4" s="2915"/>
      <c r="P4" s="3632" t="s">
        <v>2010</v>
      </c>
      <c r="Q4" s="3633"/>
      <c r="R4" s="3617" t="s">
        <v>2006</v>
      </c>
      <c r="S4" s="3618"/>
      <c r="T4" s="3617" t="s">
        <v>2007</v>
      </c>
      <c r="U4" s="3618"/>
      <c r="V4" s="3638" t="s">
        <v>2008</v>
      </c>
      <c r="W4" s="3638"/>
      <c r="X4" s="1593"/>
      <c r="Y4" s="3617" t="s">
        <v>2010</v>
      </c>
      <c r="Z4" s="3618"/>
      <c r="AA4" s="3625" t="s">
        <v>2006</v>
      </c>
      <c r="AB4" s="3626" t="s">
        <v>2007</v>
      </c>
      <c r="AC4" s="3625" t="s">
        <v>2008</v>
      </c>
    </row>
    <row r="5" spans="1:30" ht="15">
      <c r="A5" s="1595"/>
      <c r="B5" s="1596"/>
      <c r="C5" s="3613" t="s">
        <v>2011</v>
      </c>
      <c r="D5" s="3614"/>
      <c r="E5" s="3639" t="s">
        <v>2012</v>
      </c>
      <c r="F5" s="3640"/>
      <c r="G5" s="3613" t="s">
        <v>2013</v>
      </c>
      <c r="H5" s="3614"/>
      <c r="I5" s="3613" t="s">
        <v>2014</v>
      </c>
      <c r="J5" s="3614"/>
      <c r="K5" s="1893"/>
      <c r="L5" s="2914"/>
      <c r="M5" s="2915"/>
      <c r="N5" s="2915"/>
      <c r="O5" s="2915"/>
      <c r="P5" s="3634"/>
      <c r="Q5" s="3635"/>
      <c r="R5" s="3619"/>
      <c r="S5" s="3620"/>
      <c r="T5" s="3619"/>
      <c r="U5" s="3620"/>
      <c r="V5" s="3638"/>
      <c r="W5" s="3638"/>
      <c r="X5" s="1593"/>
      <c r="Y5" s="3619"/>
      <c r="Z5" s="3620"/>
      <c r="AA5" s="3626"/>
      <c r="AB5" s="3626"/>
      <c r="AC5" s="3626"/>
    </row>
    <row r="6" spans="1:30" ht="15.75" thickBot="1">
      <c r="A6" s="1598"/>
      <c r="B6" s="1599"/>
      <c r="C6" s="3611" t="s">
        <v>2015</v>
      </c>
      <c r="D6" s="3612"/>
      <c r="E6" s="3641" t="s">
        <v>2015</v>
      </c>
      <c r="F6" s="3642"/>
      <c r="G6" s="3611" t="s">
        <v>2015</v>
      </c>
      <c r="H6" s="3612"/>
      <c r="I6" s="3611" t="s">
        <v>2015</v>
      </c>
      <c r="J6" s="3612"/>
      <c r="K6" s="1893" t="s">
        <v>2016</v>
      </c>
      <c r="L6" s="2914"/>
      <c r="M6" s="2915"/>
      <c r="N6" s="2915"/>
      <c r="O6" s="2915"/>
      <c r="P6" s="3636"/>
      <c r="Q6" s="3637"/>
      <c r="R6" s="3619"/>
      <c r="S6" s="3620"/>
      <c r="T6" s="3621"/>
      <c r="U6" s="3622"/>
      <c r="V6" s="3638"/>
      <c r="W6" s="3638"/>
      <c r="X6" s="1593"/>
      <c r="Y6" s="3621"/>
      <c r="Z6" s="3622"/>
      <c r="AA6" s="3627"/>
      <c r="AB6" s="3627"/>
      <c r="AC6" s="3627"/>
    </row>
    <row r="7" spans="1:30" s="1612" customFormat="1" ht="15.75" thickBot="1">
      <c r="A7" s="1600" t="s">
        <v>2017</v>
      </c>
      <c r="B7" s="1601"/>
      <c r="C7" s="1602">
        <f>'数据-取费表'!B2</f>
        <v>44908</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615" t="s">
        <v>2018</v>
      </c>
      <c r="Q7" s="3623"/>
      <c r="R7" s="1608" t="s">
        <v>25</v>
      </c>
      <c r="S7" s="1609">
        <f t="shared" ref="S7:S15" si="0">F7</f>
        <v>0</v>
      </c>
      <c r="T7" s="1608" t="s">
        <v>25</v>
      </c>
      <c r="U7" s="1609">
        <f t="shared" ref="U7:U15" si="1">H7</f>
        <v>0</v>
      </c>
      <c r="V7" s="1608" t="s">
        <v>25</v>
      </c>
      <c r="W7" s="1609">
        <f t="shared" ref="W7:W15" si="2">J7</f>
        <v>0</v>
      </c>
      <c r="X7" s="1610"/>
      <c r="Y7" s="3615" t="s">
        <v>2018</v>
      </c>
      <c r="Z7" s="3616"/>
      <c r="AA7" s="1611" t="e">
        <f>D7/F7</f>
        <v>#DIV/0!</v>
      </c>
      <c r="AB7" s="1611" t="e">
        <f>D7/H7</f>
        <v>#DIV/0!</v>
      </c>
      <c r="AC7" s="1611" t="e">
        <f>D7/J7</f>
        <v>#DIV/0!</v>
      </c>
    </row>
    <row r="8" spans="1:30" s="1612" customFormat="1" ht="15.75" thickBot="1">
      <c r="A8" s="1600" t="s">
        <v>2019</v>
      </c>
      <c r="B8" s="1601"/>
      <c r="C8" s="1613" t="s">
        <v>2204</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615" t="s">
        <v>2021</v>
      </c>
      <c r="Q8" s="3616"/>
      <c r="R8" s="1608" t="s">
        <v>25</v>
      </c>
      <c r="S8" s="1609">
        <f t="shared" si="0"/>
        <v>0</v>
      </c>
      <c r="T8" s="1608" t="s">
        <v>25</v>
      </c>
      <c r="U8" s="1609">
        <f t="shared" si="1"/>
        <v>0</v>
      </c>
      <c r="V8" s="1608" t="s">
        <v>25</v>
      </c>
      <c r="W8" s="1609">
        <f t="shared" si="2"/>
        <v>0</v>
      </c>
      <c r="X8" s="1610"/>
      <c r="Y8" s="3615" t="s">
        <v>2021</v>
      </c>
      <c r="Z8" s="3616"/>
      <c r="AA8" s="1611" t="e">
        <f t="shared" ref="AA8:AA45" si="3">D8/F8</f>
        <v>#DIV/0!</v>
      </c>
      <c r="AB8" s="1611" t="e">
        <f t="shared" ref="AB8:AB45" si="4">D8/H8</f>
        <v>#DIV/0!</v>
      </c>
      <c r="AC8" s="1611" t="e">
        <f t="shared" ref="AC8:AC45" si="5">D8/J8</f>
        <v>#DIV/0!</v>
      </c>
    </row>
    <row r="9" spans="1:30" s="1612" customFormat="1">
      <c r="A9" s="1563" t="s">
        <v>2022</v>
      </c>
      <c r="B9" s="1615" t="s">
        <v>2023</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601" t="s">
        <v>2024</v>
      </c>
      <c r="Q9" s="1562" t="str">
        <f t="shared" ref="Q9:Q15" si="6">B9</f>
        <v>用途</v>
      </c>
      <c r="R9" s="1608" t="s">
        <v>25</v>
      </c>
      <c r="S9" s="1609">
        <f t="shared" si="0"/>
        <v>100</v>
      </c>
      <c r="T9" s="1608" t="s">
        <v>25</v>
      </c>
      <c r="U9" s="1609">
        <f t="shared" si="1"/>
        <v>100</v>
      </c>
      <c r="V9" s="1608" t="s">
        <v>25</v>
      </c>
      <c r="W9" s="1609">
        <f t="shared" si="2"/>
        <v>100</v>
      </c>
      <c r="X9" s="1610"/>
      <c r="Y9" s="3461" t="s">
        <v>2025</v>
      </c>
      <c r="Z9" s="1621" t="str">
        <f t="shared" ref="Z9:Z15" si="7">Q9</f>
        <v>用途</v>
      </c>
      <c r="AA9" s="1611">
        <f t="shared" si="3"/>
        <v>1</v>
      </c>
      <c r="AB9" s="1611">
        <f t="shared" si="4"/>
        <v>1</v>
      </c>
      <c r="AC9" s="1611">
        <f t="shared" si="5"/>
        <v>1</v>
      </c>
    </row>
    <row r="10" spans="1:30" s="1629" customFormat="1" ht="27">
      <c r="A10" s="1622"/>
      <c r="B10" s="1623" t="s">
        <v>2026</v>
      </c>
      <c r="C10" s="1635"/>
      <c r="D10" s="1625">
        <v>100</v>
      </c>
      <c r="E10" s="1687"/>
      <c r="F10" s="1625">
        <f>ROUND(100/'数据-取费表'!B14,0)</f>
        <v>117</v>
      </c>
      <c r="G10" s="1685"/>
      <c r="H10" s="1625">
        <f>ROUND(100/'数据-取费表'!B14,0)</f>
        <v>117</v>
      </c>
      <c r="I10" s="1685"/>
      <c r="J10" s="1625">
        <f>ROUND(100/'数据-取费表'!B14,0)</f>
        <v>117</v>
      </c>
      <c r="K10" s="1897"/>
      <c r="L10" s="2916"/>
      <c r="M10" s="2917"/>
      <c r="N10" s="2917"/>
      <c r="O10" s="2962"/>
      <c r="P10" s="3601"/>
      <c r="Q10" s="1562" t="str">
        <f t="shared" si="6"/>
        <v>土地使用年限（年）</v>
      </c>
      <c r="R10" s="1608" t="s">
        <v>25</v>
      </c>
      <c r="S10" s="1609">
        <f t="shared" si="0"/>
        <v>117</v>
      </c>
      <c r="T10" s="1608" t="s">
        <v>25</v>
      </c>
      <c r="U10" s="1609">
        <f t="shared" si="1"/>
        <v>117</v>
      </c>
      <c r="V10" s="1608" t="s">
        <v>25</v>
      </c>
      <c r="W10" s="1609">
        <f t="shared" si="2"/>
        <v>117</v>
      </c>
      <c r="X10" s="1610"/>
      <c r="Y10" s="3461"/>
      <c r="Z10" s="1621" t="str">
        <f t="shared" si="7"/>
        <v>土地使用年限（年）</v>
      </c>
      <c r="AA10" s="1611">
        <f t="shared" si="3"/>
        <v>0.85470085470085466</v>
      </c>
      <c r="AB10" s="1611">
        <f t="shared" si="4"/>
        <v>0.85470085470085466</v>
      </c>
      <c r="AC10" s="1611">
        <f t="shared" si="5"/>
        <v>0.85470085470085466</v>
      </c>
    </row>
    <row r="11" spans="1:30" ht="15">
      <c r="A11" s="1630"/>
      <c r="B11" s="1623" t="s">
        <v>2027</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601"/>
      <c r="Q11" s="1562" t="str">
        <f t="shared" si="6"/>
        <v>容积率</v>
      </c>
      <c r="R11" s="1608" t="s">
        <v>25</v>
      </c>
      <c r="S11" s="1609" t="e">
        <f t="shared" si="0"/>
        <v>#N/A</v>
      </c>
      <c r="T11" s="1608" t="s">
        <v>25</v>
      </c>
      <c r="U11" s="1609" t="e">
        <f t="shared" si="1"/>
        <v>#N/A</v>
      </c>
      <c r="V11" s="1608" t="s">
        <v>25</v>
      </c>
      <c r="W11" s="1609" t="e">
        <f t="shared" si="2"/>
        <v>#N/A</v>
      </c>
      <c r="X11" s="1610"/>
      <c r="Y11" s="3461"/>
      <c r="Z11" s="1621" t="str">
        <f t="shared" si="7"/>
        <v>容积率</v>
      </c>
      <c r="AA11" s="1611" t="e">
        <f t="shared" si="3"/>
        <v>#N/A</v>
      </c>
      <c r="AB11" s="1611" t="e">
        <f t="shared" si="4"/>
        <v>#N/A</v>
      </c>
      <c r="AC11" s="1611" t="e">
        <f t="shared" si="5"/>
        <v>#N/A</v>
      </c>
    </row>
    <row r="12" spans="1:30" s="1612" customFormat="1" ht="15">
      <c r="A12" s="1633"/>
      <c r="B12" s="1634" t="s">
        <v>2205</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601"/>
      <c r="Q12" s="1562" t="str">
        <f t="shared" si="6"/>
        <v>配建</v>
      </c>
      <c r="R12" s="1608" t="s">
        <v>25</v>
      </c>
      <c r="S12" s="1609">
        <f t="shared" si="0"/>
        <v>100</v>
      </c>
      <c r="T12" s="1608" t="s">
        <v>25</v>
      </c>
      <c r="U12" s="1609">
        <f t="shared" si="1"/>
        <v>100</v>
      </c>
      <c r="V12" s="1608" t="s">
        <v>25</v>
      </c>
      <c r="W12" s="1609">
        <f t="shared" si="2"/>
        <v>100</v>
      </c>
      <c r="X12" s="1610"/>
      <c r="Y12" s="3461"/>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601"/>
      <c r="Q13" s="1562">
        <f t="shared" si="6"/>
        <v>111</v>
      </c>
      <c r="R13" s="1608" t="s">
        <v>25</v>
      </c>
      <c r="S13" s="1609">
        <f t="shared" si="0"/>
        <v>100</v>
      </c>
      <c r="T13" s="1608" t="s">
        <v>25</v>
      </c>
      <c r="U13" s="1609">
        <f t="shared" si="1"/>
        <v>100</v>
      </c>
      <c r="V13" s="1608" t="s">
        <v>25</v>
      </c>
      <c r="W13" s="1609">
        <f t="shared" si="2"/>
        <v>100</v>
      </c>
      <c r="X13" s="1610"/>
      <c r="Y13" s="3461"/>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601"/>
      <c r="Q14" s="1562">
        <f t="shared" si="6"/>
        <v>111</v>
      </c>
      <c r="R14" s="1608" t="s">
        <v>25</v>
      </c>
      <c r="S14" s="1609">
        <f t="shared" si="0"/>
        <v>100</v>
      </c>
      <c r="T14" s="1608" t="s">
        <v>25</v>
      </c>
      <c r="U14" s="1609">
        <f t="shared" si="1"/>
        <v>100</v>
      </c>
      <c r="V14" s="1608" t="s">
        <v>25</v>
      </c>
      <c r="W14" s="1609">
        <f t="shared" si="2"/>
        <v>100</v>
      </c>
      <c r="X14" s="1610"/>
      <c r="Y14" s="3461"/>
      <c r="Z14" s="1621">
        <f t="shared" si="7"/>
        <v>111</v>
      </c>
      <c r="AA14" s="1611">
        <f>D14/F14</f>
        <v>1</v>
      </c>
      <c r="AB14" s="1611">
        <f>D14/H14</f>
        <v>1</v>
      </c>
      <c r="AC14" s="1611">
        <f>D14/J14</f>
        <v>1</v>
      </c>
    </row>
    <row r="15" spans="1:30" ht="99.75">
      <c r="A15" s="1590" t="s">
        <v>2028</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604" t="s">
        <v>2029</v>
      </c>
      <c r="Q15" s="1543" t="str">
        <f t="shared" si="6"/>
        <v>居住社区成熟度</v>
      </c>
      <c r="R15" s="1653" t="s">
        <v>25</v>
      </c>
      <c r="S15" s="1654">
        <f t="shared" si="0"/>
        <v>100</v>
      </c>
      <c r="T15" s="1653" t="s">
        <v>25</v>
      </c>
      <c r="U15" s="1654">
        <f t="shared" si="1"/>
        <v>100</v>
      </c>
      <c r="V15" s="1653" t="s">
        <v>25</v>
      </c>
      <c r="W15" s="1654">
        <f t="shared" si="2"/>
        <v>100</v>
      </c>
      <c r="X15" s="1593"/>
      <c r="Y15" s="3604" t="s">
        <v>2029</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605"/>
      <c r="Q16" s="1543"/>
      <c r="R16" s="1653"/>
      <c r="S16" s="1654"/>
      <c r="T16" s="1653"/>
      <c r="U16" s="1654"/>
      <c r="V16" s="1653"/>
      <c r="W16" s="1654"/>
      <c r="X16" s="1593"/>
      <c r="Y16" s="3605"/>
      <c r="Z16" s="1655"/>
      <c r="AA16" s="1656">
        <v>1</v>
      </c>
      <c r="AB16" s="1656">
        <v>1</v>
      </c>
      <c r="AC16" s="1656">
        <v>1</v>
      </c>
    </row>
    <row r="17" spans="1:29" ht="71.25">
      <c r="A17" s="1595"/>
      <c r="B17" s="1904" t="s">
        <v>2114</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605"/>
      <c r="Q17" s="1543" t="str">
        <f>B17</f>
        <v>商业繁华度</v>
      </c>
      <c r="R17" s="1653" t="s">
        <v>25</v>
      </c>
      <c r="S17" s="1654">
        <f>F17</f>
        <v>100</v>
      </c>
      <c r="T17" s="1653" t="s">
        <v>25</v>
      </c>
      <c r="U17" s="1654">
        <f>H17</f>
        <v>100</v>
      </c>
      <c r="V17" s="1653" t="s">
        <v>25</v>
      </c>
      <c r="W17" s="1654">
        <f>J17</f>
        <v>100</v>
      </c>
      <c r="X17" s="1593"/>
      <c r="Y17" s="3605"/>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605"/>
      <c r="Q18" s="1543"/>
      <c r="R18" s="1653"/>
      <c r="S18" s="1654"/>
      <c r="T18" s="1653"/>
      <c r="U18" s="1654"/>
      <c r="V18" s="1653"/>
      <c r="W18" s="1654"/>
      <c r="X18" s="1593"/>
      <c r="Y18" s="3605"/>
      <c r="Z18" s="1655"/>
      <c r="AA18" s="1656">
        <v>1</v>
      </c>
      <c r="AB18" s="1656">
        <v>1</v>
      </c>
      <c r="AC18" s="1656">
        <v>1</v>
      </c>
    </row>
    <row r="19" spans="1:29" ht="71.25">
      <c r="A19" s="1595"/>
      <c r="B19" s="1904" t="s">
        <v>2143</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605"/>
      <c r="Q19" s="1543" t="str">
        <f>B19</f>
        <v>办公集聚程度</v>
      </c>
      <c r="R19" s="1653" t="s">
        <v>25</v>
      </c>
      <c r="S19" s="1654">
        <f>F19</f>
        <v>100</v>
      </c>
      <c r="T19" s="1653" t="s">
        <v>25</v>
      </c>
      <c r="U19" s="1654">
        <f>H19</f>
        <v>100</v>
      </c>
      <c r="V19" s="1653" t="s">
        <v>25</v>
      </c>
      <c r="W19" s="1654">
        <f>J19</f>
        <v>100</v>
      </c>
      <c r="X19" s="1593"/>
      <c r="Y19" s="3605"/>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605"/>
      <c r="Q20" s="1543"/>
      <c r="R20" s="1653"/>
      <c r="S20" s="1654"/>
      <c r="T20" s="1653"/>
      <c r="U20" s="1654"/>
      <c r="V20" s="1653"/>
      <c r="W20" s="1654"/>
      <c r="X20" s="1593"/>
      <c r="Y20" s="3605"/>
      <c r="Z20" s="1655"/>
      <c r="AA20" s="1656">
        <v>1</v>
      </c>
      <c r="AB20" s="1656">
        <v>1</v>
      </c>
      <c r="AC20" s="1656">
        <v>1</v>
      </c>
    </row>
    <row r="21" spans="1:29" ht="85.5">
      <c r="A21" s="1595"/>
      <c r="B21" s="1904" t="s">
        <v>2166</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605"/>
      <c r="Q21" s="1543" t="str">
        <f>B21</f>
        <v>交通便捷度</v>
      </c>
      <c r="R21" s="1653" t="s">
        <v>25</v>
      </c>
      <c r="S21" s="1654">
        <f>F21</f>
        <v>100</v>
      </c>
      <c r="T21" s="1653" t="s">
        <v>25</v>
      </c>
      <c r="U21" s="1654">
        <f>H21</f>
        <v>100</v>
      </c>
      <c r="V21" s="1653" t="s">
        <v>25</v>
      </c>
      <c r="W21" s="1654">
        <f>J21</f>
        <v>100</v>
      </c>
      <c r="X21" s="1593"/>
      <c r="Y21" s="3605"/>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605"/>
      <c r="Q22" s="1543"/>
      <c r="R22" s="1653"/>
      <c r="S22" s="1654"/>
      <c r="T22" s="1653"/>
      <c r="U22" s="1654"/>
      <c r="V22" s="1653"/>
      <c r="W22" s="1654"/>
      <c r="X22" s="1593"/>
      <c r="Y22" s="3605"/>
      <c r="Z22" s="1655"/>
      <c r="AA22" s="1656">
        <v>1</v>
      </c>
      <c r="AB22" s="1656">
        <v>1</v>
      </c>
      <c r="AC22" s="1656">
        <v>1</v>
      </c>
    </row>
    <row r="23" spans="1:29" ht="15">
      <c r="A23" s="1595"/>
      <c r="B23" s="1385" t="s">
        <v>2206</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605"/>
      <c r="Q23" s="1543" t="str">
        <f t="shared" ref="Q23:Q37" si="8">B23</f>
        <v>区域土地利用方向</v>
      </c>
      <c r="R23" s="1653" t="s">
        <v>25</v>
      </c>
      <c r="S23" s="1654">
        <f>F23</f>
        <v>100</v>
      </c>
      <c r="T23" s="1653" t="s">
        <v>25</v>
      </c>
      <c r="U23" s="1654">
        <f>H23</f>
        <v>100</v>
      </c>
      <c r="V23" s="1653" t="s">
        <v>25</v>
      </c>
      <c r="W23" s="1654">
        <f>J23</f>
        <v>100</v>
      </c>
      <c r="X23" s="1593"/>
      <c r="Y23" s="3605"/>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605"/>
      <c r="Q24" s="1543"/>
      <c r="R24" s="1653"/>
      <c r="S24" s="1654"/>
      <c r="T24" s="1653"/>
      <c r="U24" s="1654"/>
      <c r="V24" s="1653"/>
      <c r="W24" s="1654"/>
      <c r="X24" s="1593"/>
      <c r="Y24" s="3605"/>
      <c r="Z24" s="1655"/>
      <c r="AA24" s="1656"/>
      <c r="AB24" s="1656"/>
      <c r="AC24" s="1656"/>
    </row>
    <row r="25" spans="1:29" ht="57">
      <c r="A25" s="1595"/>
      <c r="B25" s="1909" t="s">
        <v>2207</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605"/>
      <c r="Q25" s="1543" t="str">
        <f t="shared" si="8"/>
        <v>自然及人文环境状况</v>
      </c>
      <c r="R25" s="1653" t="s">
        <v>25</v>
      </c>
      <c r="S25" s="1654">
        <f>F25</f>
        <v>100</v>
      </c>
      <c r="T25" s="1653" t="s">
        <v>25</v>
      </c>
      <c r="U25" s="1654">
        <f>H25</f>
        <v>100</v>
      </c>
      <c r="V25" s="1653" t="s">
        <v>25</v>
      </c>
      <c r="W25" s="1654">
        <f>J25</f>
        <v>100</v>
      </c>
      <c r="X25" s="1593"/>
      <c r="Y25" s="3605"/>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605"/>
      <c r="Q26" s="1543"/>
      <c r="R26" s="1653"/>
      <c r="S26" s="1654"/>
      <c r="T26" s="1653"/>
      <c r="U26" s="1654"/>
      <c r="V26" s="1653"/>
      <c r="W26" s="1654"/>
      <c r="X26" s="1593"/>
      <c r="Y26" s="3605"/>
      <c r="Z26" s="1655"/>
      <c r="AA26" s="1656">
        <v>1</v>
      </c>
      <c r="AB26" s="1656">
        <v>1</v>
      </c>
      <c r="AC26" s="1656">
        <v>1</v>
      </c>
    </row>
    <row r="27" spans="1:29" ht="42.75">
      <c r="A27" s="1595"/>
      <c r="B27" s="1909" t="s">
        <v>2115</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605"/>
      <c r="Q27" s="1562" t="str">
        <f t="shared" ref="Q27" si="9">B27</f>
        <v>公共配套设施</v>
      </c>
      <c r="R27" s="1608" t="s">
        <v>25</v>
      </c>
      <c r="S27" s="1609">
        <f>F27</f>
        <v>100</v>
      </c>
      <c r="T27" s="1608" t="s">
        <v>25</v>
      </c>
      <c r="U27" s="1609">
        <f>H27</f>
        <v>100</v>
      </c>
      <c r="V27" s="1608" t="s">
        <v>25</v>
      </c>
      <c r="W27" s="1609">
        <f>J27</f>
        <v>100</v>
      </c>
      <c r="X27" s="1593"/>
      <c r="Y27" s="3605"/>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605"/>
      <c r="Q28" s="1543"/>
      <c r="R28" s="1653"/>
      <c r="S28" s="1654"/>
      <c r="T28" s="1653"/>
      <c r="U28" s="1654"/>
      <c r="V28" s="1653"/>
      <c r="W28" s="1654"/>
      <c r="X28" s="1593"/>
      <c r="Y28" s="3605"/>
      <c r="Z28" s="1621"/>
      <c r="AA28" s="1656">
        <v>1</v>
      </c>
      <c r="AB28" s="1656">
        <v>1</v>
      </c>
      <c r="AC28" s="1656">
        <v>1</v>
      </c>
    </row>
    <row r="29" spans="1:29" s="1612" customFormat="1" ht="28.5">
      <c r="A29" s="1915"/>
      <c r="B29" s="1909" t="s">
        <v>2116</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605"/>
      <c r="Q29" s="1562" t="str">
        <f t="shared" si="8"/>
        <v>基础设施水平</v>
      </c>
      <c r="R29" s="1608" t="s">
        <v>25</v>
      </c>
      <c r="S29" s="1609">
        <f>F29</f>
        <v>100</v>
      </c>
      <c r="T29" s="1608" t="s">
        <v>25</v>
      </c>
      <c r="U29" s="1609">
        <f>H29</f>
        <v>100</v>
      </c>
      <c r="V29" s="1608" t="s">
        <v>25</v>
      </c>
      <c r="W29" s="1609">
        <f>J29</f>
        <v>100</v>
      </c>
      <c r="X29" s="1610"/>
      <c r="Y29" s="3605"/>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605"/>
      <c r="Q30" s="1562"/>
      <c r="R30" s="1608"/>
      <c r="S30" s="1609"/>
      <c r="T30" s="1608"/>
      <c r="U30" s="1609"/>
      <c r="V30" s="1608"/>
      <c r="W30" s="1609"/>
      <c r="X30" s="1610"/>
      <c r="Y30" s="3605"/>
      <c r="Z30" s="1621"/>
      <c r="AA30" s="1656">
        <v>1</v>
      </c>
      <c r="AB30" s="1656">
        <v>1</v>
      </c>
      <c r="AC30" s="1656">
        <v>1</v>
      </c>
    </row>
    <row r="31" spans="1:29" ht="15">
      <c r="A31" s="1595"/>
      <c r="B31" s="1906" t="s">
        <v>2117</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605"/>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605"/>
      <c r="Z31" s="1655" t="str">
        <f t="shared" ref="Z31:Z45" si="13">Q31</f>
        <v>临街状况</v>
      </c>
      <c r="AA31" s="1656">
        <f t="shared" si="3"/>
        <v>1</v>
      </c>
      <c r="AB31" s="1656">
        <f t="shared" si="4"/>
        <v>1</v>
      </c>
      <c r="AC31" s="1656">
        <f t="shared" si="5"/>
        <v>1</v>
      </c>
    </row>
    <row r="32" spans="1:29" ht="27">
      <c r="A32" s="1595"/>
      <c r="B32" s="1909" t="s">
        <v>2147</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605"/>
      <c r="Q32" s="1543" t="str">
        <f t="shared" si="8"/>
        <v>毗邻道路的类型与等级</v>
      </c>
      <c r="R32" s="1653" t="s">
        <v>25</v>
      </c>
      <c r="S32" s="1654">
        <f t="shared" si="10"/>
        <v>100</v>
      </c>
      <c r="T32" s="1653" t="s">
        <v>25</v>
      </c>
      <c r="U32" s="1654">
        <f t="shared" si="11"/>
        <v>100</v>
      </c>
      <c r="V32" s="1653" t="s">
        <v>25</v>
      </c>
      <c r="W32" s="1654">
        <f t="shared" si="12"/>
        <v>100</v>
      </c>
      <c r="X32" s="1593"/>
      <c r="Y32" s="3605"/>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605"/>
      <c r="Q33" s="1543"/>
      <c r="R33" s="1653"/>
      <c r="S33" s="1654"/>
      <c r="T33" s="1653"/>
      <c r="U33" s="1654"/>
      <c r="V33" s="1653"/>
      <c r="W33" s="1654"/>
      <c r="X33" s="1593"/>
      <c r="Y33" s="3605"/>
      <c r="Z33" s="1655"/>
      <c r="AA33" s="1656">
        <v>1</v>
      </c>
      <c r="AB33" s="1656">
        <v>1</v>
      </c>
      <c r="AC33" s="1656">
        <v>1</v>
      </c>
    </row>
    <row r="34" spans="1:29" ht="15">
      <c r="A34" s="1595"/>
      <c r="B34" s="1918" t="s">
        <v>2208</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605"/>
      <c r="Q34" s="1543" t="str">
        <f t="shared" si="8"/>
        <v>土地级别</v>
      </c>
      <c r="R34" s="1653" t="s">
        <v>25</v>
      </c>
      <c r="S34" s="1654">
        <f t="shared" si="10"/>
        <v>100</v>
      </c>
      <c r="T34" s="1653" t="s">
        <v>25</v>
      </c>
      <c r="U34" s="1654">
        <f t="shared" si="11"/>
        <v>100</v>
      </c>
      <c r="V34" s="1653" t="s">
        <v>25</v>
      </c>
      <c r="W34" s="1654">
        <f t="shared" si="12"/>
        <v>100</v>
      </c>
      <c r="X34" s="1593"/>
      <c r="Y34" s="3605"/>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605"/>
      <c r="Q35" s="1543">
        <f t="shared" si="8"/>
        <v>111</v>
      </c>
      <c r="R35" s="1653" t="s">
        <v>25</v>
      </c>
      <c r="S35" s="1654">
        <f t="shared" si="10"/>
        <v>100</v>
      </c>
      <c r="T35" s="1653" t="s">
        <v>25</v>
      </c>
      <c r="U35" s="1654">
        <f t="shared" si="11"/>
        <v>100</v>
      </c>
      <c r="V35" s="1653" t="s">
        <v>25</v>
      </c>
      <c r="W35" s="1654">
        <f t="shared" si="12"/>
        <v>100</v>
      </c>
      <c r="X35" s="1593"/>
      <c r="Y35" s="3605"/>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43" t="s">
        <v>2035</v>
      </c>
      <c r="Q36" s="1543">
        <f t="shared" si="8"/>
        <v>111</v>
      </c>
      <c r="R36" s="1653" t="s">
        <v>25</v>
      </c>
      <c r="S36" s="1654">
        <f t="shared" si="10"/>
        <v>100</v>
      </c>
      <c r="T36" s="1653" t="s">
        <v>25</v>
      </c>
      <c r="U36" s="1654">
        <f t="shared" si="11"/>
        <v>100</v>
      </c>
      <c r="V36" s="1653" t="s">
        <v>25</v>
      </c>
      <c r="W36" s="1654">
        <f t="shared" si="12"/>
        <v>100</v>
      </c>
      <c r="X36" s="1593"/>
      <c r="Y36" s="3609" t="s">
        <v>2035</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609"/>
      <c r="Q37" s="1543">
        <f t="shared" si="8"/>
        <v>111</v>
      </c>
      <c r="R37" s="1695" t="s">
        <v>25</v>
      </c>
      <c r="S37" s="1696">
        <f t="shared" si="10"/>
        <v>100</v>
      </c>
      <c r="T37" s="1695" t="s">
        <v>25</v>
      </c>
      <c r="U37" s="1696">
        <f t="shared" si="11"/>
        <v>100</v>
      </c>
      <c r="V37" s="1695" t="s">
        <v>25</v>
      </c>
      <c r="W37" s="1696">
        <f t="shared" si="12"/>
        <v>100</v>
      </c>
      <c r="X37" s="1697"/>
      <c r="Y37" s="3609"/>
      <c r="Z37" s="1698">
        <f t="shared" si="13"/>
        <v>111</v>
      </c>
      <c r="AA37" s="1656">
        <f t="shared" si="3"/>
        <v>1</v>
      </c>
      <c r="AB37" s="1656">
        <f t="shared" si="4"/>
        <v>1</v>
      </c>
      <c r="AC37" s="1656">
        <f t="shared" si="5"/>
        <v>1</v>
      </c>
    </row>
    <row r="38" spans="1:29" ht="15">
      <c r="A38" s="1590" t="s">
        <v>2033</v>
      </c>
      <c r="B38" s="1671" t="s">
        <v>2209</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609"/>
      <c r="Q38" s="1543" t="str">
        <f>B38</f>
        <v>宗地面积</v>
      </c>
      <c r="R38" s="1653" t="s">
        <v>25</v>
      </c>
      <c r="S38" s="1654" t="e">
        <f t="shared" si="10"/>
        <v>#N/A</v>
      </c>
      <c r="T38" s="1653" t="s">
        <v>25</v>
      </c>
      <c r="U38" s="1654" t="e">
        <f t="shared" si="11"/>
        <v>#N/A</v>
      </c>
      <c r="V38" s="1653" t="s">
        <v>25</v>
      </c>
      <c r="W38" s="1654" t="e">
        <f t="shared" si="12"/>
        <v>#N/A</v>
      </c>
      <c r="X38" s="1593"/>
      <c r="Y38" s="3609"/>
      <c r="Z38" s="1655" t="str">
        <f t="shared" si="13"/>
        <v>宗地面积</v>
      </c>
      <c r="AA38" s="1656" t="e">
        <f t="shared" si="3"/>
        <v>#N/A</v>
      </c>
      <c r="AB38" s="1656" t="e">
        <f t="shared" si="4"/>
        <v>#N/A</v>
      </c>
      <c r="AC38" s="1656" t="e">
        <f t="shared" si="5"/>
        <v>#N/A</v>
      </c>
    </row>
    <row r="39" spans="1:29" ht="15">
      <c r="A39" s="1700"/>
      <c r="B39" s="1623" t="s">
        <v>2210</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609"/>
      <c r="Q39" s="1543" t="str">
        <f t="shared" ref="Q39:Q45" si="14">B39</f>
        <v>宗地形状</v>
      </c>
      <c r="R39" s="1653" t="s">
        <v>25</v>
      </c>
      <c r="S39" s="1654">
        <f t="shared" si="10"/>
        <v>100</v>
      </c>
      <c r="T39" s="1653" t="s">
        <v>25</v>
      </c>
      <c r="U39" s="1654">
        <f t="shared" si="11"/>
        <v>100</v>
      </c>
      <c r="V39" s="1653" t="s">
        <v>25</v>
      </c>
      <c r="W39" s="1654">
        <f t="shared" si="12"/>
        <v>100</v>
      </c>
      <c r="X39" s="1593"/>
      <c r="Y39" s="3609"/>
      <c r="Z39" s="1655" t="str">
        <f t="shared" si="13"/>
        <v>宗地形状</v>
      </c>
      <c r="AA39" s="1656">
        <f t="shared" si="3"/>
        <v>1</v>
      </c>
      <c r="AB39" s="1656">
        <f t="shared" si="4"/>
        <v>1</v>
      </c>
      <c r="AC39" s="1656">
        <f t="shared" si="5"/>
        <v>1</v>
      </c>
    </row>
    <row r="40" spans="1:29" ht="15">
      <c r="A40" s="1700"/>
      <c r="B40" s="1623" t="s">
        <v>2211</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609"/>
      <c r="Q40" s="1543" t="str">
        <f t="shared" si="14"/>
        <v>临街宽度及深度</v>
      </c>
      <c r="R40" s="1653" t="s">
        <v>25</v>
      </c>
      <c r="S40" s="1654">
        <f t="shared" si="10"/>
        <v>100</v>
      </c>
      <c r="T40" s="1653" t="s">
        <v>25</v>
      </c>
      <c r="U40" s="1654">
        <f t="shared" si="11"/>
        <v>100</v>
      </c>
      <c r="V40" s="1653" t="s">
        <v>25</v>
      </c>
      <c r="W40" s="1654">
        <f t="shared" si="12"/>
        <v>100</v>
      </c>
      <c r="X40" s="1593"/>
      <c r="Y40" s="3609"/>
      <c r="Z40" s="1655" t="str">
        <f t="shared" si="13"/>
        <v>临街宽度及深度</v>
      </c>
      <c r="AA40" s="1656">
        <f t="shared" si="3"/>
        <v>1</v>
      </c>
      <c r="AB40" s="1656">
        <f t="shared" si="4"/>
        <v>1</v>
      </c>
      <c r="AC40" s="1656">
        <f t="shared" si="5"/>
        <v>1</v>
      </c>
    </row>
    <row r="41" spans="1:29" s="1612" customFormat="1" ht="15">
      <c r="A41" s="1703"/>
      <c r="B41" s="1623" t="s">
        <v>2212</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609"/>
      <c r="Q41" s="1543" t="str">
        <f t="shared" si="14"/>
        <v>宗地开发程度</v>
      </c>
      <c r="R41" s="1608" t="s">
        <v>25</v>
      </c>
      <c r="S41" s="1609">
        <f t="shared" si="10"/>
        <v>100</v>
      </c>
      <c r="T41" s="1608" t="s">
        <v>25</v>
      </c>
      <c r="U41" s="1609">
        <f t="shared" si="11"/>
        <v>100</v>
      </c>
      <c r="V41" s="1608" t="s">
        <v>25</v>
      </c>
      <c r="W41" s="1609">
        <f t="shared" si="12"/>
        <v>100</v>
      </c>
      <c r="X41" s="1610"/>
      <c r="Y41" s="3609"/>
      <c r="Z41" s="1621" t="str">
        <f t="shared" si="13"/>
        <v>宗地开发程度</v>
      </c>
      <c r="AA41" s="1611">
        <f t="shared" si="3"/>
        <v>1</v>
      </c>
      <c r="AB41" s="1611">
        <f t="shared" si="4"/>
        <v>1</v>
      </c>
      <c r="AC41" s="1611">
        <f t="shared" si="5"/>
        <v>1</v>
      </c>
    </row>
    <row r="42" spans="1:29" ht="15">
      <c r="A42" s="1700"/>
      <c r="B42" s="1623" t="s">
        <v>2213</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609" t="s">
        <v>2035</v>
      </c>
      <c r="Q42" s="1543" t="str">
        <f t="shared" si="14"/>
        <v>工程地质条件</v>
      </c>
      <c r="R42" s="1653" t="s">
        <v>25</v>
      </c>
      <c r="S42" s="1654">
        <f t="shared" si="10"/>
        <v>100</v>
      </c>
      <c r="T42" s="1653" t="s">
        <v>25</v>
      </c>
      <c r="U42" s="1654">
        <f t="shared" si="11"/>
        <v>100</v>
      </c>
      <c r="V42" s="1653" t="s">
        <v>25</v>
      </c>
      <c r="W42" s="1654">
        <f t="shared" si="12"/>
        <v>100</v>
      </c>
      <c r="X42" s="1593"/>
      <c r="Y42" s="3609" t="s">
        <v>2035</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609"/>
      <c r="Q43" s="1543">
        <f t="shared" si="14"/>
        <v>111</v>
      </c>
      <c r="R43" s="1653" t="s">
        <v>25</v>
      </c>
      <c r="S43" s="1654">
        <f t="shared" si="10"/>
        <v>100</v>
      </c>
      <c r="T43" s="1653" t="s">
        <v>25</v>
      </c>
      <c r="U43" s="1654">
        <f t="shared" si="11"/>
        <v>100</v>
      </c>
      <c r="V43" s="1653" t="s">
        <v>25</v>
      </c>
      <c r="W43" s="1654">
        <f t="shared" si="12"/>
        <v>100</v>
      </c>
      <c r="X43" s="1593"/>
      <c r="Y43" s="3609"/>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609"/>
      <c r="Q44" s="1543">
        <f t="shared" si="14"/>
        <v>111</v>
      </c>
      <c r="R44" s="1653" t="s">
        <v>25</v>
      </c>
      <c r="S44" s="1654">
        <f t="shared" si="10"/>
        <v>100</v>
      </c>
      <c r="T44" s="1653" t="s">
        <v>25</v>
      </c>
      <c r="U44" s="1654">
        <f t="shared" si="11"/>
        <v>100</v>
      </c>
      <c r="V44" s="1653" t="s">
        <v>25</v>
      </c>
      <c r="W44" s="1654">
        <f t="shared" si="12"/>
        <v>100</v>
      </c>
      <c r="X44" s="1593"/>
      <c r="Y44" s="3609"/>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609"/>
      <c r="Q45" s="1543">
        <f t="shared" si="14"/>
        <v>111</v>
      </c>
      <c r="R45" s="1695" t="s">
        <v>25</v>
      </c>
      <c r="S45" s="1696">
        <f t="shared" si="10"/>
        <v>100</v>
      </c>
      <c r="T45" s="1695" t="s">
        <v>25</v>
      </c>
      <c r="U45" s="1696">
        <f t="shared" si="11"/>
        <v>100</v>
      </c>
      <c r="V45" s="1695" t="s">
        <v>25</v>
      </c>
      <c r="W45" s="1696">
        <f t="shared" si="12"/>
        <v>100</v>
      </c>
      <c r="X45" s="1697"/>
      <c r="Y45" s="3609"/>
      <c r="Z45" s="1698">
        <f t="shared" si="13"/>
        <v>111</v>
      </c>
      <c r="AA45" s="1656">
        <f t="shared" si="3"/>
        <v>1</v>
      </c>
      <c r="AB45" s="1656">
        <f t="shared" si="4"/>
        <v>1</v>
      </c>
      <c r="AC45" s="1656">
        <f t="shared" si="5"/>
        <v>1</v>
      </c>
    </row>
    <row r="46" spans="1:29" ht="15">
      <c r="A46" s="1709" t="s">
        <v>2177</v>
      </c>
      <c r="B46" s="1934" t="s">
        <v>2214</v>
      </c>
      <c r="C46" s="1935" t="s">
        <v>1</v>
      </c>
      <c r="D46" s="1936"/>
      <c r="E46" s="1937"/>
      <c r="F46" s="1938"/>
      <c r="G46" s="1939"/>
      <c r="H46" s="1940"/>
      <c r="I46" s="1937"/>
      <c r="J46" s="1940"/>
      <c r="K46" s="1941"/>
      <c r="L46" s="2920"/>
      <c r="N46" s="2915"/>
      <c r="P46" s="3601" t="str">
        <f>A46</f>
        <v>成交单价</v>
      </c>
      <c r="Q46" s="3601"/>
      <c r="R46" s="3638">
        <f>E46</f>
        <v>0</v>
      </c>
      <c r="S46" s="3638"/>
      <c r="T46" s="3638">
        <f>G46</f>
        <v>0</v>
      </c>
      <c r="U46" s="3638"/>
      <c r="V46" s="3638">
        <f>I46</f>
        <v>0</v>
      </c>
      <c r="W46" s="3638"/>
      <c r="X46" s="1719"/>
      <c r="Y46" s="1720"/>
      <c r="Z46" s="1719"/>
      <c r="AA46" s="1719"/>
      <c r="AB46" s="1719"/>
      <c r="AC46" s="1719"/>
    </row>
    <row r="47" spans="1:29" ht="15.75" thickBot="1">
      <c r="A47" s="1721" t="s">
        <v>2130</v>
      </c>
      <c r="B47" s="1942"/>
      <c r="C47" s="1943" t="e">
        <f>R48</f>
        <v>#DIV/0!</v>
      </c>
      <c r="D47" s="1724" t="s">
        <v>2501</v>
      </c>
      <c r="E47" s="1943" t="e">
        <f>R47</f>
        <v>#DIV/0!</v>
      </c>
      <c r="F47" s="1726"/>
      <c r="G47" s="1944" t="e">
        <f>T47</f>
        <v>#DIV/0!</v>
      </c>
      <c r="H47" s="1726"/>
      <c r="I47" s="1943" t="e">
        <f>V47</f>
        <v>#DIV/0!</v>
      </c>
      <c r="J47" s="1726"/>
      <c r="K47" s="2428">
        <f>F47+H47+J47</f>
        <v>0</v>
      </c>
      <c r="L47" s="2920"/>
      <c r="P47" s="3601" t="str">
        <f>A47</f>
        <v>比较价值（元/平方米）</v>
      </c>
      <c r="Q47" s="3601"/>
      <c r="R47" s="3686" t="e">
        <f>ROUND(PRODUCT(R46,AA7:AA45),0)</f>
        <v>#DIV/0!</v>
      </c>
      <c r="S47" s="3686"/>
      <c r="T47" s="3686" t="e">
        <f>ROUND(PRODUCT(T46,AB7:AB45),0)</f>
        <v>#DIV/0!</v>
      </c>
      <c r="U47" s="3686"/>
      <c r="V47" s="3686" t="e">
        <f>ROUND(PRODUCT(V46,AC7:AC45),0)</f>
        <v>#DIV/0!</v>
      </c>
      <c r="W47" s="3686"/>
      <c r="X47" s="1719"/>
      <c r="Y47" s="1719"/>
      <c r="Z47" s="1719"/>
      <c r="AA47" s="1719"/>
      <c r="AB47" s="1719"/>
      <c r="AC47" s="1719"/>
    </row>
    <row r="48" spans="1:29" ht="15.75" thickBot="1">
      <c r="A48" s="1727" t="s">
        <v>2153</v>
      </c>
      <c r="B48" s="1728"/>
      <c r="C48" s="1945" t="e">
        <f>R48</f>
        <v>#DIV/0!</v>
      </c>
      <c r="D48" s="1945"/>
      <c r="E48" s="1945"/>
      <c r="F48" s="1945"/>
      <c r="G48" s="1945"/>
      <c r="H48" s="1945"/>
      <c r="I48" s="1945"/>
      <c r="J48" s="1945"/>
      <c r="K48" s="1946"/>
      <c r="L48" s="2920"/>
      <c r="P48" s="3598" t="str">
        <f>A48</f>
        <v>估价对象XX用房的比较价值（楼面单价，元/平方米）</v>
      </c>
      <c r="Q48" s="3599"/>
      <c r="R48" s="3687" t="e">
        <f>ROUND(IF(D47="简单平均",AVERAGE(R47:W47),R47*F47+T47*H47+V47*J47),0)</f>
        <v>#DIV/0!</v>
      </c>
      <c r="S48" s="3687"/>
      <c r="T48" s="3687"/>
      <c r="U48" s="3687"/>
      <c r="V48" s="3687"/>
      <c r="W48" s="3687"/>
      <c r="X48" s="1719"/>
      <c r="Y48" s="1719"/>
      <c r="Z48" s="1719"/>
      <c r="AA48" s="1719"/>
      <c r="AB48" s="1719"/>
      <c r="AC48" s="1719"/>
    </row>
    <row r="49" spans="1:14">
      <c r="G49" s="2924"/>
    </row>
    <row r="51" spans="1:14" ht="13.5" customHeight="1">
      <c r="C51" s="383" t="s">
        <v>2132</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2133</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2134</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2215</v>
      </c>
      <c r="B55" s="1947" t="s">
        <v>2216</v>
      </c>
      <c r="C55" s="1948" t="s">
        <v>2217</v>
      </c>
      <c r="D55" s="1949" t="s">
        <v>2218</v>
      </c>
      <c r="E55" s="1950" t="s">
        <v>2219</v>
      </c>
      <c r="F55" s="1951" t="s">
        <v>2220</v>
      </c>
      <c r="G55" s="1846" t="s">
        <v>2221</v>
      </c>
      <c r="H55" s="1846" t="str">
        <f>项目基本情况!G8</f>
        <v>XX</v>
      </c>
      <c r="I55" s="1521" t="s">
        <v>2222</v>
      </c>
      <c r="J55" s="1952"/>
      <c r="K55" s="1733"/>
    </row>
    <row r="56" spans="1:14" s="1959" customFormat="1">
      <c r="A56" s="1953" t="s">
        <v>2223</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2224</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2225</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2226</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2227</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2228</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2229</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2230</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2231</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2232</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2022-12-1</v>
      </c>
      <c r="D67" s="1968">
        <f>EDATE(C67,-3)</f>
        <v>44805</v>
      </c>
      <c r="E67" s="1968">
        <f t="shared" ref="E67:O67" si="18">EDATE(D67,-3)</f>
        <v>44713</v>
      </c>
      <c r="F67" s="1968">
        <f t="shared" si="18"/>
        <v>44621</v>
      </c>
      <c r="G67" s="1968">
        <f t="shared" si="18"/>
        <v>44531</v>
      </c>
      <c r="H67" s="1968">
        <f t="shared" si="18"/>
        <v>44440</v>
      </c>
      <c r="I67" s="1968">
        <f t="shared" si="18"/>
        <v>44348</v>
      </c>
      <c r="J67" s="1968">
        <f t="shared" si="18"/>
        <v>44256</v>
      </c>
      <c r="K67" s="1968">
        <f t="shared" si="18"/>
        <v>44166</v>
      </c>
      <c r="L67" s="1968">
        <f t="shared" si="18"/>
        <v>44075</v>
      </c>
      <c r="M67" s="1968">
        <f t="shared" si="18"/>
        <v>43983</v>
      </c>
      <c r="N67" s="1968">
        <f t="shared" si="18"/>
        <v>43891</v>
      </c>
      <c r="O67" s="1968">
        <f t="shared" si="18"/>
        <v>43800</v>
      </c>
    </row>
    <row r="68" spans="1:17" ht="21.75" thickBot="1">
      <c r="A68" s="1744" t="s">
        <v>2135</v>
      </c>
      <c r="B68" s="1719"/>
      <c r="C68" s="1745"/>
      <c r="D68" s="1745"/>
      <c r="E68" s="1745"/>
      <c r="F68" s="1745"/>
      <c r="G68" s="1745"/>
      <c r="H68" s="1745"/>
      <c r="I68" s="1970"/>
      <c r="J68" s="1970"/>
      <c r="K68" s="1971"/>
      <c r="L68" s="1972"/>
      <c r="M68" s="1970"/>
      <c r="N68" s="1970"/>
      <c r="O68" s="1970"/>
      <c r="P68" s="1973"/>
      <c r="Q68" s="1749"/>
    </row>
    <row r="69" spans="1:17" s="1978" customFormat="1" ht="15">
      <c r="A69" s="1974" t="s">
        <v>2233</v>
      </c>
      <c r="B69" s="1975"/>
      <c r="C69" s="1976" t="str">
        <f>YEAR(C67)&amp;"-"&amp;ROUNDUP(MONTH(C67)/3,0)</f>
        <v>2022-4</v>
      </c>
      <c r="D69" s="1976" t="str">
        <f>YEAR(D67)&amp;"-"&amp;ROUNDUP(MONTH(D67)/3,0)</f>
        <v>2022-3</v>
      </c>
      <c r="E69" s="1976" t="str">
        <f t="shared" ref="E69:O69" si="19">YEAR(E67)&amp;"-"&amp;ROUNDUP(MONTH(E67)/3,0)</f>
        <v>2022-2</v>
      </c>
      <c r="F69" s="1976" t="str">
        <f t="shared" si="19"/>
        <v>2022-1</v>
      </c>
      <c r="G69" s="1976" t="str">
        <f t="shared" si="19"/>
        <v>2021-4</v>
      </c>
      <c r="H69" s="1976" t="str">
        <f t="shared" si="19"/>
        <v>2021-3</v>
      </c>
      <c r="I69" s="1976" t="str">
        <f t="shared" si="19"/>
        <v>2021-2</v>
      </c>
      <c r="J69" s="1976" t="str">
        <f t="shared" si="19"/>
        <v>2021-1</v>
      </c>
      <c r="K69" s="1976" t="str">
        <f t="shared" si="19"/>
        <v>2020-4</v>
      </c>
      <c r="L69" s="1976" t="str">
        <f t="shared" si="19"/>
        <v>2020-3</v>
      </c>
      <c r="M69" s="1976" t="str">
        <f t="shared" si="19"/>
        <v>2020-2</v>
      </c>
      <c r="N69" s="1976" t="str">
        <f t="shared" si="19"/>
        <v>2020-1</v>
      </c>
      <c r="O69" s="1976" t="str">
        <f t="shared" si="19"/>
        <v>2019-4</v>
      </c>
      <c r="P69" s="1977"/>
    </row>
    <row r="70" spans="1:17" s="1612" customFormat="1" ht="29.25" customHeight="1">
      <c r="A70" s="1979" t="s">
        <v>2234</v>
      </c>
      <c r="B70" s="1980" t="str">
        <f>"北京市平均增长率"&amp;TEXT(SUMIF(基准地价修正!N21:N25,A70,基准地价修正!P21:P25),"0.00%")</f>
        <v>北京市平均增长率0.95%</v>
      </c>
      <c r="C70" s="1833">
        <v>100</v>
      </c>
      <c r="D70" s="1829"/>
      <c r="E70" s="1829"/>
      <c r="F70" s="1829"/>
      <c r="G70" s="1829"/>
      <c r="H70" s="1829"/>
      <c r="I70" s="1829"/>
      <c r="J70" s="1829"/>
      <c r="K70" s="1829"/>
      <c r="L70" s="1829"/>
      <c r="M70" s="1981"/>
      <c r="N70" s="1829"/>
      <c r="O70" s="1982"/>
      <c r="P70" s="1749"/>
    </row>
    <row r="71" spans="1:17" s="1612" customFormat="1" ht="15.75" thickBot="1">
      <c r="A71" s="1762" t="s">
        <v>2055</v>
      </c>
      <c r="B71" s="1763"/>
      <c r="C71" s="1764"/>
      <c r="D71" s="1765"/>
      <c r="E71" s="1765"/>
      <c r="F71" s="1765"/>
      <c r="G71" s="1765"/>
      <c r="H71" s="1765"/>
      <c r="I71" s="1765"/>
      <c r="J71" s="1765"/>
      <c r="K71" s="1765"/>
      <c r="L71" s="1765"/>
      <c r="M71" s="1766"/>
      <c r="N71" s="1765"/>
      <c r="O71" s="1983"/>
      <c r="P71" s="1749"/>
      <c r="Q71" s="1749"/>
    </row>
    <row r="72" spans="1:17" s="1612" customFormat="1" ht="15">
      <c r="A72" s="1767" t="s">
        <v>2019</v>
      </c>
      <c r="B72" s="1757"/>
      <c r="C72" s="1768" t="s">
        <v>2020</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2058</v>
      </c>
      <c r="B74" s="1775" t="s">
        <v>2023</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2026</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2027</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2028</v>
      </c>
      <c r="B87" s="1775" t="s">
        <v>2066</v>
      </c>
      <c r="C87" s="1813" t="s">
        <v>2067</v>
      </c>
      <c r="D87" s="1813" t="s">
        <v>2068</v>
      </c>
      <c r="E87" s="1813" t="s">
        <v>2069</v>
      </c>
      <c r="F87" s="1813" t="s">
        <v>2070</v>
      </c>
      <c r="G87" s="1813" t="s">
        <v>2071</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2235</v>
      </c>
      <c r="C89" s="579" t="s">
        <v>2067</v>
      </c>
      <c r="D89" s="579" t="s">
        <v>2068</v>
      </c>
      <c r="E89" s="579" t="s">
        <v>2069</v>
      </c>
      <c r="F89" s="579" t="s">
        <v>2070</v>
      </c>
      <c r="G89" s="579" t="s">
        <v>2071</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2154</v>
      </c>
      <c r="C91" s="579" t="s">
        <v>2067</v>
      </c>
      <c r="D91" s="579" t="s">
        <v>2068</v>
      </c>
      <c r="E91" s="579" t="s">
        <v>2069</v>
      </c>
      <c r="F91" s="579" t="s">
        <v>2070</v>
      </c>
      <c r="G91" s="579" t="s">
        <v>2071</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2072</v>
      </c>
      <c r="C93" s="579" t="s">
        <v>2067</v>
      </c>
      <c r="D93" s="579" t="s">
        <v>2068</v>
      </c>
      <c r="E93" s="579" t="s">
        <v>2069</v>
      </c>
      <c r="F93" s="579" t="s">
        <v>2070</v>
      </c>
      <c r="G93" s="579" t="s">
        <v>2071</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2236</v>
      </c>
      <c r="C95" s="579" t="s">
        <v>2067</v>
      </c>
      <c r="D95" s="579" t="s">
        <v>2068</v>
      </c>
      <c r="E95" s="579" t="s">
        <v>2069</v>
      </c>
      <c r="F95" s="579" t="s">
        <v>2070</v>
      </c>
      <c r="G95" s="579" t="s">
        <v>2071</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2237</v>
      </c>
      <c r="C97" s="1813" t="s">
        <v>2067</v>
      </c>
      <c r="D97" s="1813" t="s">
        <v>2068</v>
      </c>
      <c r="E97" s="1813" t="s">
        <v>2069</v>
      </c>
      <c r="F97" s="1813" t="s">
        <v>2070</v>
      </c>
      <c r="G97" s="1813" t="s">
        <v>2071</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2115</v>
      </c>
      <c r="C99" s="1813" t="s">
        <v>2067</v>
      </c>
      <c r="D99" s="1813" t="s">
        <v>2068</v>
      </c>
      <c r="E99" s="1813" t="s">
        <v>2069</v>
      </c>
      <c r="F99" s="1813" t="s">
        <v>2070</v>
      </c>
      <c r="G99" s="1813" t="s">
        <v>2071</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2116</v>
      </c>
      <c r="C101" s="1787" t="s">
        <v>2074</v>
      </c>
      <c r="D101" s="1787" t="s">
        <v>2075</v>
      </c>
      <c r="E101" s="1787" t="s">
        <v>2076</v>
      </c>
      <c r="F101" s="1787" t="s">
        <v>2077</v>
      </c>
      <c r="G101" s="1787" t="s">
        <v>2078</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2238</v>
      </c>
      <c r="D103" s="1787" t="s">
        <v>2239</v>
      </c>
      <c r="E103" s="1787" t="s">
        <v>2240</v>
      </c>
      <c r="F103" s="1787" t="s">
        <v>2241</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2147</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2208</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2033</v>
      </c>
      <c r="B115" s="1775" t="s">
        <v>2242</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2243</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2244</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2245</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2246</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2200</v>
      </c>
      <c r="B1" s="289"/>
      <c r="C1" s="290" t="s">
        <v>2247</v>
      </c>
      <c r="D1" s="614"/>
      <c r="E1" s="614"/>
      <c r="F1" s="613" t="s">
        <v>2002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2202</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2203</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2004</v>
      </c>
      <c r="B4" s="295"/>
      <c r="C4" s="3667" t="s">
        <v>2005</v>
      </c>
      <c r="D4" s="3668"/>
      <c r="E4" s="3669" t="s">
        <v>2006</v>
      </c>
      <c r="F4" s="3670"/>
      <c r="G4" s="3667" t="s">
        <v>2007</v>
      </c>
      <c r="H4" s="3668"/>
      <c r="I4" s="3667" t="s">
        <v>2008</v>
      </c>
      <c r="J4" s="3668"/>
      <c r="K4" s="496" t="s">
        <v>2009</v>
      </c>
      <c r="L4" s="2942"/>
      <c r="M4" s="2943"/>
      <c r="N4" s="2943"/>
      <c r="O4" s="2943"/>
      <c r="P4" s="3671" t="s">
        <v>2010</v>
      </c>
      <c r="Q4" s="3672"/>
      <c r="R4" s="3654" t="s">
        <v>2006</v>
      </c>
      <c r="S4" s="3655"/>
      <c r="T4" s="3654" t="s">
        <v>2007</v>
      </c>
      <c r="U4" s="3655"/>
      <c r="V4" s="3677" t="s">
        <v>2008</v>
      </c>
      <c r="W4" s="3677"/>
      <c r="X4" s="1262"/>
      <c r="Y4" s="3654" t="s">
        <v>2010</v>
      </c>
      <c r="Z4" s="3655"/>
      <c r="AA4" s="3664" t="s">
        <v>2006</v>
      </c>
      <c r="AB4" s="3665" t="s">
        <v>2007</v>
      </c>
      <c r="AC4" s="3664" t="s">
        <v>2008</v>
      </c>
    </row>
    <row r="5" spans="1:29" ht="15">
      <c r="A5" s="297"/>
      <c r="B5" s="298"/>
      <c r="C5" s="3680" t="s">
        <v>2011</v>
      </c>
      <c r="D5" s="3681"/>
      <c r="E5" s="3678" t="s">
        <v>2012</v>
      </c>
      <c r="F5" s="3679"/>
      <c r="G5" s="3680" t="s">
        <v>2013</v>
      </c>
      <c r="H5" s="3681"/>
      <c r="I5" s="3680" t="s">
        <v>2014</v>
      </c>
      <c r="J5" s="3681"/>
      <c r="K5" s="496"/>
      <c r="L5" s="2942"/>
      <c r="M5" s="2943"/>
      <c r="N5" s="2943"/>
      <c r="O5" s="2943"/>
      <c r="P5" s="3673"/>
      <c r="Q5" s="3674"/>
      <c r="R5" s="3656"/>
      <c r="S5" s="3657"/>
      <c r="T5" s="3656"/>
      <c r="U5" s="3657"/>
      <c r="V5" s="3677"/>
      <c r="W5" s="3677"/>
      <c r="X5" s="1262"/>
      <c r="Y5" s="3656"/>
      <c r="Z5" s="3657"/>
      <c r="AA5" s="3665"/>
      <c r="AB5" s="3665"/>
      <c r="AC5" s="3665"/>
    </row>
    <row r="6" spans="1:29" ht="15.75" thickBot="1">
      <c r="A6" s="299"/>
      <c r="B6" s="300"/>
      <c r="C6" s="3682" t="s">
        <v>2015</v>
      </c>
      <c r="D6" s="3683"/>
      <c r="E6" s="3684" t="s">
        <v>2015</v>
      </c>
      <c r="F6" s="3685"/>
      <c r="G6" s="3682" t="s">
        <v>2015</v>
      </c>
      <c r="H6" s="3683"/>
      <c r="I6" s="3682" t="s">
        <v>2015</v>
      </c>
      <c r="J6" s="3683"/>
      <c r="K6" s="496" t="s">
        <v>2016</v>
      </c>
      <c r="L6" s="2942"/>
      <c r="M6" s="2943"/>
      <c r="N6" s="2943"/>
      <c r="O6" s="2943"/>
      <c r="P6" s="3675"/>
      <c r="Q6" s="3676"/>
      <c r="R6" s="3656"/>
      <c r="S6" s="3657"/>
      <c r="T6" s="3658"/>
      <c r="U6" s="3659"/>
      <c r="V6" s="3677"/>
      <c r="W6" s="3677"/>
      <c r="X6" s="1262"/>
      <c r="Y6" s="3658"/>
      <c r="Z6" s="3659"/>
      <c r="AA6" s="3666"/>
      <c r="AB6" s="3666"/>
      <c r="AC6" s="3666"/>
    </row>
    <row r="7" spans="1:29" s="25" customFormat="1" ht="15.75" thickBot="1">
      <c r="A7" s="301" t="s">
        <v>2017</v>
      </c>
      <c r="B7" s="302"/>
      <c r="C7" s="303">
        <f>'数据-取费表'!B2</f>
        <v>44908</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52" t="s">
        <v>2018</v>
      </c>
      <c r="Q7" s="3660"/>
      <c r="R7" s="627" t="s">
        <v>25</v>
      </c>
      <c r="S7" s="628">
        <f t="shared" ref="S7:S15" si="0">F7</f>
        <v>0</v>
      </c>
      <c r="T7" s="627" t="s">
        <v>25</v>
      </c>
      <c r="U7" s="628">
        <f t="shared" ref="U7:U15" si="1">H7</f>
        <v>0</v>
      </c>
      <c r="V7" s="627" t="s">
        <v>25</v>
      </c>
      <c r="W7" s="628">
        <f t="shared" ref="W7:W15" si="2">J7</f>
        <v>0</v>
      </c>
      <c r="X7" s="629"/>
      <c r="Y7" s="3652" t="s">
        <v>2018</v>
      </c>
      <c r="Z7" s="3653"/>
      <c r="AA7" s="630" t="e">
        <f>D7/F7</f>
        <v>#DIV/0!</v>
      </c>
      <c r="AB7" s="630" t="e">
        <f>D7/H7</f>
        <v>#DIV/0!</v>
      </c>
      <c r="AC7" s="630" t="e">
        <f>D7/J7</f>
        <v>#DIV/0!</v>
      </c>
    </row>
    <row r="8" spans="1:29" s="25" customFormat="1" ht="15.75" thickBot="1">
      <c r="A8" s="301" t="s">
        <v>2019</v>
      </c>
      <c r="B8" s="302"/>
      <c r="C8" s="307" t="s">
        <v>2204</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52" t="s">
        <v>2021</v>
      </c>
      <c r="Q8" s="3653"/>
      <c r="R8" s="627" t="s">
        <v>25</v>
      </c>
      <c r="S8" s="628">
        <f t="shared" si="0"/>
        <v>0</v>
      </c>
      <c r="T8" s="627" t="s">
        <v>25</v>
      </c>
      <c r="U8" s="628">
        <f t="shared" si="1"/>
        <v>0</v>
      </c>
      <c r="V8" s="627" t="s">
        <v>25</v>
      </c>
      <c r="W8" s="628">
        <f t="shared" si="2"/>
        <v>0</v>
      </c>
      <c r="X8" s="629"/>
      <c r="Y8" s="3652" t="s">
        <v>2021</v>
      </c>
      <c r="Z8" s="3653"/>
      <c r="AA8" s="630" t="e">
        <f t="shared" ref="AA8:AA40" si="3">D8/F8</f>
        <v>#DIV/0!</v>
      </c>
      <c r="AB8" s="630" t="e">
        <f t="shared" ref="AB8:AB40" si="4">D8/H8</f>
        <v>#DIV/0!</v>
      </c>
      <c r="AC8" s="630" t="e">
        <f t="shared" ref="AC8:AC40" si="5">D8/J8</f>
        <v>#DIV/0!</v>
      </c>
    </row>
    <row r="9" spans="1:29" s="25" customFormat="1">
      <c r="A9" s="308" t="s">
        <v>2022</v>
      </c>
      <c r="B9" s="24" t="s">
        <v>2023</v>
      </c>
      <c r="C9" s="1513" t="s">
        <v>2248</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4" t="s">
        <v>2024</v>
      </c>
      <c r="Q9" s="1254" t="str">
        <f t="shared" ref="Q9:Q15" si="6">B9</f>
        <v>用途</v>
      </c>
      <c r="R9" s="627" t="s">
        <v>25</v>
      </c>
      <c r="S9" s="628">
        <f t="shared" si="0"/>
        <v>100</v>
      </c>
      <c r="T9" s="627" t="s">
        <v>25</v>
      </c>
      <c r="U9" s="628">
        <f t="shared" si="1"/>
        <v>100</v>
      </c>
      <c r="V9" s="627" t="s">
        <v>25</v>
      </c>
      <c r="W9" s="628">
        <f t="shared" si="2"/>
        <v>100</v>
      </c>
      <c r="X9" s="629"/>
      <c r="Y9" s="3663" t="s">
        <v>2025</v>
      </c>
      <c r="Z9" s="19" t="str">
        <f t="shared" ref="Z9:Z15" si="7">Q9</f>
        <v>用途</v>
      </c>
      <c r="AA9" s="630">
        <f t="shared" si="3"/>
        <v>1</v>
      </c>
      <c r="AB9" s="630">
        <f t="shared" si="4"/>
        <v>1</v>
      </c>
      <c r="AC9" s="630">
        <f t="shared" si="5"/>
        <v>1</v>
      </c>
    </row>
    <row r="10" spans="1:29" s="317" customFormat="1" ht="27">
      <c r="A10" s="312"/>
      <c r="B10" s="313" t="s">
        <v>2026</v>
      </c>
      <c r="C10" s="322"/>
      <c r="D10" s="29">
        <v>100</v>
      </c>
      <c r="E10" s="322"/>
      <c r="F10" s="29">
        <f>ROUND(100/'数据-取费表'!B14,0)</f>
        <v>117</v>
      </c>
      <c r="G10" s="322"/>
      <c r="H10" s="29">
        <f>ROUND(100/'数据-取费表'!B14,0)</f>
        <v>117</v>
      </c>
      <c r="I10" s="322"/>
      <c r="J10" s="29">
        <f>ROUND(100/'数据-取费表'!B14,0)</f>
        <v>117</v>
      </c>
      <c r="K10" s="553"/>
      <c r="L10" s="2947"/>
      <c r="M10" s="2948"/>
      <c r="N10" s="2948"/>
      <c r="O10" s="2949"/>
      <c r="P10" s="3644"/>
      <c r="Q10" s="1254" t="str">
        <f t="shared" si="6"/>
        <v>土地使用年限（年）</v>
      </c>
      <c r="R10" s="627" t="s">
        <v>25</v>
      </c>
      <c r="S10" s="628">
        <f t="shared" si="0"/>
        <v>117</v>
      </c>
      <c r="T10" s="627" t="s">
        <v>25</v>
      </c>
      <c r="U10" s="628">
        <f t="shared" si="1"/>
        <v>117</v>
      </c>
      <c r="V10" s="627" t="s">
        <v>25</v>
      </c>
      <c r="W10" s="628">
        <f t="shared" si="2"/>
        <v>117</v>
      </c>
      <c r="X10" s="629"/>
      <c r="Y10" s="3663"/>
      <c r="Z10" s="19" t="str">
        <f t="shared" si="7"/>
        <v>土地使用年限（年）</v>
      </c>
      <c r="AA10" s="630">
        <f t="shared" si="3"/>
        <v>0.85470085470085466</v>
      </c>
      <c r="AB10" s="630">
        <f t="shared" si="4"/>
        <v>0.85470085470085466</v>
      </c>
      <c r="AC10" s="630">
        <f t="shared" si="5"/>
        <v>0.85470085470085466</v>
      </c>
    </row>
    <row r="11" spans="1:29" ht="15">
      <c r="A11" s="318"/>
      <c r="B11" s="313" t="s">
        <v>2027</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4"/>
      <c r="Q11" s="1254" t="str">
        <f t="shared" si="6"/>
        <v>容积率</v>
      </c>
      <c r="R11" s="627" t="s">
        <v>25</v>
      </c>
      <c r="S11" s="628" t="e">
        <f t="shared" si="0"/>
        <v>#N/A</v>
      </c>
      <c r="T11" s="627" t="s">
        <v>25</v>
      </c>
      <c r="U11" s="628" t="e">
        <f t="shared" si="1"/>
        <v>#N/A</v>
      </c>
      <c r="V11" s="627" t="s">
        <v>25</v>
      </c>
      <c r="W11" s="628" t="e">
        <f t="shared" si="2"/>
        <v>#N/A</v>
      </c>
      <c r="X11" s="629"/>
      <c r="Y11" s="3663"/>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4"/>
      <c r="Q12" s="1254">
        <f t="shared" si="6"/>
        <v>111</v>
      </c>
      <c r="R12" s="627" t="s">
        <v>25</v>
      </c>
      <c r="S12" s="628">
        <f t="shared" si="0"/>
        <v>100</v>
      </c>
      <c r="T12" s="627" t="s">
        <v>25</v>
      </c>
      <c r="U12" s="628">
        <f t="shared" si="1"/>
        <v>100</v>
      </c>
      <c r="V12" s="627" t="s">
        <v>25</v>
      </c>
      <c r="W12" s="628">
        <f t="shared" si="2"/>
        <v>100</v>
      </c>
      <c r="X12" s="629"/>
      <c r="Y12" s="3663"/>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4"/>
      <c r="Q13" s="1254">
        <f t="shared" si="6"/>
        <v>111</v>
      </c>
      <c r="R13" s="627" t="s">
        <v>25</v>
      </c>
      <c r="S13" s="628">
        <f t="shared" si="0"/>
        <v>100</v>
      </c>
      <c r="T13" s="627" t="s">
        <v>25</v>
      </c>
      <c r="U13" s="628">
        <f t="shared" si="1"/>
        <v>100</v>
      </c>
      <c r="V13" s="627" t="s">
        <v>25</v>
      </c>
      <c r="W13" s="628">
        <f t="shared" si="2"/>
        <v>100</v>
      </c>
      <c r="X13" s="629"/>
      <c r="Y13" s="3663"/>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4"/>
      <c r="Q14" s="1254">
        <f t="shared" si="6"/>
        <v>111</v>
      </c>
      <c r="R14" s="627" t="s">
        <v>25</v>
      </c>
      <c r="S14" s="628">
        <f t="shared" si="0"/>
        <v>100</v>
      </c>
      <c r="T14" s="627" t="s">
        <v>25</v>
      </c>
      <c r="U14" s="628">
        <f t="shared" si="1"/>
        <v>100</v>
      </c>
      <c r="V14" s="627" t="s">
        <v>25</v>
      </c>
      <c r="W14" s="628">
        <f t="shared" si="2"/>
        <v>100</v>
      </c>
      <c r="X14" s="629"/>
      <c r="Y14" s="3663"/>
      <c r="Z14" s="19">
        <f t="shared" si="7"/>
        <v>111</v>
      </c>
      <c r="AA14" s="630">
        <f t="shared" si="3"/>
        <v>1</v>
      </c>
      <c r="AB14" s="630">
        <f t="shared" si="4"/>
        <v>1</v>
      </c>
      <c r="AC14" s="630">
        <f t="shared" si="5"/>
        <v>1</v>
      </c>
    </row>
    <row r="15" spans="1:29" ht="57">
      <c r="A15" s="329" t="s">
        <v>2028</v>
      </c>
      <c r="B15" s="511" t="s">
        <v>2249</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1" t="s">
        <v>2029</v>
      </c>
      <c r="Q15" s="1261" t="str">
        <f t="shared" si="6"/>
        <v>产业集聚程度</v>
      </c>
      <c r="R15" s="631" t="s">
        <v>25</v>
      </c>
      <c r="S15" s="632">
        <f t="shared" si="0"/>
        <v>100</v>
      </c>
      <c r="T15" s="631" t="s">
        <v>25</v>
      </c>
      <c r="U15" s="632">
        <f t="shared" si="1"/>
        <v>100</v>
      </c>
      <c r="V15" s="631" t="s">
        <v>25</v>
      </c>
      <c r="W15" s="632">
        <f t="shared" si="2"/>
        <v>100</v>
      </c>
      <c r="X15" s="1262"/>
      <c r="Y15" s="3661" t="s">
        <v>2029</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2"/>
      <c r="M16" s="2943"/>
      <c r="N16" s="2943"/>
      <c r="O16" s="2951"/>
      <c r="P16" s="3662"/>
      <c r="Q16" s="1261"/>
      <c r="R16" s="631"/>
      <c r="S16" s="632"/>
      <c r="T16" s="631"/>
      <c r="U16" s="632"/>
      <c r="V16" s="631"/>
      <c r="W16" s="632"/>
      <c r="X16" s="1262"/>
      <c r="Y16" s="3662"/>
      <c r="Z16" s="1263"/>
      <c r="AA16" s="1264">
        <v>1</v>
      </c>
      <c r="AB16" s="1264">
        <v>1</v>
      </c>
      <c r="AC16" s="1264">
        <v>1</v>
      </c>
    </row>
    <row r="17" spans="1:29" ht="85.5">
      <c r="A17" s="318"/>
      <c r="B17" s="513" t="s">
        <v>2166</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2"/>
      <c r="Q17" s="1261" t="str">
        <f>B17</f>
        <v>交通便捷度</v>
      </c>
      <c r="R17" s="631" t="s">
        <v>25</v>
      </c>
      <c r="S17" s="632">
        <f>F17</f>
        <v>100</v>
      </c>
      <c r="T17" s="631" t="s">
        <v>25</v>
      </c>
      <c r="U17" s="632">
        <f>H17</f>
        <v>100</v>
      </c>
      <c r="V17" s="631" t="s">
        <v>25</v>
      </c>
      <c r="W17" s="632">
        <f>J17</f>
        <v>100</v>
      </c>
      <c r="X17" s="1262"/>
      <c r="Y17" s="3662"/>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2"/>
      <c r="M18" s="2943"/>
      <c r="N18" s="2943"/>
      <c r="O18" s="2951"/>
      <c r="P18" s="3662"/>
      <c r="Q18" s="1261"/>
      <c r="R18" s="631"/>
      <c r="S18" s="632"/>
      <c r="T18" s="631"/>
      <c r="U18" s="632"/>
      <c r="V18" s="631"/>
      <c r="W18" s="632"/>
      <c r="X18" s="1262"/>
      <c r="Y18" s="3662"/>
      <c r="Z18" s="1263"/>
      <c r="AA18" s="1264">
        <v>1</v>
      </c>
      <c r="AB18" s="1264">
        <v>1</v>
      </c>
      <c r="AC18" s="1264">
        <v>1</v>
      </c>
    </row>
    <row r="19" spans="1:29" ht="15">
      <c r="A19" s="318"/>
      <c r="B19" s="513" t="s">
        <v>2206</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2"/>
      <c r="Q19" s="1261" t="str">
        <f t="shared" ref="Q19:Q33" si="8">B19</f>
        <v>区域土地利用方向</v>
      </c>
      <c r="R19" s="631" t="s">
        <v>25</v>
      </c>
      <c r="S19" s="632">
        <f>F19</f>
        <v>100</v>
      </c>
      <c r="T19" s="631" t="s">
        <v>25</v>
      </c>
      <c r="U19" s="632">
        <f>H19</f>
        <v>100</v>
      </c>
      <c r="V19" s="631" t="s">
        <v>25</v>
      </c>
      <c r="W19" s="632">
        <f>J19</f>
        <v>100</v>
      </c>
      <c r="X19" s="1262"/>
      <c r="Y19" s="3662"/>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5"/>
      <c r="L20" s="2952"/>
      <c r="M20" s="2943"/>
      <c r="N20" s="2943"/>
      <c r="O20" s="2951"/>
      <c r="P20" s="3662"/>
      <c r="Q20" s="1261"/>
      <c r="R20" s="631"/>
      <c r="S20" s="632"/>
      <c r="T20" s="631"/>
      <c r="U20" s="632"/>
      <c r="V20" s="631"/>
      <c r="W20" s="632"/>
      <c r="X20" s="1262"/>
      <c r="Y20" s="3662"/>
      <c r="Z20" s="1263"/>
      <c r="AA20" s="1264"/>
      <c r="AB20" s="1264"/>
      <c r="AC20" s="1264"/>
    </row>
    <row r="21" spans="1:29" ht="71.25">
      <c r="A21" s="297"/>
      <c r="B21" s="513" t="s">
        <v>2250</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2"/>
      <c r="Q21" s="1261" t="str">
        <f t="shared" si="8"/>
        <v>环境状况</v>
      </c>
      <c r="R21" s="631" t="s">
        <v>25</v>
      </c>
      <c r="S21" s="632">
        <f>F21</f>
        <v>100</v>
      </c>
      <c r="T21" s="631" t="s">
        <v>25</v>
      </c>
      <c r="U21" s="632">
        <f>H21</f>
        <v>100</v>
      </c>
      <c r="V21" s="631" t="s">
        <v>25</v>
      </c>
      <c r="W21" s="632">
        <f>J21</f>
        <v>100</v>
      </c>
      <c r="X21" s="1262"/>
      <c r="Y21" s="3662"/>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2"/>
      <c r="M22" s="2943"/>
      <c r="N22" s="2943"/>
      <c r="O22" s="2951"/>
      <c r="P22" s="3662"/>
      <c r="Q22" s="1261"/>
      <c r="R22" s="631"/>
      <c r="S22" s="632"/>
      <c r="T22" s="631"/>
      <c r="U22" s="632"/>
      <c r="V22" s="631"/>
      <c r="W22" s="632"/>
      <c r="X22" s="1262"/>
      <c r="Y22" s="3662"/>
      <c r="Z22" s="1263"/>
      <c r="AA22" s="1264">
        <v>1</v>
      </c>
      <c r="AB22" s="1264">
        <v>1</v>
      </c>
      <c r="AC22" s="1264">
        <v>1</v>
      </c>
    </row>
    <row r="23" spans="1:29" s="25" customFormat="1" ht="42.75">
      <c r="A23" s="531"/>
      <c r="B23" s="513" t="s">
        <v>2115</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2"/>
      <c r="Q23" s="1254" t="str">
        <f t="shared" si="8"/>
        <v>公共配套设施</v>
      </c>
      <c r="R23" s="627" t="s">
        <v>25</v>
      </c>
      <c r="S23" s="628">
        <f>F23</f>
        <v>100</v>
      </c>
      <c r="T23" s="627" t="s">
        <v>25</v>
      </c>
      <c r="U23" s="628">
        <f>H23</f>
        <v>100</v>
      </c>
      <c r="V23" s="627" t="s">
        <v>25</v>
      </c>
      <c r="W23" s="628">
        <f>J23</f>
        <v>100</v>
      </c>
      <c r="X23" s="629"/>
      <c r="Y23" s="3662"/>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4"/>
      <c r="M24" s="2945"/>
      <c r="N24" s="2945"/>
      <c r="O24" s="2946"/>
      <c r="P24" s="3662"/>
      <c r="Q24" s="1254"/>
      <c r="R24" s="627"/>
      <c r="S24" s="628"/>
      <c r="T24" s="627"/>
      <c r="U24" s="628"/>
      <c r="V24" s="627"/>
      <c r="W24" s="628"/>
      <c r="X24" s="629"/>
      <c r="Y24" s="3662"/>
      <c r="Z24" s="19"/>
      <c r="AA24" s="630">
        <v>1</v>
      </c>
      <c r="AB24" s="630">
        <v>1</v>
      </c>
      <c r="AC24" s="630">
        <v>1</v>
      </c>
    </row>
    <row r="25" spans="1:29" s="25" customFormat="1" ht="28.5">
      <c r="A25" s="531"/>
      <c r="B25" s="515" t="s">
        <v>2116</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2"/>
      <c r="Q25" s="1254" t="str">
        <f t="shared" ref="Q25" si="9">B25</f>
        <v>基础设施水平</v>
      </c>
      <c r="R25" s="627" t="s">
        <v>25</v>
      </c>
      <c r="S25" s="628">
        <f>F25</f>
        <v>100</v>
      </c>
      <c r="T25" s="627" t="s">
        <v>25</v>
      </c>
      <c r="U25" s="628">
        <f>H25</f>
        <v>100</v>
      </c>
      <c r="V25" s="627" t="s">
        <v>25</v>
      </c>
      <c r="W25" s="628">
        <f>J25</f>
        <v>100</v>
      </c>
      <c r="X25" s="629"/>
      <c r="Y25" s="3662"/>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4"/>
      <c r="M26" s="2945"/>
      <c r="N26" s="2945"/>
      <c r="O26" s="2946"/>
      <c r="P26" s="3662"/>
      <c r="Q26" s="1254"/>
      <c r="R26" s="627"/>
      <c r="S26" s="628"/>
      <c r="T26" s="627"/>
      <c r="U26" s="628"/>
      <c r="V26" s="627"/>
      <c r="W26" s="628"/>
      <c r="X26" s="629"/>
      <c r="Y26" s="3662"/>
      <c r="Z26" s="19"/>
      <c r="AA26" s="630">
        <v>1</v>
      </c>
      <c r="AB26" s="630">
        <v>1</v>
      </c>
      <c r="AC26" s="630">
        <v>1</v>
      </c>
    </row>
    <row r="27" spans="1:29" ht="15">
      <c r="A27" s="318"/>
      <c r="B27" s="514" t="s">
        <v>2117</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2"/>
      <c r="Q27" s="1261" t="str">
        <f t="shared" si="8"/>
        <v>临街状况</v>
      </c>
      <c r="R27" s="631" t="s">
        <v>25</v>
      </c>
      <c r="S27" s="632">
        <f t="shared" ref="S27:S40" si="10">F27</f>
        <v>100</v>
      </c>
      <c r="T27" s="631" t="s">
        <v>25</v>
      </c>
      <c r="U27" s="632">
        <f t="shared" ref="U27:U40" si="11">H27</f>
        <v>100</v>
      </c>
      <c r="V27" s="631" t="s">
        <v>25</v>
      </c>
      <c r="W27" s="632">
        <f t="shared" ref="W27:W40" si="12">J27</f>
        <v>100</v>
      </c>
      <c r="X27" s="1262"/>
      <c r="Y27" s="3662"/>
      <c r="Z27" s="1263" t="str">
        <f t="shared" ref="Z27:Z40" si="13">Q27</f>
        <v>临街状况</v>
      </c>
      <c r="AA27" s="1264">
        <f t="shared" si="3"/>
        <v>1</v>
      </c>
      <c r="AB27" s="1264">
        <f t="shared" si="4"/>
        <v>1</v>
      </c>
      <c r="AC27" s="1264">
        <f t="shared" si="5"/>
        <v>1</v>
      </c>
    </row>
    <row r="28" spans="1:29" ht="27">
      <c r="A28" s="318"/>
      <c r="B28" s="515" t="s">
        <v>2147</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2"/>
      <c r="Q28" s="1261" t="str">
        <f t="shared" si="8"/>
        <v>毗邻道路的类型与等级</v>
      </c>
      <c r="R28" s="631" t="s">
        <v>25</v>
      </c>
      <c r="S28" s="632">
        <f t="shared" si="10"/>
        <v>100</v>
      </c>
      <c r="T28" s="631" t="s">
        <v>25</v>
      </c>
      <c r="U28" s="632">
        <f t="shared" si="11"/>
        <v>100</v>
      </c>
      <c r="V28" s="631" t="s">
        <v>25</v>
      </c>
      <c r="W28" s="632">
        <f t="shared" si="12"/>
        <v>100</v>
      </c>
      <c r="X28" s="1262"/>
      <c r="Y28" s="3662"/>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2"/>
      <c r="M29" s="2943"/>
      <c r="N29" s="2943"/>
      <c r="O29" s="2951"/>
      <c r="P29" s="3662"/>
      <c r="Q29" s="1261"/>
      <c r="R29" s="631"/>
      <c r="S29" s="632"/>
      <c r="T29" s="631"/>
      <c r="U29" s="632"/>
      <c r="V29" s="631"/>
      <c r="W29" s="632"/>
      <c r="X29" s="1262"/>
      <c r="Y29" s="3662"/>
      <c r="Z29" s="1263"/>
      <c r="AA29" s="1264">
        <v>1</v>
      </c>
      <c r="AB29" s="1264">
        <v>1</v>
      </c>
      <c r="AC29" s="1264">
        <v>1</v>
      </c>
    </row>
    <row r="30" spans="1:29" ht="15">
      <c r="A30" s="318"/>
      <c r="B30" s="535" t="s">
        <v>2208</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2"/>
      <c r="Q30" s="1261" t="str">
        <f t="shared" si="8"/>
        <v>土地级别</v>
      </c>
      <c r="R30" s="631" t="s">
        <v>25</v>
      </c>
      <c r="S30" s="632">
        <f t="shared" si="10"/>
        <v>100</v>
      </c>
      <c r="T30" s="631" t="s">
        <v>25</v>
      </c>
      <c r="U30" s="632">
        <f t="shared" si="11"/>
        <v>100</v>
      </c>
      <c r="V30" s="631" t="s">
        <v>25</v>
      </c>
      <c r="W30" s="632">
        <f t="shared" si="12"/>
        <v>100</v>
      </c>
      <c r="X30" s="1262"/>
      <c r="Y30" s="3662"/>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2"/>
      <c r="Q31" s="1261">
        <f t="shared" si="8"/>
        <v>111</v>
      </c>
      <c r="R31" s="631" t="s">
        <v>25</v>
      </c>
      <c r="S31" s="632">
        <f t="shared" si="10"/>
        <v>100</v>
      </c>
      <c r="T31" s="631" t="s">
        <v>25</v>
      </c>
      <c r="U31" s="632">
        <f t="shared" si="11"/>
        <v>100</v>
      </c>
      <c r="V31" s="631" t="s">
        <v>25</v>
      </c>
      <c r="W31" s="632">
        <f t="shared" si="12"/>
        <v>100</v>
      </c>
      <c r="X31" s="1262"/>
      <c r="Y31" s="3662"/>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49" t="s">
        <v>2035</v>
      </c>
      <c r="Q32" s="1261">
        <f t="shared" si="8"/>
        <v>111</v>
      </c>
      <c r="R32" s="631" t="s">
        <v>25</v>
      </c>
      <c r="S32" s="632">
        <f t="shared" si="10"/>
        <v>100</v>
      </c>
      <c r="T32" s="631" t="s">
        <v>25</v>
      </c>
      <c r="U32" s="632">
        <f t="shared" si="11"/>
        <v>100</v>
      </c>
      <c r="V32" s="631" t="s">
        <v>25</v>
      </c>
      <c r="W32" s="632">
        <f t="shared" si="12"/>
        <v>100</v>
      </c>
      <c r="X32" s="1262"/>
      <c r="Y32" s="3650" t="s">
        <v>2035</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50"/>
      <c r="Q33" s="1261">
        <f t="shared" si="8"/>
        <v>111</v>
      </c>
      <c r="R33" s="634" t="s">
        <v>25</v>
      </c>
      <c r="S33" s="635">
        <f t="shared" si="10"/>
        <v>100</v>
      </c>
      <c r="T33" s="634" t="s">
        <v>25</v>
      </c>
      <c r="U33" s="635">
        <f t="shared" si="11"/>
        <v>100</v>
      </c>
      <c r="V33" s="634" t="s">
        <v>25</v>
      </c>
      <c r="W33" s="635">
        <f t="shared" si="12"/>
        <v>100</v>
      </c>
      <c r="X33" s="636"/>
      <c r="Y33" s="3650"/>
      <c r="Z33" s="637">
        <f t="shared" si="13"/>
        <v>111</v>
      </c>
      <c r="AA33" s="1264">
        <f t="shared" si="3"/>
        <v>1</v>
      </c>
      <c r="AB33" s="1264">
        <f t="shared" si="4"/>
        <v>1</v>
      </c>
      <c r="AC33" s="1264">
        <f t="shared" si="5"/>
        <v>1</v>
      </c>
    </row>
    <row r="34" spans="1:29" ht="28.5">
      <c r="A34" s="360" t="s">
        <v>2033</v>
      </c>
      <c r="B34" s="345" t="s">
        <v>2209</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50"/>
      <c r="Q34" s="1261" t="str">
        <f>B34</f>
        <v>宗地面积</v>
      </c>
      <c r="R34" s="631" t="s">
        <v>25</v>
      </c>
      <c r="S34" s="632" t="e">
        <f t="shared" si="10"/>
        <v>#N/A</v>
      </c>
      <c r="T34" s="631" t="s">
        <v>25</v>
      </c>
      <c r="U34" s="632" t="e">
        <f t="shared" si="11"/>
        <v>#N/A</v>
      </c>
      <c r="V34" s="631" t="s">
        <v>25</v>
      </c>
      <c r="W34" s="632" t="e">
        <f t="shared" si="12"/>
        <v>#N/A</v>
      </c>
      <c r="X34" s="1262"/>
      <c r="Y34" s="3650"/>
      <c r="Z34" s="1263" t="str">
        <f t="shared" si="13"/>
        <v>宗地面积</v>
      </c>
      <c r="AA34" s="1264" t="e">
        <f t="shared" si="3"/>
        <v>#N/A</v>
      </c>
      <c r="AB34" s="1264" t="e">
        <f t="shared" si="4"/>
        <v>#N/A</v>
      </c>
      <c r="AC34" s="1264" t="e">
        <f t="shared" si="5"/>
        <v>#N/A</v>
      </c>
    </row>
    <row r="35" spans="1:29" ht="15">
      <c r="A35" s="360"/>
      <c r="B35" s="313" t="s">
        <v>2210</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50"/>
      <c r="Q35" s="1261" t="str">
        <f t="shared" ref="Q35:Q40" si="14">B35</f>
        <v>宗地形状</v>
      </c>
      <c r="R35" s="631" t="s">
        <v>25</v>
      </c>
      <c r="S35" s="632">
        <f t="shared" si="10"/>
        <v>100</v>
      </c>
      <c r="T35" s="631" t="s">
        <v>25</v>
      </c>
      <c r="U35" s="632">
        <f t="shared" si="11"/>
        <v>100</v>
      </c>
      <c r="V35" s="631" t="s">
        <v>25</v>
      </c>
      <c r="W35" s="632">
        <f t="shared" si="12"/>
        <v>100</v>
      </c>
      <c r="X35" s="1262"/>
      <c r="Y35" s="3650"/>
      <c r="Z35" s="1263" t="str">
        <f t="shared" si="13"/>
        <v>宗地形状</v>
      </c>
      <c r="AA35" s="1264">
        <f t="shared" si="3"/>
        <v>1</v>
      </c>
      <c r="AB35" s="1264">
        <f t="shared" si="4"/>
        <v>1</v>
      </c>
      <c r="AC35" s="1264">
        <f t="shared" si="5"/>
        <v>1</v>
      </c>
    </row>
    <row r="36" spans="1:29" s="25" customFormat="1" ht="15">
      <c r="A36" s="361"/>
      <c r="B36" s="313" t="s">
        <v>2212</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50"/>
      <c r="Q36" s="1261" t="str">
        <f t="shared" si="14"/>
        <v>宗地开发程度</v>
      </c>
      <c r="R36" s="627" t="s">
        <v>25</v>
      </c>
      <c r="S36" s="628">
        <f t="shared" si="10"/>
        <v>100</v>
      </c>
      <c r="T36" s="627" t="s">
        <v>25</v>
      </c>
      <c r="U36" s="628">
        <f t="shared" si="11"/>
        <v>100</v>
      </c>
      <c r="V36" s="627" t="s">
        <v>25</v>
      </c>
      <c r="W36" s="628">
        <f t="shared" si="12"/>
        <v>100</v>
      </c>
      <c r="X36" s="629"/>
      <c r="Y36" s="3650"/>
      <c r="Z36" s="19" t="str">
        <f t="shared" si="13"/>
        <v>宗地开发程度</v>
      </c>
      <c r="AA36" s="630">
        <f t="shared" si="3"/>
        <v>1</v>
      </c>
      <c r="AB36" s="630">
        <f t="shared" si="4"/>
        <v>1</v>
      </c>
      <c r="AC36" s="630">
        <f t="shared" si="5"/>
        <v>1</v>
      </c>
    </row>
    <row r="37" spans="1:29" ht="15">
      <c r="A37" s="360"/>
      <c r="B37" s="313" t="s">
        <v>2213</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50" t="s">
        <v>2035</v>
      </c>
      <c r="Q37" s="1261" t="str">
        <f t="shared" si="14"/>
        <v>工程地质条件</v>
      </c>
      <c r="R37" s="631" t="s">
        <v>25</v>
      </c>
      <c r="S37" s="632">
        <f t="shared" si="10"/>
        <v>100</v>
      </c>
      <c r="T37" s="631" t="s">
        <v>25</v>
      </c>
      <c r="U37" s="632">
        <f t="shared" si="11"/>
        <v>100</v>
      </c>
      <c r="V37" s="631" t="s">
        <v>25</v>
      </c>
      <c r="W37" s="632">
        <f t="shared" si="12"/>
        <v>100</v>
      </c>
      <c r="X37" s="1262"/>
      <c r="Y37" s="3650" t="s">
        <v>2035</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50"/>
      <c r="Q38" s="1261">
        <f t="shared" si="14"/>
        <v>111</v>
      </c>
      <c r="R38" s="631" t="s">
        <v>25</v>
      </c>
      <c r="S38" s="632">
        <f t="shared" si="10"/>
        <v>100</v>
      </c>
      <c r="T38" s="631" t="s">
        <v>25</v>
      </c>
      <c r="U38" s="632">
        <f t="shared" si="11"/>
        <v>100</v>
      </c>
      <c r="V38" s="631" t="s">
        <v>25</v>
      </c>
      <c r="W38" s="632">
        <f t="shared" si="12"/>
        <v>100</v>
      </c>
      <c r="X38" s="1262"/>
      <c r="Y38" s="3650"/>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50"/>
      <c r="Q39" s="1261">
        <f t="shared" si="14"/>
        <v>111</v>
      </c>
      <c r="R39" s="631" t="s">
        <v>25</v>
      </c>
      <c r="S39" s="632">
        <f t="shared" si="10"/>
        <v>100</v>
      </c>
      <c r="T39" s="631" t="s">
        <v>25</v>
      </c>
      <c r="U39" s="632">
        <f t="shared" si="11"/>
        <v>100</v>
      </c>
      <c r="V39" s="631" t="s">
        <v>25</v>
      </c>
      <c r="W39" s="632">
        <f t="shared" si="12"/>
        <v>100</v>
      </c>
      <c r="X39" s="1262"/>
      <c r="Y39" s="3650"/>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50"/>
      <c r="Q40" s="1261">
        <f t="shared" si="14"/>
        <v>111</v>
      </c>
      <c r="R40" s="634" t="s">
        <v>25</v>
      </c>
      <c r="S40" s="635">
        <f t="shared" si="10"/>
        <v>100</v>
      </c>
      <c r="T40" s="634" t="s">
        <v>25</v>
      </c>
      <c r="U40" s="635">
        <f t="shared" si="11"/>
        <v>100</v>
      </c>
      <c r="V40" s="634" t="s">
        <v>25</v>
      </c>
      <c r="W40" s="635">
        <f t="shared" si="12"/>
        <v>100</v>
      </c>
      <c r="X40" s="636"/>
      <c r="Y40" s="3650"/>
      <c r="Z40" s="637">
        <f t="shared" si="13"/>
        <v>111</v>
      </c>
      <c r="AA40" s="1264">
        <f t="shared" si="3"/>
        <v>1</v>
      </c>
      <c r="AB40" s="1264">
        <f t="shared" si="4"/>
        <v>1</v>
      </c>
      <c r="AC40" s="1264">
        <f t="shared" si="5"/>
        <v>1</v>
      </c>
    </row>
    <row r="41" spans="1:29" ht="15">
      <c r="A41" s="367" t="s">
        <v>2177</v>
      </c>
      <c r="B41" s="1518" t="s">
        <v>2251</v>
      </c>
      <c r="C41" s="562" t="s">
        <v>1</v>
      </c>
      <c r="D41" s="369"/>
      <c r="E41" s="370"/>
      <c r="F41" s="371"/>
      <c r="G41" s="372"/>
      <c r="H41" s="373"/>
      <c r="I41" s="370"/>
      <c r="J41" s="373"/>
      <c r="K41" s="640"/>
      <c r="L41" s="2954"/>
      <c r="M41" s="2943"/>
      <c r="N41" s="2943"/>
      <c r="P41" s="3644" t="str">
        <f>A41</f>
        <v>成交单价</v>
      </c>
      <c r="Q41" s="3644"/>
      <c r="R41" s="3677">
        <f>E41</f>
        <v>0</v>
      </c>
      <c r="S41" s="3677"/>
      <c r="T41" s="3677">
        <f>G41</f>
        <v>0</v>
      </c>
      <c r="U41" s="3677"/>
      <c r="V41" s="3677">
        <f>I41</f>
        <v>0</v>
      </c>
      <c r="W41" s="3677"/>
      <c r="X41" s="618"/>
      <c r="Y41" s="638"/>
      <c r="Z41" s="618"/>
      <c r="AA41" s="618"/>
      <c r="AB41" s="618"/>
      <c r="AC41" s="618"/>
    </row>
    <row r="42" spans="1:29" ht="15.75" thickBot="1">
      <c r="A42" s="374" t="s">
        <v>2130</v>
      </c>
      <c r="B42" s="563"/>
      <c r="C42" s="377" t="e">
        <f>R43</f>
        <v>#DIV/0!</v>
      </c>
      <c r="D42" s="1724" t="s">
        <v>2501</v>
      </c>
      <c r="E42" s="377" t="e">
        <f>R42</f>
        <v>#DIV/0!</v>
      </c>
      <c r="F42" s="1726"/>
      <c r="G42" s="376" t="e">
        <f>T42</f>
        <v>#DIV/0!</v>
      </c>
      <c r="H42" s="1726"/>
      <c r="I42" s="377" t="e">
        <f>V42</f>
        <v>#DIV/0!</v>
      </c>
      <c r="J42" s="1726"/>
      <c r="K42" s="2428">
        <f>F42+H42+J42</f>
        <v>0</v>
      </c>
      <c r="L42" s="2954"/>
      <c r="M42" s="2943"/>
      <c r="N42" s="2943"/>
      <c r="P42" s="3644" t="str">
        <f>A42</f>
        <v>比较价值（元/平方米）</v>
      </c>
      <c r="Q42" s="3644"/>
      <c r="R42" s="3689" t="e">
        <f>ROUND(PRODUCT(R41,AA7:AA40),0)</f>
        <v>#DIV/0!</v>
      </c>
      <c r="S42" s="3689"/>
      <c r="T42" s="3689" t="e">
        <f>ROUND(PRODUCT(T41,AB7:AB40),0)</f>
        <v>#DIV/0!</v>
      </c>
      <c r="U42" s="3689"/>
      <c r="V42" s="3689" t="e">
        <f>ROUND(PRODUCT(V41,AC7:AC40),0)</f>
        <v>#DIV/0!</v>
      </c>
      <c r="W42" s="3689"/>
      <c r="X42" s="618"/>
      <c r="Y42" s="618"/>
      <c r="Z42" s="618"/>
      <c r="AA42" s="618"/>
      <c r="AB42" s="618"/>
      <c r="AC42" s="618"/>
    </row>
    <row r="43" spans="1:29" ht="15.75" thickBot="1">
      <c r="A43" s="378" t="s">
        <v>2153</v>
      </c>
      <c r="B43" s="379"/>
      <c r="C43" s="380" t="e">
        <f>R43</f>
        <v>#DIV/0!</v>
      </c>
      <c r="D43" s="380"/>
      <c r="E43" s="380"/>
      <c r="F43" s="380"/>
      <c r="G43" s="380"/>
      <c r="H43" s="380"/>
      <c r="I43" s="380"/>
      <c r="J43" s="380"/>
      <c r="K43" s="641"/>
      <c r="L43" s="2954"/>
      <c r="M43" s="2943"/>
      <c r="N43" s="2943"/>
      <c r="P43" s="3646" t="str">
        <f>A43</f>
        <v>估价对象XX用房的比较价值（楼面单价，元/平方米）</v>
      </c>
      <c r="Q43" s="3647"/>
      <c r="R43" s="3688" t="e">
        <f>ROUND(IF(D42="简单平均",AVERAGE(R42:W42),R42*F42+T42*H42+V42*J42),0)</f>
        <v>#DIV/0!</v>
      </c>
      <c r="S43" s="3688"/>
      <c r="T43" s="3688"/>
      <c r="U43" s="3688"/>
      <c r="V43" s="3688"/>
      <c r="W43" s="3688"/>
      <c r="X43" s="618"/>
      <c r="Y43" s="618"/>
      <c r="Z43" s="618"/>
      <c r="AA43" s="618"/>
      <c r="AB43" s="618"/>
      <c r="AC43" s="618"/>
    </row>
    <row r="44" spans="1:29">
      <c r="G44" s="2957"/>
      <c r="M44" s="2943"/>
      <c r="N44" s="2943"/>
    </row>
    <row r="45" spans="1:29">
      <c r="M45" s="2943"/>
      <c r="N45" s="2943"/>
    </row>
    <row r="46" spans="1:29" ht="13.5" customHeight="1">
      <c r="C46" s="383" t="s">
        <v>2132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2215</v>
      </c>
      <c r="B50" s="565" t="s">
        <v>2216</v>
      </c>
      <c r="C50" s="1519" t="s">
        <v>2217</v>
      </c>
      <c r="D50" s="1520" t="s">
        <v>2218</v>
      </c>
      <c r="E50" s="566" t="s">
        <v>2219</v>
      </c>
      <c r="F50" s="567" t="s">
        <v>2220</v>
      </c>
      <c r="G50" s="1263" t="s">
        <v>2252</v>
      </c>
      <c r="H50" s="1263" t="str">
        <f>项目基本情况!G8</f>
        <v>XX</v>
      </c>
      <c r="I50" s="1237" t="s">
        <v>2222</v>
      </c>
      <c r="J50" s="916"/>
      <c r="K50" s="914"/>
    </row>
    <row r="51" spans="1:17" s="572" customFormat="1">
      <c r="A51" s="568" t="s">
        <v>2223</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2224</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2225</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2226</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2227</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2228</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2229</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2230</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2231</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2232</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0" t="str">
        <f>YEAR(C7)&amp;"-"&amp;MONTH(C7)&amp;"-1"</f>
        <v>2022-12-1</v>
      </c>
      <c r="D62" s="1110">
        <f>EDATE(C62,-3)</f>
        <v>44805</v>
      </c>
      <c r="E62" s="1110">
        <f t="shared" ref="E62:O62" si="18">EDATE(D62,-3)</f>
        <v>44713</v>
      </c>
      <c r="F62" s="1110">
        <f t="shared" si="18"/>
        <v>44621</v>
      </c>
      <c r="G62" s="1110">
        <f t="shared" si="18"/>
        <v>44531</v>
      </c>
      <c r="H62" s="1110">
        <f t="shared" si="18"/>
        <v>44440</v>
      </c>
      <c r="I62" s="1110">
        <f t="shared" si="18"/>
        <v>44348</v>
      </c>
      <c r="J62" s="1110">
        <f t="shared" si="18"/>
        <v>44256</v>
      </c>
      <c r="K62" s="1110">
        <f t="shared" si="18"/>
        <v>44166</v>
      </c>
      <c r="L62" s="1110">
        <f t="shared" si="18"/>
        <v>44075</v>
      </c>
      <c r="M62" s="1110">
        <f t="shared" si="18"/>
        <v>43983</v>
      </c>
      <c r="N62" s="1110">
        <f t="shared" si="18"/>
        <v>43891</v>
      </c>
      <c r="O62" s="1110">
        <f t="shared" si="18"/>
        <v>43800</v>
      </c>
    </row>
    <row r="63" spans="1:17" ht="21.75" thickBot="1">
      <c r="A63" s="620" t="s">
        <v>2135</v>
      </c>
      <c r="B63" s="618"/>
      <c r="C63" s="621"/>
      <c r="D63" s="621"/>
      <c r="E63" s="621"/>
      <c r="F63" s="622"/>
      <c r="G63" s="622"/>
      <c r="H63" s="621"/>
      <c r="I63" s="921"/>
      <c r="J63" s="921"/>
      <c r="K63" s="919"/>
      <c r="L63" s="920"/>
      <c r="M63" s="921"/>
      <c r="N63" s="921"/>
      <c r="O63" s="921"/>
      <c r="P63" s="389"/>
      <c r="Q63" s="390"/>
    </row>
    <row r="64" spans="1:17" s="394" customFormat="1" ht="15">
      <c r="A64" s="1522" t="s">
        <v>2233</v>
      </c>
      <c r="B64" s="1054"/>
      <c r="C64" s="1111" t="str">
        <f>YEAR(C62)&amp;"-"&amp;ROUNDUP(MONTH(C62)/3,0)</f>
        <v>2022-4</v>
      </c>
      <c r="D64" s="1111" t="str">
        <f t="shared" ref="D64:O64" si="19">YEAR(D62)&amp;"-"&amp;ROUNDUP(MONTH(D62)/3,0)</f>
        <v>2022-3</v>
      </c>
      <c r="E64" s="1111" t="str">
        <f t="shared" si="19"/>
        <v>2022-2</v>
      </c>
      <c r="F64" s="1111" t="str">
        <f t="shared" si="19"/>
        <v>2022-1</v>
      </c>
      <c r="G64" s="1111" t="str">
        <f t="shared" si="19"/>
        <v>2021-4</v>
      </c>
      <c r="H64" s="1111" t="str">
        <f t="shared" si="19"/>
        <v>2021-3</v>
      </c>
      <c r="I64" s="1111" t="str">
        <f t="shared" si="19"/>
        <v>2021-2</v>
      </c>
      <c r="J64" s="1111" t="str">
        <f t="shared" si="19"/>
        <v>2021-1</v>
      </c>
      <c r="K64" s="1111" t="str">
        <f t="shared" si="19"/>
        <v>2020-4</v>
      </c>
      <c r="L64" s="1111" t="str">
        <f t="shared" si="19"/>
        <v>2020-3</v>
      </c>
      <c r="M64" s="1111" t="str">
        <f t="shared" si="19"/>
        <v>2020-2</v>
      </c>
      <c r="N64" s="1111" t="str">
        <f t="shared" si="19"/>
        <v>2020-1</v>
      </c>
      <c r="O64" s="1111" t="str">
        <f t="shared" si="19"/>
        <v>2019-4</v>
      </c>
      <c r="P64" s="393"/>
    </row>
    <row r="65" spans="1:17" s="25" customFormat="1" ht="33.75" customHeight="1">
      <c r="A65" s="1527" t="s">
        <v>2253</v>
      </c>
      <c r="B65" s="200" t="str">
        <f>"北京市平均增长率"&amp;TEXT(基准地价修正!P24,"0.00%")</f>
        <v>北京市平均增长率1.12%</v>
      </c>
      <c r="C65" s="491">
        <v>100</v>
      </c>
      <c r="D65" s="483"/>
      <c r="E65" s="483"/>
      <c r="F65" s="483"/>
      <c r="G65" s="483"/>
      <c r="H65" s="483"/>
      <c r="I65" s="483"/>
      <c r="J65" s="483"/>
      <c r="K65" s="483"/>
      <c r="L65" s="483"/>
      <c r="M65" s="1109"/>
      <c r="N65" s="483"/>
      <c r="O65" s="1112"/>
      <c r="P65" s="390"/>
    </row>
    <row r="66" spans="1:17" s="25" customFormat="1" ht="15.75" thickBot="1">
      <c r="A66" s="400" t="s">
        <v>2055</v>
      </c>
      <c r="B66" s="401"/>
      <c r="C66" s="402"/>
      <c r="D66" s="403"/>
      <c r="E66" s="403"/>
      <c r="F66" s="403"/>
      <c r="G66" s="403"/>
      <c r="H66" s="403"/>
      <c r="I66" s="403"/>
      <c r="J66" s="403"/>
      <c r="K66" s="403"/>
      <c r="L66" s="403"/>
      <c r="M66" s="404"/>
      <c r="N66" s="403"/>
      <c r="O66" s="1113"/>
      <c r="P66" s="390"/>
      <c r="Q66" s="390"/>
    </row>
    <row r="67" spans="1:17" s="25" customFormat="1" ht="15">
      <c r="A67" s="406" t="s">
        <v>2019</v>
      </c>
      <c r="B67" s="396"/>
      <c r="C67" s="407" t="s">
        <v>2020</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2058</v>
      </c>
      <c r="B69" s="413" t="s">
        <v>2023</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2026</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2027</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2028</v>
      </c>
      <c r="B82" s="413" t="s">
        <v>2162</v>
      </c>
      <c r="C82" s="461" t="s">
        <v>2067</v>
      </c>
      <c r="D82" s="461" t="s">
        <v>2068</v>
      </c>
      <c r="E82" s="461" t="s">
        <v>2069</v>
      </c>
      <c r="F82" s="461" t="s">
        <v>2070</v>
      </c>
      <c r="G82" s="461" t="s">
        <v>2071</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2072</v>
      </c>
      <c r="C84" s="466" t="s">
        <v>2067</v>
      </c>
      <c r="D84" s="466" t="s">
        <v>2068</v>
      </c>
      <c r="E84" s="466" t="s">
        <v>2069</v>
      </c>
      <c r="F84" s="466" t="s">
        <v>2070</v>
      </c>
      <c r="G84" s="466" t="s">
        <v>2071</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2236</v>
      </c>
      <c r="C86" s="461" t="s">
        <v>2067</v>
      </c>
      <c r="D86" s="461" t="s">
        <v>2068</v>
      </c>
      <c r="E86" s="461" t="s">
        <v>2069</v>
      </c>
      <c r="F86" s="461" t="s">
        <v>2070</v>
      </c>
      <c r="G86" s="461" t="s">
        <v>2071</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2237</v>
      </c>
      <c r="C88" s="461" t="s">
        <v>2067</v>
      </c>
      <c r="D88" s="461" t="s">
        <v>2068</v>
      </c>
      <c r="E88" s="461" t="s">
        <v>2069</v>
      </c>
      <c r="F88" s="461" t="s">
        <v>2070</v>
      </c>
      <c r="G88" s="461" t="s">
        <v>2071</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2115</v>
      </c>
      <c r="C90" s="461" t="s">
        <v>2067</v>
      </c>
      <c r="D90" s="461" t="s">
        <v>2068</v>
      </c>
      <c r="E90" s="461" t="s">
        <v>2069</v>
      </c>
      <c r="F90" s="461" t="s">
        <v>2070</v>
      </c>
      <c r="G90" s="461" t="s">
        <v>2071</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2116</v>
      </c>
      <c r="C92" s="426" t="s">
        <v>2074</v>
      </c>
      <c r="D92" s="426" t="s">
        <v>2075</v>
      </c>
      <c r="E92" s="426" t="s">
        <v>2076</v>
      </c>
      <c r="F92" s="426" t="s">
        <v>2077</v>
      </c>
      <c r="G92" s="426" t="s">
        <v>2078</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2238</v>
      </c>
      <c r="D94" s="426" t="s">
        <v>2239</v>
      </c>
      <c r="E94" s="426" t="s">
        <v>2240</v>
      </c>
      <c r="F94" s="426" t="s">
        <v>2241</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2147</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2208</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2033</v>
      </c>
      <c r="B106" s="413" t="s">
        <v>2242</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2243</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2245</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2246</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估价对象为北京市房地产，为XX所有。根据《》[]，估价对象建筑面积为900.27平方米。根据《》[]，估价对象（分摊）出让国有建设用地使用权面积为平方米。估价对象用途为。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2022年12月13日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本次估价的“房地产价值”是指在正常市场情况下，在价值时点2022年12月13日，估价对象规划用途为，假定未设立法定优先受偿款下的房地产市场价值。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2254</v>
      </c>
      <c r="B1" s="2025"/>
      <c r="C1" s="2026" t="s">
        <v>2255</v>
      </c>
      <c r="D1" s="2027">
        <f>SUM(D29:D30,D33:D39)</f>
        <v>900.27</v>
      </c>
      <c r="E1" s="2027"/>
      <c r="F1" s="2027"/>
      <c r="G1" s="2027"/>
      <c r="H1" s="2027"/>
      <c r="I1" s="2027"/>
      <c r="J1" s="2027"/>
      <c r="K1" s="2967"/>
      <c r="L1" s="2028" t="s">
        <v>2256</v>
      </c>
      <c r="M1" s="2029">
        <f>SUMPRODUCT((区片价!B5:B9=I2)*(区片价!C3:F3=E2)*(区片价!C5:F9))</f>
        <v>0</v>
      </c>
      <c r="N1" s="2030">
        <f>SUMPRODUCT((因素修正幅度!B5:B9=I2)*(因素修正幅度!C3:F3=E2)*(因素修正幅度!C5:F9))</f>
        <v>0</v>
      </c>
      <c r="O1" s="2967"/>
      <c r="P1" s="2967"/>
      <c r="Q1" s="2967"/>
      <c r="R1" s="2031" t="s">
        <v>2257</v>
      </c>
      <c r="S1" s="2031" t="s">
        <v>2258</v>
      </c>
      <c r="T1" s="2031" t="s">
        <v>2259</v>
      </c>
      <c r="U1" s="2031" t="s">
        <v>2260</v>
      </c>
      <c r="V1" s="2031" t="s">
        <v>2261</v>
      </c>
      <c r="W1" s="2032"/>
      <c r="X1" s="2032"/>
      <c r="Y1" s="2032"/>
      <c r="Z1" s="2032"/>
      <c r="AA1" s="2032"/>
      <c r="AB1" s="2032"/>
      <c r="AC1" s="2032"/>
      <c r="AD1" s="2033"/>
      <c r="AE1" s="2033"/>
      <c r="AF1" s="2033"/>
      <c r="AG1" s="2033"/>
      <c r="AH1" s="2033"/>
      <c r="AI1" s="2033"/>
      <c r="AJ1" s="2034"/>
    </row>
    <row r="2" spans="1:36" ht="24.75">
      <c r="A2" s="1888" t="s">
        <v>2262</v>
      </c>
      <c r="B2" s="1586" t="e">
        <f>C26</f>
        <v>#REF!</v>
      </c>
      <c r="C2" s="2035" t="s">
        <v>2263</v>
      </c>
      <c r="D2" s="1529" t="s">
        <v>2264</v>
      </c>
      <c r="E2" s="2036" t="s">
        <v>2641</v>
      </c>
      <c r="F2" s="1529" t="s">
        <v>2265</v>
      </c>
      <c r="G2" s="2037">
        <f>项目基本情况!F9</f>
        <v>0</v>
      </c>
      <c r="H2" s="1530" t="s">
        <v>2266</v>
      </c>
      <c r="I2" s="2037">
        <f>项目基本情况!F10</f>
        <v>0</v>
      </c>
      <c r="J2" s="2038"/>
      <c r="K2" s="2967"/>
      <c r="L2" s="2039" t="s">
        <v>2267</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2268</v>
      </c>
      <c r="B3" s="1586" t="e">
        <f>ROUND(B2/D1,0)</f>
        <v>#REF!</v>
      </c>
      <c r="C3" s="2035" t="s">
        <v>2269</v>
      </c>
      <c r="D3" s="1529" t="s">
        <v>2270</v>
      </c>
      <c r="E3" s="2036" t="s">
        <v>2643</v>
      </c>
      <c r="F3" s="1531" t="s">
        <v>2271</v>
      </c>
      <c r="G3" s="2043">
        <f>项目基本情况!C15</f>
        <v>0</v>
      </c>
      <c r="H3" s="50" t="s">
        <v>2272</v>
      </c>
      <c r="I3" s="2044"/>
      <c r="J3" s="2038" t="s">
        <v>2273</v>
      </c>
      <c r="K3" s="2967"/>
      <c r="L3" s="2039" t="s">
        <v>2274</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2"/>
      <c r="B4" s="3693"/>
      <c r="C4" s="3693"/>
      <c r="D4" s="3694"/>
      <c r="E4" s="3694"/>
      <c r="F4" s="3694"/>
      <c r="G4" s="3694"/>
      <c r="H4" s="3694"/>
      <c r="I4" s="3694"/>
      <c r="J4" s="3695"/>
      <c r="K4" s="2967"/>
      <c r="L4" s="2039" t="s">
        <v>2275</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2276</v>
      </c>
      <c r="B5" s="1532" t="s">
        <v>2277</v>
      </c>
      <c r="C5" s="2045">
        <f>ROUND(IF(E2="商业",C6*C7+C16,(IF(E2="住宅",C6*C12+C16,C6+C16))),0)</f>
        <v>0</v>
      </c>
      <c r="D5" s="2046">
        <f>ROUND(C6+C16,0)</f>
        <v>0</v>
      </c>
      <c r="E5" s="2046"/>
      <c r="F5" s="2047"/>
      <c r="G5" s="2048"/>
      <c r="H5" s="2048"/>
      <c r="I5" s="2048"/>
      <c r="J5" s="2005"/>
      <c r="K5" s="1594"/>
      <c r="L5" s="2039" t="s">
        <v>2278</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2279</v>
      </c>
      <c r="C6" s="2054">
        <f>SUMIF(L1:L12,G2,M1:M12)</f>
        <v>0</v>
      </c>
      <c r="D6" s="2055" t="s">
        <v>2280</v>
      </c>
      <c r="E6" s="1533"/>
      <c r="F6" s="1533"/>
      <c r="G6" s="2056"/>
      <c r="H6" s="2056"/>
      <c r="I6" s="2056"/>
      <c r="J6" s="2057"/>
      <c r="K6" s="2968"/>
      <c r="L6" s="2039" t="s">
        <v>2281</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6" t="str">
        <f>IF(E2="商业",IF(C8="不临58条商业街","",2),"")</f>
        <v/>
      </c>
      <c r="B7" s="1534" t="s">
        <v>2282</v>
      </c>
      <c r="C7" s="2058" t="e">
        <f>IF(C8="不临58条商业街",1,ROUND(1+(1.6*E8+1.2*E9+0.8*E10+0.4*E11)*C9,4))</f>
        <v>#DIV/0!</v>
      </c>
      <c r="D7" s="2059" t="s">
        <v>2283</v>
      </c>
      <c r="E7" s="2060"/>
      <c r="F7" s="2061"/>
      <c r="G7" s="2061"/>
      <c r="H7" s="2061"/>
      <c r="I7" s="2061"/>
      <c r="J7" s="2062"/>
      <c r="K7" s="2968"/>
      <c r="L7" s="2039" t="s">
        <v>2284</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2285</v>
      </c>
      <c r="X7" s="2064">
        <f>G2</f>
        <v>0</v>
      </c>
      <c r="Y7" s="2064" t="s">
        <v>2286</v>
      </c>
      <c r="Z7" s="2065">
        <f>G3</f>
        <v>0</v>
      </c>
      <c r="AA7" s="2032"/>
      <c r="AB7" s="2032"/>
      <c r="AC7" s="2032"/>
      <c r="AD7" s="2033"/>
      <c r="AE7" s="2033"/>
      <c r="AF7" s="2033"/>
      <c r="AG7" s="2033"/>
      <c r="AH7" s="2033"/>
      <c r="AI7" s="2033"/>
      <c r="AJ7" s="2034"/>
    </row>
    <row r="8" spans="1:36" ht="15">
      <c r="A8" s="3697"/>
      <c r="B8" s="50" t="s">
        <v>2287</v>
      </c>
      <c r="C8" s="2066"/>
      <c r="D8" s="65" t="s">
        <v>89</v>
      </c>
      <c r="E8" s="2067" t="e">
        <f>ROUND(C11/E7,4)</f>
        <v>#DIV/0!</v>
      </c>
      <c r="F8" s="2068" t="s">
        <v>2288</v>
      </c>
      <c r="G8" s="2069"/>
      <c r="H8" s="2069"/>
      <c r="I8" s="2069"/>
      <c r="J8" s="2070"/>
      <c r="K8" s="2967"/>
      <c r="L8" s="2039" t="s">
        <v>2289</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0" t="s">
        <v>2290</v>
      </c>
      <c r="X8" s="3691"/>
      <c r="Y8" s="2071" t="s">
        <v>2291</v>
      </c>
      <c r="Z8" s="2071" t="s">
        <v>2292</v>
      </c>
      <c r="AA8" s="2071" t="s">
        <v>2293</v>
      </c>
      <c r="AB8" s="2071" t="s">
        <v>2294</v>
      </c>
      <c r="AC8" s="2071" t="s">
        <v>2295</v>
      </c>
      <c r="AD8" s="2071" t="s">
        <v>2296</v>
      </c>
      <c r="AE8" s="2071" t="s">
        <v>2297</v>
      </c>
      <c r="AF8" s="2071" t="s">
        <v>2298</v>
      </c>
      <c r="AG8" s="2071" t="s">
        <v>2299</v>
      </c>
      <c r="AH8" s="2071" t="s">
        <v>2300</v>
      </c>
      <c r="AI8" s="2071" t="s">
        <v>2301</v>
      </c>
      <c r="AJ8" s="2071" t="s">
        <v>2302</v>
      </c>
    </row>
    <row r="9" spans="1:36" ht="15">
      <c r="A9" s="3697"/>
      <c r="B9" s="50" t="s">
        <v>2303</v>
      </c>
      <c r="C9" s="2072">
        <f>SUMIF(修正!C71:C138,C8,修正!E71:E138)</f>
        <v>0</v>
      </c>
      <c r="D9" s="50" t="s">
        <v>90</v>
      </c>
      <c r="E9" s="50" t="e">
        <f>ROUND(C11/E7,4)</f>
        <v>#DIV/0!</v>
      </c>
      <c r="F9" s="2068" t="s">
        <v>2304</v>
      </c>
      <c r="G9" s="2069"/>
      <c r="H9" s="2069"/>
      <c r="I9" s="2069"/>
      <c r="J9" s="2070"/>
      <c r="K9" s="2967"/>
      <c r="L9" s="2039" t="s">
        <v>2305</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1" t="s">
        <v>2306</v>
      </c>
      <c r="X9" s="2073" t="s">
        <v>2307</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97"/>
      <c r="B10" s="50" t="s">
        <v>2308</v>
      </c>
      <c r="C10" s="50">
        <f>SUMIF(修正!C71:C138,C8,修正!F71:F138)</f>
        <v>0</v>
      </c>
      <c r="D10" s="50" t="s">
        <v>91</v>
      </c>
      <c r="E10" s="50" t="e">
        <f>ROUND(C11/E7,4)</f>
        <v>#DIV/0!</v>
      </c>
      <c r="F10" s="2068" t="s">
        <v>2309</v>
      </c>
      <c r="G10" s="2069"/>
      <c r="H10" s="2069"/>
      <c r="I10" s="2069"/>
      <c r="J10" s="2070"/>
      <c r="K10" s="2967"/>
      <c r="L10" s="2039" t="s">
        <v>2310</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1"/>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97"/>
      <c r="B11" s="1535" t="s">
        <v>2311</v>
      </c>
      <c r="C11" s="1535">
        <f>C10/4</f>
        <v>0</v>
      </c>
      <c r="D11" s="1535" t="s">
        <v>92</v>
      </c>
      <c r="E11" s="1535" t="e">
        <f>ROUND(C11/E7,4)</f>
        <v>#DIV/0!</v>
      </c>
      <c r="F11" s="2077" t="s">
        <v>2312</v>
      </c>
      <c r="G11" s="2078"/>
      <c r="H11" s="2078"/>
      <c r="I11" s="2078"/>
      <c r="J11" s="2079"/>
      <c r="K11" s="2967"/>
      <c r="L11" s="2039" t="s">
        <v>2313</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1" t="s">
        <v>2314</v>
      </c>
      <c r="X11" s="2080" t="s">
        <v>2315</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6">
        <f>IF(E2="住宅",2,"")</f>
        <v>2</v>
      </c>
      <c r="B12" s="1536" t="s">
        <v>2316</v>
      </c>
      <c r="C12" s="2058">
        <f>ROUND(C15*D15*E15*F15*G15*H15*I15*J15,4)</f>
        <v>1.32</v>
      </c>
      <c r="D12" s="2082" t="s">
        <v>2317</v>
      </c>
      <c r="E12" s="2083"/>
      <c r="F12" s="2083"/>
      <c r="G12" s="2083"/>
      <c r="H12" s="2083"/>
      <c r="I12" s="2083"/>
      <c r="J12" s="2084"/>
      <c r="K12" s="2967"/>
      <c r="L12" s="2085" t="s">
        <v>2318</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1"/>
      <c r="X12" s="2088" t="s">
        <v>2319</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698"/>
      <c r="B13" s="1537" t="s">
        <v>2320</v>
      </c>
      <c r="C13" s="2089" t="s">
        <v>2321</v>
      </c>
      <c r="D13" s="1538" t="s">
        <v>2322</v>
      </c>
      <c r="E13" s="1538" t="s">
        <v>2323</v>
      </c>
      <c r="F13" s="264" t="s">
        <v>2324</v>
      </c>
      <c r="G13" s="2090" t="s">
        <v>2325</v>
      </c>
      <c r="H13" s="2090" t="s">
        <v>2325</v>
      </c>
      <c r="I13" s="2090" t="s">
        <v>2325</v>
      </c>
      <c r="J13" s="2091" t="s">
        <v>2325</v>
      </c>
      <c r="K13" s="2967"/>
      <c r="L13" s="2967"/>
      <c r="M13" s="2967"/>
      <c r="N13" s="2967"/>
      <c r="O13" s="2967"/>
      <c r="P13" s="2967"/>
      <c r="Q13" s="2967"/>
      <c r="R13" s="2031">
        <v>12</v>
      </c>
      <c r="S13" s="2042"/>
      <c r="T13" s="2031">
        <f t="shared" si="1"/>
        <v>0</v>
      </c>
      <c r="U13" s="2042"/>
      <c r="V13" s="2031">
        <f t="shared" si="2"/>
        <v>0</v>
      </c>
      <c r="W13" s="3691"/>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698"/>
      <c r="B14" s="1538"/>
      <c r="C14" s="2092" t="s">
        <v>2326</v>
      </c>
      <c r="D14" s="2093" t="s">
        <v>2327</v>
      </c>
      <c r="E14" s="2093" t="s">
        <v>2327</v>
      </c>
      <c r="F14" s="2094" t="s">
        <v>2328</v>
      </c>
      <c r="G14" s="2095" t="s">
        <v>2329</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699"/>
      <c r="B15" s="1539" t="s">
        <v>2330</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700">
        <f>IF(E2="办公",2,IF(E2="工业",2,IF(E2="住宅",3,IF(E2="商业",IF(C8="不临58条商业街",2,3)))))</f>
        <v>3</v>
      </c>
      <c r="B16" s="1558" t="s">
        <v>2336</v>
      </c>
      <c r="C16" s="1534">
        <f>ROUND(IF(F17="与级别开发程度一致",0,(G17-E17)/C17),0)</f>
        <v>0</v>
      </c>
      <c r="D16" s="3713" t="s">
        <v>2340</v>
      </c>
      <c r="E16" s="3714"/>
      <c r="F16" s="3713" t="s">
        <v>2337</v>
      </c>
      <c r="G16" s="3714"/>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701"/>
      <c r="B17" s="1559" t="s">
        <v>2339</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2342</v>
      </c>
      <c r="B18" s="1557" t="s">
        <v>2343</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2344</v>
      </c>
      <c r="B19" s="1540" t="s">
        <v>2345</v>
      </c>
      <c r="C19" s="2116">
        <f>ROUND(IF(H19="按公示增长率计算",SUMPRODUCT((地价!A3:A41=YEAR(G19)&amp;"-"&amp;ROUNDUP(MONTH(G19)/3,0))*(地价!X2:AB2=E2)*(地价!X3:AB41)),IF(H19="地价指数",M20/M19,(1+I19)^O19)),4)</f>
        <v>1.7601</v>
      </c>
      <c r="D19" s="2117" t="s">
        <v>2346</v>
      </c>
      <c r="E19" s="2118">
        <v>41640</v>
      </c>
      <c r="F19" s="2117" t="s">
        <v>2347</v>
      </c>
      <c r="G19" s="2119">
        <f>'数据-取费表'!B2</f>
        <v>44908</v>
      </c>
      <c r="H19" s="2120" t="s">
        <v>2482</v>
      </c>
      <c r="I19" s="2121" t="str">
        <f>IF(H19="季度增幅（自定义）",SUMIF(N21:N24,E2,O21:O24),"")</f>
        <v/>
      </c>
      <c r="J19" s="2122"/>
      <c r="K19" s="2969"/>
      <c r="L19" s="2003" t="s">
        <v>2348</v>
      </c>
      <c r="M19" s="2123">
        <f>ROUND(SUMIF(地价!B2:F2,E2,地价!B41:F41),0)</f>
        <v>423</v>
      </c>
      <c r="N19" s="2124" t="s">
        <v>2349</v>
      </c>
      <c r="O19" s="2125">
        <f>ROUNDDOWN(DATEDIF(E19,G19,"M")/3,0)</f>
        <v>35</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2350</v>
      </c>
      <c r="B20" s="1541" t="s">
        <v>2351</v>
      </c>
      <c r="C20" s="2128">
        <f>ROUND(POWER(1+G20,J20-I20)*(POWER(1+G20,I20)-1)/(POWER(1+G20,J20)-1),4)</f>
        <v>0.82220000000000004</v>
      </c>
      <c r="D20" s="2129" t="s">
        <v>2352</v>
      </c>
      <c r="E20" s="3070">
        <f>存贷款利率!E21/100</f>
        <v>4.3499999999999997E-2</v>
      </c>
      <c r="F20" s="2129" t="s">
        <v>2341</v>
      </c>
      <c r="G20" s="3071">
        <f>SUMIF(M26:P26,E2,M28:P28)</f>
        <v>0.05</v>
      </c>
      <c r="H20" s="2129" t="s">
        <v>2353</v>
      </c>
      <c r="I20" s="2130">
        <f>'数据-取费表'!B13</f>
        <v>32.5</v>
      </c>
      <c r="J20" s="2131">
        <f>IF(E2="住宅",70,IF(E2="商业",40,50))</f>
        <v>70</v>
      </c>
      <c r="K20" s="2969"/>
      <c r="L20" s="2132" t="s">
        <v>2354</v>
      </c>
      <c r="M20" s="2133">
        <f>ROUND(SUMPRODUCT((地价!A4:A41=YEAR(G19)&amp;"-"&amp;ROUNDUP(MONTH(G19)/3,0))*(地价!B2:F2=E2)*(地价!B4:F41)),0)</f>
        <v>744</v>
      </c>
      <c r="N20" s="2134" t="s">
        <v>2355</v>
      </c>
      <c r="O20" s="2135" t="s">
        <v>2356</v>
      </c>
      <c r="P20" s="2136" t="s">
        <v>2357</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2358</v>
      </c>
      <c r="B21" s="1542" t="s">
        <v>2359</v>
      </c>
      <c r="C21" s="2138">
        <f>IF(B21="容积率修正",IF(G3&lt;=10,D22,J22),C23)</f>
        <v>0</v>
      </c>
      <c r="D21" s="2139"/>
      <c r="E21" s="2139"/>
      <c r="F21" s="2139"/>
      <c r="G21" s="2139"/>
      <c r="H21" s="2139"/>
      <c r="I21" s="2139"/>
      <c r="J21" s="2004"/>
      <c r="K21" s="2969"/>
      <c r="L21" s="2969"/>
      <c r="M21" s="2969"/>
      <c r="N21" s="2140" t="s">
        <v>2360</v>
      </c>
      <c r="O21" s="2141"/>
      <c r="P21" s="2142">
        <f>SUMPRODUCT((地价!A3:A41=YEAR(G19)&amp;"-"&amp;ROUNDUP(MONTH(G19)/3,0))*(地价!AD2:AH2=N21)*(地价!AD3:AH41))</f>
        <v>9.4999999999999998E-3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2361</v>
      </c>
      <c r="C22" s="1999" t="s">
        <v>2362</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2363</v>
      </c>
      <c r="O22" s="2141"/>
      <c r="P22" s="2142">
        <f>SUMPRODUCT((地价!A3:A41=YEAR(G19)&amp;"-"&amp;ROUNDUP(MONTH(G19)/3,0))*(地价!AD2:AH2=N22)*(地价!AD3:AH41))</f>
        <v>9.4999999999999998E-3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2364</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2365</v>
      </c>
      <c r="O23" s="2141"/>
      <c r="P23" s="2142">
        <f>SUMPRODUCT((地价!A3:A41=YEAR(G19)&amp;"-"&amp;ROUNDUP(MONTH(G19)/3,0))*(地价!AD2:AH2=N23)*(地价!AD3:AH41))</f>
        <v>1.6899999999999998E-2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2366</v>
      </c>
      <c r="B24" s="1544" t="s">
        <v>2367</v>
      </c>
      <c r="C24" s="2148">
        <f>SUMIF(A46:A88,E2,B46:B88)</f>
        <v>1</v>
      </c>
      <c r="D24" s="2149"/>
      <c r="E24" s="2150"/>
      <c r="F24" s="2150"/>
      <c r="G24" s="2150"/>
      <c r="H24" s="2150"/>
      <c r="I24" s="2150"/>
      <c r="J24" s="2151"/>
      <c r="K24" s="2969"/>
      <c r="L24" s="2969"/>
      <c r="M24" s="2969"/>
      <c r="N24" s="2152" t="s">
        <v>2368</v>
      </c>
      <c r="O24" s="2153"/>
      <c r="P24" s="2154">
        <f>SUMPRODUCT((地价!A3:A41=YEAR(G19)&amp;"-"&amp;ROUNDUP(MONTH(G19)/3,0))*(地价!AD2:AH2=N24)*(地价!AD3:AH41))</f>
        <v>1.12E-2</v>
      </c>
      <c r="Q24" s="2969"/>
      <c r="R24" s="2967"/>
      <c r="S24" s="2967"/>
      <c r="T24" s="2967"/>
      <c r="U24" s="2967"/>
      <c r="V24" s="2967"/>
      <c r="W24" s="2967"/>
      <c r="X24" s="1550"/>
      <c r="Y24" s="1550"/>
      <c r="Z24" s="1550"/>
      <c r="AA24" s="1550"/>
      <c r="AB24" s="1550"/>
      <c r="AC24" s="1550"/>
      <c r="AD24" s="1550"/>
      <c r="AE24" s="2115"/>
      <c r="AF24" s="2115"/>
    </row>
    <row r="25" spans="1:35" ht="15" thickBot="1">
      <c r="A25" s="1645" t="s">
        <v>2369</v>
      </c>
      <c r="B25" s="1545" t="s">
        <v>2370</v>
      </c>
      <c r="C25" s="2155"/>
      <c r="D25" s="2061"/>
      <c r="E25" s="2061"/>
      <c r="F25" s="2156"/>
      <c r="G25" s="2061"/>
      <c r="H25" s="2061"/>
      <c r="I25" s="2061"/>
      <c r="J25" s="2062"/>
      <c r="K25" s="2967"/>
      <c r="L25" s="2967"/>
      <c r="M25" s="2967"/>
      <c r="N25" s="2970" t="s">
        <v>2371</v>
      </c>
      <c r="O25" s="2971"/>
      <c r="P25" s="2972">
        <f>SUMPRODUCT((地价!A3:A41=YEAR(G19)&amp;"-"&amp;ROUNDUP(MONTH(G19)/3,0))*(地价!AD2:AH2=N25)*(地价!AD3:AH41))</f>
        <v>1.5299999999999999E-2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2372</v>
      </c>
      <c r="C26" s="2807" t="e">
        <f>IF(B21="容积率修正",E29+SUM(E33:E39),SUM(V2:V16)+SUM(E33:E39))</f>
        <v>#REF!</v>
      </c>
      <c r="D26" s="2157"/>
      <c r="E26" s="2096"/>
      <c r="F26" s="1405"/>
      <c r="G26" s="2096"/>
      <c r="H26" s="2096"/>
      <c r="I26" s="2096"/>
      <c r="J26" s="2158"/>
      <c r="K26" s="2967"/>
      <c r="L26" s="2973" t="s">
        <v>2331</v>
      </c>
      <c r="M26" s="2059" t="s">
        <v>2332</v>
      </c>
      <c r="N26" s="2059" t="s">
        <v>2333</v>
      </c>
      <c r="O26" s="2059" t="s">
        <v>2334</v>
      </c>
      <c r="P26" s="2974" t="s">
        <v>2335</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2373</v>
      </c>
      <c r="C27" s="2159" t="e">
        <f>E30+SUM(I33:I39)</f>
        <v>#REF!</v>
      </c>
      <c r="D27" s="2108"/>
      <c r="E27" s="2160"/>
      <c r="F27" s="2161"/>
      <c r="G27" s="2160"/>
      <c r="H27" s="2160"/>
      <c r="I27" s="2160"/>
      <c r="J27" s="2162"/>
      <c r="K27" s="2967"/>
      <c r="L27" s="2163" t="s">
        <v>2338</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2374</v>
      </c>
      <c r="C28" s="2166" t="s">
        <v>2375</v>
      </c>
      <c r="D28" s="2166" t="s">
        <v>2376</v>
      </c>
      <c r="E28" s="1545" t="s">
        <v>2377</v>
      </c>
      <c r="F28" s="2167"/>
      <c r="G28" s="2083"/>
      <c r="H28" s="2083"/>
      <c r="I28" s="2083"/>
      <c r="J28" s="2084"/>
      <c r="K28" s="2967"/>
      <c r="L28" s="2168" t="s">
        <v>2341</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2378</v>
      </c>
      <c r="C29" s="54">
        <f>ROUND(C5*C18*C19*C20*C21*C24,0)</f>
        <v>0</v>
      </c>
      <c r="D29" s="2171">
        <f>项目基本情况!C12</f>
        <v>900.27</v>
      </c>
      <c r="E29" s="1958">
        <f>ROUND(C29*D29,0)</f>
        <v>0</v>
      </c>
      <c r="F29" s="2172" t="s">
        <v>2379</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2380</v>
      </c>
      <c r="C30" s="2099">
        <f>ROUND(IF(E2="工业",C29*M39,C29*M38),0)</f>
        <v>0</v>
      </c>
      <c r="D30" s="2176"/>
      <c r="E30" s="1958">
        <f>ROUND(C30*D30,0)</f>
        <v>0</v>
      </c>
      <c r="F30" s="2177" t="s">
        <v>2381</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2382</v>
      </c>
      <c r="C31" s="2181" t="s">
        <v>2383</v>
      </c>
      <c r="D31" s="2083"/>
      <c r="E31" s="2181"/>
      <c r="F31" s="2181"/>
      <c r="G31" s="2082" t="s">
        <v>2384</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2375</v>
      </c>
      <c r="D32" s="1735" t="s">
        <v>2376</v>
      </c>
      <c r="E32" s="1735" t="s">
        <v>2377</v>
      </c>
      <c r="F32" s="50" t="s">
        <v>2385</v>
      </c>
      <c r="G32" s="2144" t="s">
        <v>2375</v>
      </c>
      <c r="H32" s="2144" t="s">
        <v>2376</v>
      </c>
      <c r="I32" s="2144" t="s">
        <v>2377</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710" t="s">
        <v>2386</v>
      </c>
      <c r="B33" s="2184" t="s">
        <v>2387</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711"/>
      <c r="B34" s="2089" t="s">
        <v>2388</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711"/>
      <c r="B35" s="2089" t="s">
        <v>2389</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712"/>
      <c r="B36" s="2089" t="s">
        <v>2390</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2391</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2392</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2393</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2394</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2395</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2335</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2396</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2397</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2398</v>
      </c>
      <c r="B47" s="2206" t="s">
        <v>2399</v>
      </c>
      <c r="C47" s="2206" t="s">
        <v>2400</v>
      </c>
      <c r="D47" s="2206" t="s">
        <v>2401</v>
      </c>
      <c r="E47" s="2207" t="s">
        <v>2402</v>
      </c>
      <c r="F47" s="2157" t="s">
        <v>2403</v>
      </c>
      <c r="G47" s="2206" t="s">
        <v>2404</v>
      </c>
      <c r="H47" s="2208" t="s">
        <v>2405</v>
      </c>
      <c r="I47" s="2206" t="s">
        <v>2406</v>
      </c>
      <c r="J47" s="1833" t="s">
        <v>2407</v>
      </c>
      <c r="K47" s="1833" t="s">
        <v>2408</v>
      </c>
      <c r="L47" s="1833" t="s">
        <v>2409</v>
      </c>
      <c r="M47" s="1833" t="s">
        <v>2410</v>
      </c>
      <c r="N47" s="1833" t="s">
        <v>2411</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2412</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2413</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2414</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2415</v>
      </c>
      <c r="B51" s="2219" t="s">
        <v>2416</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2417</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2418</v>
      </c>
      <c r="B53" s="2220" t="s">
        <v>2419</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2420</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2421</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2422</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2423</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2398</v>
      </c>
      <c r="B58" s="2217"/>
      <c r="C58" s="2206" t="s">
        <v>2400</v>
      </c>
      <c r="D58" s="2206" t="s">
        <v>2401</v>
      </c>
      <c r="E58" s="2207" t="s">
        <v>2402</v>
      </c>
      <c r="F58" s="2157" t="s">
        <v>2403</v>
      </c>
      <c r="G58" s="2206" t="s">
        <v>2424</v>
      </c>
      <c r="H58" s="2208" t="s">
        <v>2425</v>
      </c>
      <c r="I58" s="2206" t="s">
        <v>2426</v>
      </c>
      <c r="J58" s="1833" t="s">
        <v>2067</v>
      </c>
      <c r="K58" s="1833" t="s">
        <v>2068</v>
      </c>
      <c r="L58" s="1833" t="s">
        <v>2069</v>
      </c>
      <c r="M58" s="1833" t="s">
        <v>2070</v>
      </c>
      <c r="N58" s="1833" t="s">
        <v>2071</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2427</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2413</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2414</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2415</v>
      </c>
      <c r="B62" s="2219" t="s">
        <v>2416</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2417</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2418</v>
      </c>
      <c r="B64" s="2220" t="s">
        <v>2419</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2420</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2421</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2422</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2428</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2398</v>
      </c>
      <c r="B69" s="2217"/>
      <c r="C69" s="2206" t="s">
        <v>2400</v>
      </c>
      <c r="D69" s="2206" t="s">
        <v>2401</v>
      </c>
      <c r="E69" s="2207" t="s">
        <v>2402</v>
      </c>
      <c r="F69" s="2157" t="s">
        <v>2403</v>
      </c>
      <c r="G69" s="2206" t="s">
        <v>2424</v>
      </c>
      <c r="H69" s="2208" t="s">
        <v>2425</v>
      </c>
      <c r="I69" s="2206" t="s">
        <v>2426</v>
      </c>
      <c r="J69" s="1833" t="s">
        <v>2067</v>
      </c>
      <c r="K69" s="1833" t="s">
        <v>2068</v>
      </c>
      <c r="L69" s="1833" t="s">
        <v>2069</v>
      </c>
      <c r="M69" s="1833" t="s">
        <v>2070</v>
      </c>
      <c r="N69" s="1833" t="s">
        <v>2071</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2429</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2413</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2414</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2430</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2420</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2421</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2418</v>
      </c>
      <c r="B76" s="2220" t="s">
        <v>2419</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2422</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2431</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2432</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2398</v>
      </c>
      <c r="B80" s="2217"/>
      <c r="C80" s="2206" t="s">
        <v>2400</v>
      </c>
      <c r="D80" s="2206" t="s">
        <v>2401</v>
      </c>
      <c r="E80" s="2207" t="s">
        <v>2402</v>
      </c>
      <c r="F80" s="2157" t="s">
        <v>2403</v>
      </c>
      <c r="G80" s="2206" t="s">
        <v>2424</v>
      </c>
      <c r="H80" s="2208" t="s">
        <v>2425</v>
      </c>
      <c r="I80" s="2206" t="s">
        <v>2426</v>
      </c>
      <c r="J80" s="1833" t="s">
        <v>2067</v>
      </c>
      <c r="K80" s="1833" t="s">
        <v>2068</v>
      </c>
      <c r="L80" s="1833" t="s">
        <v>2069</v>
      </c>
      <c r="M80" s="1833" t="s">
        <v>2070</v>
      </c>
      <c r="N80" s="1833" t="s">
        <v>2071</v>
      </c>
      <c r="Q80" s="2975"/>
      <c r="R80" s="2975"/>
      <c r="S80" s="2975"/>
      <c r="T80" s="2975"/>
      <c r="U80" s="2975"/>
      <c r="V80" s="2975"/>
      <c r="W80" s="2975"/>
      <c r="AA80" s="1551"/>
      <c r="AG80" s="2192"/>
    </row>
    <row r="81" spans="1:33" ht="38.25">
      <c r="A81" s="2205" t="s">
        <v>2433</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2413</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2414</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2430</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2420</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2421</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2418</v>
      </c>
      <c r="B87" s="2220" t="s">
        <v>2419</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2434</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702" t="s">
        <v>2435</v>
      </c>
      <c r="B90" s="3702"/>
      <c r="C90" s="3702"/>
      <c r="D90" s="3702"/>
      <c r="E90" s="3702"/>
      <c r="F90" s="3702"/>
      <c r="G90" s="3702"/>
      <c r="H90" s="3702"/>
      <c r="I90" s="3702"/>
      <c r="J90" s="3702"/>
      <c r="K90" s="2233"/>
      <c r="L90" s="2233"/>
      <c r="M90" s="2233"/>
      <c r="N90" s="2233"/>
      <c r="Q90" s="2975"/>
      <c r="R90" s="2975"/>
      <c r="S90" s="2975"/>
      <c r="T90" s="2975"/>
      <c r="U90" s="2975"/>
      <c r="V90" s="2975"/>
      <c r="W90" s="2975"/>
    </row>
    <row r="91" spans="1:33">
      <c r="A91" s="3704" t="s">
        <v>2436</v>
      </c>
      <c r="B91" s="3704" t="s">
        <v>2437</v>
      </c>
      <c r="C91" s="2172" t="s">
        <v>2438</v>
      </c>
      <c r="D91" s="2173"/>
      <c r="E91" s="2173"/>
      <c r="F91" s="2173"/>
      <c r="G91" s="2173"/>
      <c r="H91" s="2173"/>
      <c r="I91" s="2173"/>
      <c r="J91" s="2235"/>
      <c r="K91" s="1995"/>
      <c r="L91" s="1995"/>
      <c r="M91" s="1995"/>
      <c r="N91" s="1995"/>
      <c r="Q91" s="2975"/>
      <c r="R91" s="2975"/>
      <c r="S91" s="2975"/>
      <c r="T91" s="2975"/>
      <c r="U91" s="2975"/>
      <c r="V91" s="2975"/>
      <c r="W91" s="2975"/>
    </row>
    <row r="92" spans="1:33">
      <c r="A92" s="3704"/>
      <c r="B92" s="3704"/>
      <c r="C92" s="1958" t="s">
        <v>2291</v>
      </c>
      <c r="D92" s="1958" t="s">
        <v>2292</v>
      </c>
      <c r="E92" s="1958" t="s">
        <v>2293</v>
      </c>
      <c r="F92" s="1958" t="s">
        <v>2294</v>
      </c>
      <c r="G92" s="1958" t="s">
        <v>2295</v>
      </c>
      <c r="H92" s="1958" t="s">
        <v>2296</v>
      </c>
      <c r="I92" s="1958" t="s">
        <v>2297</v>
      </c>
      <c r="J92" s="1958" t="s">
        <v>2298</v>
      </c>
      <c r="K92" s="1958" t="s">
        <v>2299</v>
      </c>
      <c r="L92" s="1958" t="s">
        <v>2300</v>
      </c>
      <c r="M92" s="1958" t="s">
        <v>2301</v>
      </c>
      <c r="N92" s="1958" t="s">
        <v>2302</v>
      </c>
      <c r="Q92" s="2975"/>
      <c r="R92" s="2975"/>
      <c r="S92" s="2975"/>
      <c r="T92" s="2975"/>
      <c r="U92" s="2975"/>
      <c r="V92" s="2975"/>
      <c r="W92" s="2975"/>
    </row>
    <row r="93" spans="1:33">
      <c r="A93" s="3705" t="s">
        <v>2439</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06"/>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06"/>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06"/>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06"/>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06"/>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06"/>
      <c r="B99" s="2236" t="s">
        <v>2307</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07"/>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05" t="s">
        <v>2440</v>
      </c>
      <c r="B101" s="2240" t="s">
        <v>2441</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06"/>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06"/>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06"/>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06"/>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06"/>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06"/>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06"/>
      <c r="B108" s="3708" t="s">
        <v>2442</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07"/>
      <c r="B109" s="3709"/>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703" t="s">
        <v>2443</v>
      </c>
      <c r="B110" s="3703"/>
      <c r="C110" s="3703"/>
      <c r="D110" s="3703"/>
      <c r="E110" s="3703"/>
      <c r="F110" s="3703"/>
      <c r="G110" s="3703"/>
      <c r="H110" s="3703"/>
      <c r="I110" s="3703"/>
      <c r="J110" s="3703"/>
      <c r="K110" s="2007"/>
      <c r="L110" s="2007"/>
      <c r="M110" s="2007"/>
      <c r="N110" s="2007"/>
      <c r="Q110" s="2975"/>
      <c r="R110" s="2975"/>
      <c r="S110" s="2975"/>
      <c r="T110" s="2975"/>
      <c r="U110" s="2975"/>
      <c r="V110" s="2975"/>
      <c r="W110" s="2975"/>
    </row>
    <row r="112" spans="1:23" ht="13.5" thickBot="1"/>
    <row r="113" spans="1:13" ht="25.5" thickBot="1">
      <c r="A113" s="2242" t="s">
        <v>2444</v>
      </c>
      <c r="B113" s="2243">
        <f>G3</f>
        <v>0</v>
      </c>
      <c r="C113" s="2244" t="s">
        <v>2445</v>
      </c>
      <c r="D113" s="2245">
        <f>SUMPRODUCT((A115:A118=F113)*(B114:M114=H113)*B115:M118)</f>
        <v>0</v>
      </c>
      <c r="E113" s="1529" t="s">
        <v>2331</v>
      </c>
      <c r="F113" s="2246" t="str">
        <f>E2</f>
        <v>住宅</v>
      </c>
      <c r="G113" s="1529" t="s">
        <v>2265</v>
      </c>
      <c r="H113" s="2246">
        <f>G2</f>
        <v>0</v>
      </c>
      <c r="I113" s="1529"/>
      <c r="J113" s="2247"/>
      <c r="K113" s="2247"/>
      <c r="L113" s="2247"/>
      <c r="M113" s="2247"/>
    </row>
    <row r="114" spans="1:13">
      <c r="A114" s="2248"/>
      <c r="B114" s="2249" t="s">
        <v>2446</v>
      </c>
      <c r="C114" s="2249" t="s">
        <v>2447</v>
      </c>
      <c r="D114" s="2249" t="s">
        <v>2448</v>
      </c>
      <c r="E114" s="2250" t="s">
        <v>2449</v>
      </c>
      <c r="F114" s="2250" t="s">
        <v>2450</v>
      </c>
      <c r="G114" s="2250" t="s">
        <v>2451</v>
      </c>
      <c r="H114" s="2251" t="s">
        <v>2452</v>
      </c>
      <c r="I114" s="2251" t="s">
        <v>2453</v>
      </c>
      <c r="J114" s="2252" t="s">
        <v>2454</v>
      </c>
      <c r="K114" s="2252" t="s">
        <v>2455</v>
      </c>
      <c r="L114" s="2252" t="s">
        <v>2456</v>
      </c>
      <c r="M114" s="2253" t="s">
        <v>2457</v>
      </c>
    </row>
    <row r="115" spans="1:13">
      <c r="A115" s="2254" t="s">
        <v>2332</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2333</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2334</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2335</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5" t="s">
        <v>597</v>
      </c>
      <c r="B1" s="3715"/>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5" t="s">
        <v>105</v>
      </c>
      <c r="B1" s="3715"/>
      <c r="C1" s="3715"/>
      <c r="D1" s="3715"/>
      <c r="E1" s="3715"/>
      <c r="F1" s="3715"/>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6" t="s">
        <v>118</v>
      </c>
      <c r="B2" s="3716"/>
      <c r="C2" s="3716"/>
      <c r="D2" s="3716"/>
      <c r="E2" s="3716"/>
      <c r="F2" s="3716"/>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7"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8"/>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22" t="s">
        <v>2801</v>
      </c>
      <c r="B20" s="3725" t="s">
        <v>2809</v>
      </c>
      <c r="C20" s="3288" t="s">
        <v>2810</v>
      </c>
      <c r="D20" s="3289"/>
      <c r="E20" s="3290">
        <v>1</v>
      </c>
      <c r="F20" s="3291" t="s">
        <v>2811</v>
      </c>
      <c r="G20" s="3291"/>
    </row>
    <row r="21" spans="1:13" ht="19.5" customHeight="1">
      <c r="A21" s="3723"/>
      <c r="B21" s="3720"/>
      <c r="C21" s="740" t="s">
        <v>2812</v>
      </c>
      <c r="D21" s="741"/>
      <c r="E21" s="3292">
        <v>1</v>
      </c>
      <c r="F21" s="3291" t="s">
        <v>2813</v>
      </c>
      <c r="G21" s="3291"/>
    </row>
    <row r="22" spans="1:13" ht="19.5" customHeight="1">
      <c r="A22" s="3723"/>
      <c r="B22" s="3720"/>
      <c r="C22" s="740" t="s">
        <v>2814</v>
      </c>
      <c r="D22" s="741"/>
      <c r="E22" s="3292">
        <v>0.9</v>
      </c>
      <c r="F22" s="3291" t="s">
        <v>2815</v>
      </c>
      <c r="G22" s="3291"/>
    </row>
    <row r="23" spans="1:13" ht="19.5" customHeight="1">
      <c r="A23" s="3723"/>
      <c r="B23" s="3720"/>
      <c r="C23" s="740" t="s">
        <v>2816</v>
      </c>
      <c r="D23" s="741"/>
      <c r="E23" s="3292">
        <v>0.9</v>
      </c>
      <c r="F23" s="3291" t="s">
        <v>2817</v>
      </c>
      <c r="G23" s="3291"/>
    </row>
    <row r="24" spans="1:13" ht="19.5" customHeight="1">
      <c r="A24" s="3723"/>
      <c r="B24" s="3720"/>
      <c r="C24" s="740" t="s">
        <v>2818</v>
      </c>
      <c r="D24" s="741"/>
      <c r="E24" s="3292">
        <v>0.8</v>
      </c>
      <c r="F24" s="3291" t="s">
        <v>2819</v>
      </c>
      <c r="G24" s="3291"/>
    </row>
    <row r="25" spans="1:13" ht="19.5" customHeight="1" thickBot="1">
      <c r="A25" s="3724"/>
      <c r="B25" s="3726"/>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7" t="s">
        <v>2806</v>
      </c>
      <c r="B27" s="3725" t="s">
        <v>2806</v>
      </c>
      <c r="C27" s="3288" t="s">
        <v>2823</v>
      </c>
      <c r="D27" s="3289"/>
      <c r="E27" s="3290">
        <v>1</v>
      </c>
      <c r="F27" s="3291" t="s">
        <v>2864</v>
      </c>
      <c r="G27" s="3291"/>
    </row>
    <row r="28" spans="1:13" ht="19.5" customHeight="1">
      <c r="A28" s="3728"/>
      <c r="B28" s="3720"/>
      <c r="C28" s="740" t="s">
        <v>2824</v>
      </c>
      <c r="D28" s="741"/>
      <c r="E28" s="3292">
        <v>1</v>
      </c>
      <c r="F28" s="3291" t="s">
        <v>2865</v>
      </c>
      <c r="G28" s="3291"/>
    </row>
    <row r="29" spans="1:13" ht="19.5" customHeight="1">
      <c r="A29" s="3728"/>
      <c r="B29" s="3720"/>
      <c r="C29" s="740" t="s">
        <v>2825</v>
      </c>
      <c r="D29" s="741"/>
      <c r="E29" s="3292">
        <v>0.8</v>
      </c>
      <c r="F29" s="3291" t="s">
        <v>2866</v>
      </c>
      <c r="G29" s="3291"/>
    </row>
    <row r="30" spans="1:13" ht="19.5" customHeight="1">
      <c r="A30" s="3728"/>
      <c r="B30" s="3720"/>
      <c r="C30" s="740" t="s">
        <v>2826</v>
      </c>
      <c r="D30" s="741"/>
      <c r="E30" s="3292">
        <v>0.8</v>
      </c>
      <c r="F30" s="3291" t="s">
        <v>2867</v>
      </c>
      <c r="G30" s="3291"/>
    </row>
    <row r="31" spans="1:13" ht="19.5" customHeight="1">
      <c r="A31" s="3728"/>
      <c r="B31" s="3720"/>
      <c r="C31" s="740" t="s">
        <v>2827</v>
      </c>
      <c r="D31" s="741"/>
      <c r="E31" s="3292">
        <v>0.8</v>
      </c>
      <c r="F31" s="3291" t="s">
        <v>2868</v>
      </c>
      <c r="G31" s="3291"/>
    </row>
    <row r="32" spans="1:13" ht="19.5" customHeight="1">
      <c r="A32" s="3728"/>
      <c r="B32" s="3720"/>
      <c r="C32" s="740" t="s">
        <v>2828</v>
      </c>
      <c r="D32" s="741"/>
      <c r="E32" s="3292">
        <v>0.7</v>
      </c>
      <c r="F32" s="3291" t="s">
        <v>2869</v>
      </c>
      <c r="G32" s="3291"/>
    </row>
    <row r="33" spans="1:7" ht="19.5" customHeight="1">
      <c r="A33" s="3728"/>
      <c r="B33" s="3720"/>
      <c r="C33" s="740" t="s">
        <v>2829</v>
      </c>
      <c r="D33" s="741"/>
      <c r="E33" s="3292">
        <v>0.8</v>
      </c>
      <c r="F33" s="3291" t="s">
        <v>2870</v>
      </c>
      <c r="G33" s="3291"/>
    </row>
    <row r="34" spans="1:7" ht="19.5" customHeight="1">
      <c r="A34" s="3728"/>
      <c r="B34" s="3720"/>
      <c r="C34" s="740" t="s">
        <v>2830</v>
      </c>
      <c r="D34" s="741"/>
      <c r="E34" s="3292">
        <v>0.6</v>
      </c>
      <c r="F34" s="3291" t="s">
        <v>2871</v>
      </c>
      <c r="G34" s="3291"/>
    </row>
    <row r="35" spans="1:7" ht="19.5" customHeight="1">
      <c r="A35" s="3728"/>
      <c r="B35" s="3720"/>
      <c r="C35" s="740" t="s">
        <v>2831</v>
      </c>
      <c r="D35" s="741"/>
      <c r="E35" s="3292">
        <v>0.2</v>
      </c>
      <c r="F35" s="3291" t="s">
        <v>2872</v>
      </c>
      <c r="G35" s="3291"/>
    </row>
    <row r="36" spans="1:7" ht="19.5" customHeight="1">
      <c r="A36" s="3728"/>
      <c r="B36" s="3720"/>
      <c r="C36" s="740" t="s">
        <v>2832</v>
      </c>
      <c r="D36" s="741"/>
      <c r="E36" s="3292">
        <v>0.2</v>
      </c>
      <c r="F36" s="3291" t="s">
        <v>2873</v>
      </c>
      <c r="G36" s="3291"/>
    </row>
    <row r="37" spans="1:7" ht="19.5" customHeight="1">
      <c r="A37" s="3728"/>
      <c r="B37" s="3719" t="s">
        <v>2833</v>
      </c>
      <c r="C37" s="740" t="s">
        <v>2834</v>
      </c>
      <c r="D37" s="741"/>
      <c r="E37" s="3292">
        <v>0.6</v>
      </c>
      <c r="F37" s="3291" t="s">
        <v>2874</v>
      </c>
      <c r="G37" s="3291"/>
    </row>
    <row r="38" spans="1:7" ht="19.5" customHeight="1">
      <c r="A38" s="3728"/>
      <c r="B38" s="3720"/>
      <c r="C38" s="740" t="s">
        <v>2835</v>
      </c>
      <c r="D38" s="741"/>
      <c r="E38" s="3292">
        <v>0.6</v>
      </c>
      <c r="F38" s="3291" t="s">
        <v>2875</v>
      </c>
      <c r="G38" s="3291"/>
    </row>
    <row r="39" spans="1:7" ht="19.5" customHeight="1" thickBot="1">
      <c r="A39" s="3729"/>
      <c r="B39" s="3726"/>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22" t="s">
        <v>2839</v>
      </c>
      <c r="B41" s="3725" t="s">
        <v>2840</v>
      </c>
      <c r="C41" s="3288" t="s">
        <v>2841</v>
      </c>
      <c r="D41" s="3289"/>
      <c r="E41" s="3290">
        <v>1</v>
      </c>
      <c r="F41" s="3291" t="s">
        <v>2842</v>
      </c>
      <c r="G41" s="3291"/>
    </row>
    <row r="42" spans="1:7" ht="19.5" customHeight="1">
      <c r="A42" s="3723"/>
      <c r="B42" s="3720"/>
      <c r="C42" s="740" t="s">
        <v>2843</v>
      </c>
      <c r="D42" s="741"/>
      <c r="E42" s="3292">
        <v>1</v>
      </c>
      <c r="F42" s="3291" t="s">
        <v>2844</v>
      </c>
      <c r="G42" s="3291"/>
    </row>
    <row r="43" spans="1:7" ht="19.5" customHeight="1">
      <c r="A43" s="3723"/>
      <c r="B43" s="3721"/>
      <c r="C43" s="740" t="s">
        <v>2845</v>
      </c>
      <c r="D43" s="741"/>
      <c r="E43" s="3292">
        <v>1.5</v>
      </c>
      <c r="F43" s="3291" t="s">
        <v>2846</v>
      </c>
      <c r="G43" s="3291"/>
    </row>
    <row r="44" spans="1:7" ht="19.5" customHeight="1">
      <c r="A44" s="3723"/>
      <c r="B44" s="3301" t="s">
        <v>2806</v>
      </c>
      <c r="C44" s="740" t="s">
        <v>2805</v>
      </c>
      <c r="D44" s="741"/>
      <c r="E44" s="3292">
        <v>2</v>
      </c>
      <c r="F44" s="3291" t="s">
        <v>2847</v>
      </c>
      <c r="G44" s="3291"/>
    </row>
    <row r="45" spans="1:7" ht="19.5" customHeight="1">
      <c r="A45" s="3723"/>
      <c r="B45" s="3719" t="s">
        <v>2848</v>
      </c>
      <c r="C45" s="740" t="s">
        <v>2849</v>
      </c>
      <c r="D45" s="741"/>
      <c r="E45" s="3292">
        <v>1</v>
      </c>
      <c r="F45" s="3291" t="s">
        <v>2850</v>
      </c>
      <c r="G45" s="3291"/>
    </row>
    <row r="46" spans="1:7" ht="19.5" customHeight="1">
      <c r="A46" s="3723"/>
      <c r="B46" s="3720"/>
      <c r="C46" s="740" t="s">
        <v>2851</v>
      </c>
      <c r="D46" s="741"/>
      <c r="E46" s="3292">
        <v>1</v>
      </c>
      <c r="F46" s="3291" t="s">
        <v>2852</v>
      </c>
      <c r="G46" s="3291"/>
    </row>
    <row r="47" spans="1:7" ht="19.5" customHeight="1">
      <c r="A47" s="3723"/>
      <c r="B47" s="3720"/>
      <c r="C47" s="740" t="s">
        <v>2853</v>
      </c>
      <c r="D47" s="741"/>
      <c r="E47" s="3292">
        <v>1</v>
      </c>
      <c r="F47" s="3291" t="s">
        <v>2854</v>
      </c>
      <c r="G47" s="3291"/>
    </row>
    <row r="48" spans="1:7" ht="19.5" customHeight="1">
      <c r="A48" s="3723"/>
      <c r="B48" s="3720"/>
      <c r="C48" s="740" t="s">
        <v>2855</v>
      </c>
      <c r="D48" s="741"/>
      <c r="E48" s="3292">
        <v>1</v>
      </c>
      <c r="F48" s="3291" t="s">
        <v>2856</v>
      </c>
      <c r="G48" s="3291"/>
    </row>
    <row r="49" spans="1:7" ht="19.5" customHeight="1">
      <c r="A49" s="3723"/>
      <c r="B49" s="3720"/>
      <c r="C49" s="740" t="s">
        <v>2857</v>
      </c>
      <c r="D49" s="741"/>
      <c r="E49" s="3292">
        <v>1</v>
      </c>
      <c r="F49" s="3291" t="s">
        <v>2858</v>
      </c>
      <c r="G49" s="3291"/>
    </row>
    <row r="50" spans="1:7" ht="19.5" customHeight="1">
      <c r="A50" s="3723"/>
      <c r="B50" s="3720"/>
      <c r="C50" s="740" t="s">
        <v>2859</v>
      </c>
      <c r="D50" s="741"/>
      <c r="E50" s="3292">
        <v>1</v>
      </c>
      <c r="F50" s="3291" t="s">
        <v>2860</v>
      </c>
      <c r="G50" s="3291"/>
    </row>
    <row r="51" spans="1:7" ht="19.5" customHeight="1" thickBot="1">
      <c r="A51" s="3724"/>
      <c r="B51" s="3726"/>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9" t="s">
        <v>2879</v>
      </c>
      <c r="C73" s="3282" t="s">
        <v>2880</v>
      </c>
      <c r="D73" s="3282" t="s">
        <v>2881</v>
      </c>
      <c r="E73" s="3307">
        <v>0.2</v>
      </c>
      <c r="F73" s="3301">
        <v>25</v>
      </c>
    </row>
    <row r="74" spans="1:7" ht="24">
      <c r="A74" s="3301">
        <v>2</v>
      </c>
      <c r="B74" s="3720"/>
      <c r="C74" s="3282" t="s">
        <v>2882</v>
      </c>
      <c r="D74" s="3282" t="s">
        <v>2883</v>
      </c>
      <c r="E74" s="3307">
        <v>0.2</v>
      </c>
      <c r="F74" s="3301">
        <v>25</v>
      </c>
    </row>
    <row r="75" spans="1:7" ht="24">
      <c r="A75" s="3301">
        <v>3</v>
      </c>
      <c r="B75" s="3720"/>
      <c r="C75" s="3282" t="s">
        <v>2884</v>
      </c>
      <c r="D75" s="3282" t="s">
        <v>2885</v>
      </c>
      <c r="E75" s="3307">
        <v>0.2</v>
      </c>
      <c r="F75" s="3301">
        <v>25</v>
      </c>
    </row>
    <row r="76" spans="1:7" ht="13.5">
      <c r="A76" s="3301">
        <v>4</v>
      </c>
      <c r="B76" s="3720"/>
      <c r="C76" s="3282" t="s">
        <v>2886</v>
      </c>
      <c r="D76" s="3282" t="s">
        <v>2887</v>
      </c>
      <c r="E76" s="3307">
        <v>0.15</v>
      </c>
      <c r="F76" s="3301">
        <v>20</v>
      </c>
    </row>
    <row r="77" spans="1:7" ht="24">
      <c r="A77" s="3301">
        <v>5</v>
      </c>
      <c r="B77" s="3720"/>
      <c r="C77" s="3282" t="s">
        <v>2888</v>
      </c>
      <c r="D77" s="3282" t="s">
        <v>2889</v>
      </c>
      <c r="E77" s="3307">
        <v>0.15</v>
      </c>
      <c r="F77" s="3301">
        <v>20</v>
      </c>
    </row>
    <row r="78" spans="1:7" ht="24">
      <c r="A78" s="3301">
        <v>6</v>
      </c>
      <c r="B78" s="3720"/>
      <c r="C78" s="3282" t="s">
        <v>2890</v>
      </c>
      <c r="D78" s="3282" t="s">
        <v>2891</v>
      </c>
      <c r="E78" s="3307">
        <v>0.15</v>
      </c>
      <c r="F78" s="3301">
        <v>20</v>
      </c>
    </row>
    <row r="79" spans="1:7" ht="24">
      <c r="A79" s="3301">
        <v>7</v>
      </c>
      <c r="B79" s="3720"/>
      <c r="C79" s="3282" t="s">
        <v>2892</v>
      </c>
      <c r="D79" s="3282" t="s">
        <v>2893</v>
      </c>
      <c r="E79" s="3307">
        <v>0.15</v>
      </c>
      <c r="F79" s="3301">
        <v>20</v>
      </c>
    </row>
    <row r="80" spans="1:7" ht="24">
      <c r="A80" s="3301">
        <v>8</v>
      </c>
      <c r="B80" s="3720"/>
      <c r="C80" s="3282" t="s">
        <v>2894</v>
      </c>
      <c r="D80" s="3282" t="s">
        <v>2895</v>
      </c>
      <c r="E80" s="3307">
        <v>0.1</v>
      </c>
      <c r="F80" s="3301">
        <v>15</v>
      </c>
    </row>
    <row r="81" spans="1:6" ht="24">
      <c r="A81" s="3301">
        <v>9</v>
      </c>
      <c r="B81" s="3720"/>
      <c r="C81" s="3282" t="s">
        <v>2896</v>
      </c>
      <c r="D81" s="3282" t="s">
        <v>2897</v>
      </c>
      <c r="E81" s="3307">
        <v>0.1</v>
      </c>
      <c r="F81" s="3301">
        <v>15</v>
      </c>
    </row>
    <row r="82" spans="1:6" ht="24">
      <c r="A82" s="3301">
        <v>10</v>
      </c>
      <c r="B82" s="3720"/>
      <c r="C82" s="3282" t="s">
        <v>2898</v>
      </c>
      <c r="D82" s="3282" t="s">
        <v>2899</v>
      </c>
      <c r="E82" s="3307">
        <v>0.1</v>
      </c>
      <c r="F82" s="3301">
        <v>15</v>
      </c>
    </row>
    <row r="83" spans="1:6" ht="24">
      <c r="A83" s="3301">
        <v>11</v>
      </c>
      <c r="B83" s="3720"/>
      <c r="C83" s="3282" t="s">
        <v>2900</v>
      </c>
      <c r="D83" s="3282" t="s">
        <v>2901</v>
      </c>
      <c r="E83" s="3307">
        <v>0.1</v>
      </c>
      <c r="F83" s="3301">
        <v>15</v>
      </c>
    </row>
    <row r="84" spans="1:6" ht="24">
      <c r="A84" s="3301">
        <v>12</v>
      </c>
      <c r="B84" s="3720"/>
      <c r="C84" s="3282" t="s">
        <v>2902</v>
      </c>
      <c r="D84" s="3282" t="s">
        <v>2903</v>
      </c>
      <c r="E84" s="3307">
        <v>0.1</v>
      </c>
      <c r="F84" s="3301">
        <v>15</v>
      </c>
    </row>
    <row r="85" spans="1:6" ht="13.5">
      <c r="A85" s="3301">
        <v>13</v>
      </c>
      <c r="B85" s="3720"/>
      <c r="C85" s="3282" t="s">
        <v>2904</v>
      </c>
      <c r="D85" s="3282" t="s">
        <v>2905</v>
      </c>
      <c r="E85" s="3307">
        <v>0.1</v>
      </c>
      <c r="F85" s="3301">
        <v>15</v>
      </c>
    </row>
    <row r="86" spans="1:6" ht="13.5">
      <c r="A86" s="3301">
        <v>14</v>
      </c>
      <c r="B86" s="3720"/>
      <c r="C86" s="3282" t="s">
        <v>2906</v>
      </c>
      <c r="D86" s="3282" t="s">
        <v>2907</v>
      </c>
      <c r="E86" s="3307">
        <v>0.1</v>
      </c>
      <c r="F86" s="3301">
        <v>15</v>
      </c>
    </row>
    <row r="87" spans="1:6" ht="13.5">
      <c r="A87" s="3301">
        <v>15</v>
      </c>
      <c r="B87" s="3720"/>
      <c r="C87" s="3282" t="s">
        <v>2908</v>
      </c>
      <c r="D87" s="3282" t="s">
        <v>2909</v>
      </c>
      <c r="E87" s="3307">
        <v>0.1</v>
      </c>
      <c r="F87" s="3301">
        <v>15</v>
      </c>
    </row>
    <row r="88" spans="1:6" ht="24">
      <c r="A88" s="3301">
        <v>16</v>
      </c>
      <c r="B88" s="3720"/>
      <c r="C88" s="3282" t="s">
        <v>2910</v>
      </c>
      <c r="D88" s="3282" t="s">
        <v>2911</v>
      </c>
      <c r="E88" s="3307">
        <v>0.1</v>
      </c>
      <c r="F88" s="3301">
        <v>15</v>
      </c>
    </row>
    <row r="89" spans="1:6" ht="24">
      <c r="A89" s="3301">
        <v>17</v>
      </c>
      <c r="B89" s="3721"/>
      <c r="C89" s="3282" t="s">
        <v>2912</v>
      </c>
      <c r="D89" s="3282" t="s">
        <v>2913</v>
      </c>
      <c r="E89" s="3307">
        <v>0.1</v>
      </c>
      <c r="F89" s="3301">
        <v>15</v>
      </c>
    </row>
    <row r="90" spans="1:6" ht="13.5">
      <c r="A90" s="3301">
        <v>18</v>
      </c>
      <c r="B90" s="3719" t="s">
        <v>2914</v>
      </c>
      <c r="C90" s="3282" t="s">
        <v>2915</v>
      </c>
      <c r="D90" s="3282" t="s">
        <v>2916</v>
      </c>
      <c r="E90" s="3307">
        <v>0.2</v>
      </c>
      <c r="F90" s="3301">
        <v>25</v>
      </c>
    </row>
    <row r="91" spans="1:6" ht="24">
      <c r="A91" s="3301">
        <v>19</v>
      </c>
      <c r="B91" s="3720"/>
      <c r="C91" s="3282" t="s">
        <v>2917</v>
      </c>
      <c r="D91" s="3282" t="s">
        <v>2918</v>
      </c>
      <c r="E91" s="3307">
        <v>0.2</v>
      </c>
      <c r="F91" s="3301">
        <v>25</v>
      </c>
    </row>
    <row r="92" spans="1:6" ht="13.5">
      <c r="A92" s="3301">
        <v>20</v>
      </c>
      <c r="B92" s="3720"/>
      <c r="C92" s="3282" t="s">
        <v>2919</v>
      </c>
      <c r="D92" s="3282" t="s">
        <v>2920</v>
      </c>
      <c r="E92" s="3307">
        <v>0.15</v>
      </c>
      <c r="F92" s="3301">
        <v>20</v>
      </c>
    </row>
    <row r="93" spans="1:6" ht="24">
      <c r="A93" s="3301">
        <v>21</v>
      </c>
      <c r="B93" s="3720"/>
      <c r="C93" s="3282" t="s">
        <v>2921</v>
      </c>
      <c r="D93" s="3282" t="s">
        <v>2922</v>
      </c>
      <c r="E93" s="3307">
        <v>0.15</v>
      </c>
      <c r="F93" s="3301">
        <v>20</v>
      </c>
    </row>
    <row r="94" spans="1:6" ht="24">
      <c r="A94" s="3301">
        <v>22</v>
      </c>
      <c r="B94" s="3720"/>
      <c r="C94" s="3282" t="s">
        <v>2923</v>
      </c>
      <c r="D94" s="3282" t="s">
        <v>2924</v>
      </c>
      <c r="E94" s="3307">
        <v>0.15</v>
      </c>
      <c r="F94" s="3301">
        <v>20</v>
      </c>
    </row>
    <row r="95" spans="1:6" ht="36">
      <c r="A95" s="3301">
        <v>23</v>
      </c>
      <c r="B95" s="3720"/>
      <c r="C95" s="3282" t="s">
        <v>2925</v>
      </c>
      <c r="D95" s="3282" t="s">
        <v>2926</v>
      </c>
      <c r="E95" s="3307">
        <v>0.15</v>
      </c>
      <c r="F95" s="3301">
        <v>20</v>
      </c>
    </row>
    <row r="96" spans="1:6" ht="13.5">
      <c r="A96" s="3301">
        <v>24</v>
      </c>
      <c r="B96" s="3720"/>
      <c r="C96" s="3282" t="s">
        <v>2927</v>
      </c>
      <c r="D96" s="3282" t="s">
        <v>2928</v>
      </c>
      <c r="E96" s="3307">
        <v>0.1</v>
      </c>
      <c r="F96" s="3301">
        <v>15</v>
      </c>
    </row>
    <row r="97" spans="1:6" ht="24">
      <c r="A97" s="3301">
        <v>25</v>
      </c>
      <c r="B97" s="3720"/>
      <c r="C97" s="3282" t="s">
        <v>2929</v>
      </c>
      <c r="D97" s="3282" t="s">
        <v>2930</v>
      </c>
      <c r="E97" s="3307">
        <v>0.1</v>
      </c>
      <c r="F97" s="3301">
        <v>15</v>
      </c>
    </row>
    <row r="98" spans="1:6" ht="24">
      <c r="A98" s="3301">
        <v>26</v>
      </c>
      <c r="B98" s="3720"/>
      <c r="C98" s="3282" t="s">
        <v>2931</v>
      </c>
      <c r="D98" s="3282" t="s">
        <v>2932</v>
      </c>
      <c r="E98" s="3307">
        <v>0.1</v>
      </c>
      <c r="F98" s="3301">
        <v>15</v>
      </c>
    </row>
    <row r="99" spans="1:6" ht="24">
      <c r="A99" s="3301">
        <v>27</v>
      </c>
      <c r="B99" s="3720"/>
      <c r="C99" s="3282" t="s">
        <v>2933</v>
      </c>
      <c r="D99" s="3282" t="s">
        <v>2934</v>
      </c>
      <c r="E99" s="3307">
        <v>0.1</v>
      </c>
      <c r="F99" s="3301">
        <v>15</v>
      </c>
    </row>
    <row r="100" spans="1:6" ht="24">
      <c r="A100" s="3301">
        <v>28</v>
      </c>
      <c r="B100" s="3720"/>
      <c r="C100" s="3282" t="s">
        <v>2935</v>
      </c>
      <c r="D100" s="3282" t="s">
        <v>2936</v>
      </c>
      <c r="E100" s="3307">
        <v>0.1</v>
      </c>
      <c r="F100" s="3301">
        <v>15</v>
      </c>
    </row>
    <row r="101" spans="1:6" ht="24">
      <c r="A101" s="3301">
        <v>29</v>
      </c>
      <c r="B101" s="3720"/>
      <c r="C101" s="3282" t="s">
        <v>2937</v>
      </c>
      <c r="D101" s="3282" t="s">
        <v>2938</v>
      </c>
      <c r="E101" s="3307">
        <v>0.1</v>
      </c>
      <c r="F101" s="3301">
        <v>15</v>
      </c>
    </row>
    <row r="102" spans="1:6" ht="24">
      <c r="A102" s="3301">
        <v>30</v>
      </c>
      <c r="B102" s="3720"/>
      <c r="C102" s="3282" t="s">
        <v>2939</v>
      </c>
      <c r="D102" s="3282" t="s">
        <v>2940</v>
      </c>
      <c r="E102" s="3307">
        <v>0.1</v>
      </c>
      <c r="F102" s="3301">
        <v>15</v>
      </c>
    </row>
    <row r="103" spans="1:6" ht="24">
      <c r="A103" s="3301">
        <v>31</v>
      </c>
      <c r="B103" s="3720"/>
      <c r="C103" s="3282" t="s">
        <v>2941</v>
      </c>
      <c r="D103" s="3282" t="s">
        <v>2942</v>
      </c>
      <c r="E103" s="3307">
        <v>0.1</v>
      </c>
      <c r="F103" s="3301">
        <v>15</v>
      </c>
    </row>
    <row r="104" spans="1:6" ht="24">
      <c r="A104" s="3301">
        <v>32</v>
      </c>
      <c r="B104" s="3720"/>
      <c r="C104" s="3282" t="s">
        <v>2943</v>
      </c>
      <c r="D104" s="3282" t="s">
        <v>2944</v>
      </c>
      <c r="E104" s="3307">
        <v>0.1</v>
      </c>
      <c r="F104" s="3301">
        <v>15</v>
      </c>
    </row>
    <row r="105" spans="1:6" ht="24">
      <c r="A105" s="3301">
        <v>33</v>
      </c>
      <c r="B105" s="3720"/>
      <c r="C105" s="3282" t="s">
        <v>2945</v>
      </c>
      <c r="D105" s="3282" t="s">
        <v>2946</v>
      </c>
      <c r="E105" s="3307">
        <v>0.1</v>
      </c>
      <c r="F105" s="3301">
        <v>15</v>
      </c>
    </row>
    <row r="106" spans="1:6" ht="24">
      <c r="A106" s="3301">
        <v>34</v>
      </c>
      <c r="B106" s="3721"/>
      <c r="C106" s="3282" t="s">
        <v>2947</v>
      </c>
      <c r="D106" s="3282" t="s">
        <v>2948</v>
      </c>
      <c r="E106" s="3307">
        <v>0.1</v>
      </c>
      <c r="F106" s="3301">
        <v>15</v>
      </c>
    </row>
    <row r="107" spans="1:6" ht="24">
      <c r="A107" s="3301">
        <v>35</v>
      </c>
      <c r="B107" s="3719" t="s">
        <v>2949</v>
      </c>
      <c r="C107" s="3301" t="s">
        <v>2950</v>
      </c>
      <c r="D107" s="3282" t="s">
        <v>2951</v>
      </c>
      <c r="E107" s="3307">
        <v>0.15</v>
      </c>
      <c r="F107" s="3301">
        <v>20</v>
      </c>
    </row>
    <row r="108" spans="1:6" ht="24">
      <c r="A108" s="3301">
        <v>36</v>
      </c>
      <c r="B108" s="3720"/>
      <c r="C108" s="3301" t="s">
        <v>2952</v>
      </c>
      <c r="D108" s="3282" t="s">
        <v>2953</v>
      </c>
      <c r="E108" s="3307">
        <v>0.15</v>
      </c>
      <c r="F108" s="3301">
        <v>20</v>
      </c>
    </row>
    <row r="109" spans="1:6" ht="24">
      <c r="A109" s="3301">
        <v>37</v>
      </c>
      <c r="B109" s="3720"/>
      <c r="C109" s="3301" t="s">
        <v>2954</v>
      </c>
      <c r="D109" s="3282" t="s">
        <v>2955</v>
      </c>
      <c r="E109" s="3307">
        <v>0.15</v>
      </c>
      <c r="F109" s="3301">
        <v>20</v>
      </c>
    </row>
    <row r="110" spans="1:6" ht="13.5">
      <c r="A110" s="3301">
        <v>38</v>
      </c>
      <c r="B110" s="3720"/>
      <c r="C110" s="3301" t="s">
        <v>2956</v>
      </c>
      <c r="D110" s="3282" t="s">
        <v>2957</v>
      </c>
      <c r="E110" s="3307">
        <v>0.1</v>
      </c>
      <c r="F110" s="3301">
        <v>15</v>
      </c>
    </row>
    <row r="111" spans="1:6" ht="24">
      <c r="A111" s="3301">
        <v>39</v>
      </c>
      <c r="B111" s="3720"/>
      <c r="C111" s="3301" t="s">
        <v>2958</v>
      </c>
      <c r="D111" s="3282" t="s">
        <v>2959</v>
      </c>
      <c r="E111" s="3307">
        <v>0.1</v>
      </c>
      <c r="F111" s="3301">
        <v>15</v>
      </c>
    </row>
    <row r="112" spans="1:6" ht="24">
      <c r="A112" s="3301">
        <v>40</v>
      </c>
      <c r="B112" s="3721"/>
      <c r="C112" s="3301" t="s">
        <v>2960</v>
      </c>
      <c r="D112" s="3282" t="s">
        <v>2961</v>
      </c>
      <c r="E112" s="3307">
        <v>0.1</v>
      </c>
      <c r="F112" s="3301">
        <v>15</v>
      </c>
    </row>
    <row r="113" spans="1:6" ht="24">
      <c r="A113" s="3301">
        <v>41</v>
      </c>
      <c r="B113" s="3730" t="s">
        <v>2962</v>
      </c>
      <c r="C113" s="3301" t="s">
        <v>2963</v>
      </c>
      <c r="D113" s="3282" t="s">
        <v>2964</v>
      </c>
      <c r="E113" s="3307">
        <v>0.1</v>
      </c>
      <c r="F113" s="3301">
        <v>15</v>
      </c>
    </row>
    <row r="114" spans="1:6" ht="13.5">
      <c r="A114" s="3301">
        <v>42</v>
      </c>
      <c r="B114" s="3730"/>
      <c r="C114" s="3301" t="s">
        <v>2965</v>
      </c>
      <c r="D114" s="3282" t="s">
        <v>2966</v>
      </c>
      <c r="E114" s="3307">
        <v>0.1</v>
      </c>
      <c r="F114" s="3301">
        <v>15</v>
      </c>
    </row>
    <row r="115" spans="1:6" ht="24">
      <c r="A115" s="3301">
        <v>43</v>
      </c>
      <c r="B115" s="3730"/>
      <c r="C115" s="3301" t="s">
        <v>2967</v>
      </c>
      <c r="D115" s="3282" t="s">
        <v>2968</v>
      </c>
      <c r="E115" s="3307">
        <v>0.1</v>
      </c>
      <c r="F115" s="3301">
        <v>15</v>
      </c>
    </row>
    <row r="116" spans="1:6" ht="24">
      <c r="A116" s="3301">
        <v>44</v>
      </c>
      <c r="B116" s="3719" t="s">
        <v>2969</v>
      </c>
      <c r="C116" s="3301" t="s">
        <v>2970</v>
      </c>
      <c r="D116" s="3282" t="s">
        <v>2971</v>
      </c>
      <c r="E116" s="3307">
        <v>0.1</v>
      </c>
      <c r="F116" s="3301">
        <v>15</v>
      </c>
    </row>
    <row r="117" spans="1:6" ht="24">
      <c r="A117" s="3301">
        <v>45</v>
      </c>
      <c r="B117" s="3721"/>
      <c r="C117" s="3282" t="s">
        <v>2972</v>
      </c>
      <c r="D117" s="3282" t="s">
        <v>2973</v>
      </c>
      <c r="E117" s="3307">
        <v>0.1</v>
      </c>
      <c r="F117" s="3301">
        <v>15</v>
      </c>
    </row>
    <row r="118" spans="1:6" ht="24">
      <c r="A118" s="3301">
        <v>46</v>
      </c>
      <c r="B118" s="3719" t="s">
        <v>2974</v>
      </c>
      <c r="C118" s="3301" t="s">
        <v>2975</v>
      </c>
      <c r="D118" s="3282" t="s">
        <v>2976</v>
      </c>
      <c r="E118" s="3307">
        <v>0.1</v>
      </c>
      <c r="F118" s="3301">
        <v>15</v>
      </c>
    </row>
    <row r="119" spans="1:6" ht="24">
      <c r="A119" s="3301">
        <v>47</v>
      </c>
      <c r="B119" s="3721"/>
      <c r="C119" s="3301" t="s">
        <v>2977</v>
      </c>
      <c r="D119" s="3282" t="s">
        <v>2978</v>
      </c>
      <c r="E119" s="3307">
        <v>0.1</v>
      </c>
      <c r="F119" s="3301">
        <v>15</v>
      </c>
    </row>
    <row r="120" spans="1:6" ht="24">
      <c r="A120" s="3301">
        <v>48</v>
      </c>
      <c r="B120" s="3719" t="s">
        <v>2979</v>
      </c>
      <c r="C120" s="3301" t="s">
        <v>2980</v>
      </c>
      <c r="D120" s="3282" t="s">
        <v>2981</v>
      </c>
      <c r="E120" s="3307">
        <v>0.1</v>
      </c>
      <c r="F120" s="3301">
        <v>15</v>
      </c>
    </row>
    <row r="121" spans="1:6" ht="13.5">
      <c r="A121" s="3301">
        <v>49</v>
      </c>
      <c r="B121" s="3721"/>
      <c r="C121" s="3301" t="s">
        <v>2982</v>
      </c>
      <c r="D121" s="3282" t="s">
        <v>2983</v>
      </c>
      <c r="E121" s="3307">
        <v>0.1</v>
      </c>
      <c r="F121" s="3301">
        <v>15</v>
      </c>
    </row>
    <row r="122" spans="1:6" ht="24">
      <c r="A122" s="3301">
        <v>50</v>
      </c>
      <c r="B122" s="3730" t="s">
        <v>2984</v>
      </c>
      <c r="C122" s="3301" t="s">
        <v>2985</v>
      </c>
      <c r="D122" s="3282" t="s">
        <v>2986</v>
      </c>
      <c r="E122" s="3307">
        <v>0.1</v>
      </c>
      <c r="F122" s="3301">
        <v>15</v>
      </c>
    </row>
    <row r="123" spans="1:6" ht="24">
      <c r="A123" s="3301">
        <v>51</v>
      </c>
      <c r="B123" s="3730"/>
      <c r="C123" s="3301" t="s">
        <v>2987</v>
      </c>
      <c r="D123" s="3282" t="s">
        <v>2988</v>
      </c>
      <c r="E123" s="3307">
        <v>0.1</v>
      </c>
      <c r="F123" s="3301">
        <v>15</v>
      </c>
    </row>
    <row r="124" spans="1:6" ht="24">
      <c r="A124" s="3301">
        <v>52</v>
      </c>
      <c r="B124" s="3730" t="s">
        <v>2989</v>
      </c>
      <c r="C124" s="3301" t="s">
        <v>2990</v>
      </c>
      <c r="D124" s="3282" t="s">
        <v>2991</v>
      </c>
      <c r="E124" s="3307">
        <v>0.1</v>
      </c>
      <c r="F124" s="3301">
        <v>15</v>
      </c>
    </row>
    <row r="125" spans="1:6" ht="24">
      <c r="A125" s="3301">
        <v>53</v>
      </c>
      <c r="B125" s="3730"/>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30" t="s">
        <v>2997</v>
      </c>
      <c r="C127" s="3301" t="s">
        <v>2998</v>
      </c>
      <c r="D127" s="3282" t="s">
        <v>2999</v>
      </c>
      <c r="E127" s="3307">
        <v>0.1</v>
      </c>
      <c r="F127" s="3301">
        <v>15</v>
      </c>
    </row>
    <row r="128" spans="1:6" ht="13.5">
      <c r="A128" s="3301">
        <v>56</v>
      </c>
      <c r="B128" s="3730"/>
      <c r="C128" s="3301" t="s">
        <v>3000</v>
      </c>
      <c r="D128" s="3282" t="s">
        <v>3001</v>
      </c>
      <c r="E128" s="3307">
        <v>0.1</v>
      </c>
      <c r="F128" s="3301">
        <v>15</v>
      </c>
    </row>
    <row r="129" spans="1:6" ht="24">
      <c r="A129" s="3301">
        <v>57</v>
      </c>
      <c r="B129" s="3730"/>
      <c r="C129" s="3301" t="s">
        <v>3002</v>
      </c>
      <c r="D129" s="3282" t="s">
        <v>3003</v>
      </c>
      <c r="E129" s="3307">
        <v>0.1</v>
      </c>
      <c r="F129" s="3301">
        <v>15</v>
      </c>
    </row>
    <row r="130" spans="1:6" ht="24">
      <c r="A130" s="3301">
        <v>58</v>
      </c>
      <c r="B130" s="3730" t="s">
        <v>3004</v>
      </c>
      <c r="C130" s="3301" t="s">
        <v>3005</v>
      </c>
      <c r="D130" s="3282" t="s">
        <v>3006</v>
      </c>
      <c r="E130" s="3307">
        <v>0.1</v>
      </c>
      <c r="F130" s="3301">
        <v>15</v>
      </c>
    </row>
    <row r="131" spans="1:6" ht="24">
      <c r="A131" s="3301">
        <v>59</v>
      </c>
      <c r="B131" s="3730"/>
      <c r="C131" s="3301" t="s">
        <v>3007</v>
      </c>
      <c r="D131" s="3282" t="s">
        <v>3008</v>
      </c>
      <c r="E131" s="3307">
        <v>0.1</v>
      </c>
      <c r="F131" s="3301">
        <v>15</v>
      </c>
    </row>
    <row r="132" spans="1:6" ht="24">
      <c r="A132" s="3301">
        <v>60</v>
      </c>
      <c r="B132" s="3719" t="s">
        <v>3009</v>
      </c>
      <c r="C132" s="3301" t="s">
        <v>3010</v>
      </c>
      <c r="D132" s="3282" t="s">
        <v>3011</v>
      </c>
      <c r="E132" s="3307">
        <v>0.1</v>
      </c>
      <c r="F132" s="3301">
        <v>15</v>
      </c>
    </row>
    <row r="133" spans="1:6" ht="24">
      <c r="A133" s="3301">
        <v>61</v>
      </c>
      <c r="B133" s="3721"/>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30" t="s">
        <v>3017</v>
      </c>
      <c r="C135" s="3301" t="s">
        <v>3018</v>
      </c>
      <c r="D135" s="3282" t="s">
        <v>3019</v>
      </c>
      <c r="E135" s="3307">
        <v>0.1</v>
      </c>
      <c r="F135" s="3301">
        <v>15</v>
      </c>
    </row>
    <row r="136" spans="1:6" ht="13.5">
      <c r="A136" s="3301">
        <v>64</v>
      </c>
      <c r="B136" s="3730"/>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J45" sqref="AJ45"/>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6" t="s">
        <v>782</v>
      </c>
      <c r="C1" s="3736"/>
      <c r="D1" s="3736"/>
      <c r="E1" s="3736"/>
      <c r="F1" s="3736"/>
      <c r="G1" s="3732" t="s">
        <v>783</v>
      </c>
      <c r="H1" s="3732"/>
      <c r="I1" s="3732"/>
      <c r="J1" s="3732"/>
      <c r="K1" s="3732"/>
      <c r="L1" s="3732"/>
      <c r="N1" s="3732" t="s">
        <v>784</v>
      </c>
      <c r="O1" s="3732"/>
      <c r="P1" s="3732"/>
      <c r="Q1" s="3732"/>
      <c r="S1" s="3732" t="s">
        <v>785</v>
      </c>
      <c r="T1" s="3732"/>
      <c r="U1" s="3732"/>
      <c r="V1" s="3732"/>
      <c r="X1" s="3731" t="s">
        <v>786</v>
      </c>
      <c r="Y1" s="3732"/>
      <c r="Z1" s="3732"/>
      <c r="AA1" s="3732"/>
      <c r="AB1" s="3732"/>
      <c r="AD1" s="3731" t="s">
        <v>787</v>
      </c>
      <c r="AE1" s="3732"/>
      <c r="AF1" s="3732"/>
      <c r="AG1" s="3732"/>
      <c r="AH1" s="3732"/>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2462</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4">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4"/>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4"/>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2466</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41"/>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2463</v>
      </c>
      <c r="B26" s="2296">
        <v>439</v>
      </c>
      <c r="C26" s="2296">
        <v>327</v>
      </c>
      <c r="D26" s="2296">
        <f t="shared" si="213"/>
        <v>327</v>
      </c>
      <c r="E26" s="2296">
        <v>627</v>
      </c>
      <c r="F26" s="2297">
        <v>283</v>
      </c>
      <c r="G26" s="3737">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2461</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4"/>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4"/>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41"/>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7">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4"/>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4"/>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5"/>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33">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4"/>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4"/>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5"/>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33">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4"/>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4"/>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5"/>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8">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9"/>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9"/>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40"/>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33">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4"/>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4"/>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5"/>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33">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4">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4">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5">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33">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4">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4">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5">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33">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4">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4">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5">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33">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4">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4">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5">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33">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4">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4">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5">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33">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4">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4">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5">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33">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4">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4">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5">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33">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4">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4">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5">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33">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4">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4">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5">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33">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4">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4">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5">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I6" sqref="I6"/>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44908</v>
      </c>
      <c r="D1" s="1221" t="s">
        <v>935</v>
      </c>
      <c r="E1" s="1227">
        <f>'数据-取费表'!B24</f>
        <v>2</v>
      </c>
      <c r="F1" s="1221" t="s">
        <v>936</v>
      </c>
      <c r="G1" s="1228">
        <v>3.6499999999999998E-2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7"/>
  <sheetViews>
    <sheetView topLeftCell="A85" workbookViewId="0">
      <selection activeCell="C98" sqref="C98"/>
    </sheetView>
  </sheetViews>
  <sheetFormatPr defaultRowHeight="12"/>
  <cols>
    <col min="1" max="1" width="9" style="3324"/>
    <col min="2" max="2" width="6.375" style="3324" customWidth="1"/>
    <col min="3" max="3" width="34.75" style="3324" customWidth="1"/>
    <col min="4" max="4" width="9.625" style="3324" bestFit="1" customWidth="1"/>
    <col min="5" max="6" width="6.875" style="3324" hidden="1" customWidth="1"/>
    <col min="7" max="7" width="9" style="3324" customWidth="1"/>
    <col min="8" max="8" width="9.375" style="3324" customWidth="1"/>
    <col min="9" max="9" width="9.625" style="3324" bestFit="1" customWidth="1"/>
    <col min="10" max="16384" width="9" style="3324"/>
  </cols>
  <sheetData>
    <row r="2" spans="1:9">
      <c r="B2" s="3323" t="s">
        <v>3099</v>
      </c>
    </row>
    <row r="3" spans="1:9">
      <c r="B3" s="3323" t="s">
        <v>3100</v>
      </c>
    </row>
    <row r="4" spans="1:9">
      <c r="B4" s="3323" t="s">
        <v>3101</v>
      </c>
    </row>
    <row r="10" spans="1:9">
      <c r="B10" s="3328" t="s">
        <v>3045</v>
      </c>
      <c r="C10" s="3328" t="s">
        <v>3044</v>
      </c>
      <c r="D10" s="3328" t="s">
        <v>3088</v>
      </c>
      <c r="E10" s="3328" t="s">
        <v>3046</v>
      </c>
      <c r="F10" s="3328" t="s">
        <v>3090</v>
      </c>
      <c r="G10" s="3328" t="s">
        <v>3087</v>
      </c>
      <c r="H10" s="3328" t="s">
        <v>3089</v>
      </c>
      <c r="I10" s="3328" t="s">
        <v>3086</v>
      </c>
    </row>
    <row r="11" spans="1:9">
      <c r="A11" s="3324">
        <v>1</v>
      </c>
      <c r="B11" s="3328" t="s">
        <v>3048</v>
      </c>
      <c r="C11" s="3328" t="s">
        <v>3049</v>
      </c>
      <c r="D11" s="3328">
        <v>112.38</v>
      </c>
      <c r="E11" s="3328" t="s">
        <v>3047</v>
      </c>
      <c r="F11" s="3328" t="s">
        <v>3091</v>
      </c>
      <c r="G11" s="3328"/>
      <c r="H11" s="3328"/>
      <c r="I11" s="3328">
        <v>889</v>
      </c>
    </row>
    <row r="12" spans="1:9">
      <c r="A12" s="3324">
        <v>2</v>
      </c>
      <c r="B12" s="3328" t="s">
        <v>3050</v>
      </c>
      <c r="C12" s="3328" t="s">
        <v>3051</v>
      </c>
      <c r="D12" s="3328">
        <v>84.61</v>
      </c>
      <c r="E12" s="3328" t="s">
        <v>3052</v>
      </c>
      <c r="F12" s="3328" t="s">
        <v>3098</v>
      </c>
      <c r="G12" s="3328"/>
      <c r="H12" s="3328"/>
      <c r="I12" s="3328">
        <v>745</v>
      </c>
    </row>
    <row r="13" spans="1:9">
      <c r="A13" s="3324">
        <v>3</v>
      </c>
      <c r="B13" s="3328" t="s">
        <v>3053</v>
      </c>
      <c r="C13" s="3328" t="s">
        <v>3054</v>
      </c>
      <c r="D13" s="3328">
        <v>84.61</v>
      </c>
      <c r="E13" s="3328" t="s">
        <v>3052</v>
      </c>
      <c r="F13" s="3328" t="s">
        <v>3092</v>
      </c>
      <c r="G13" s="3328"/>
      <c r="H13" s="3328"/>
      <c r="I13" s="3328">
        <v>755</v>
      </c>
    </row>
    <row r="14" spans="1:9" s="3332" customFormat="1">
      <c r="A14" s="3332">
        <v>4</v>
      </c>
      <c r="B14" s="3333" t="s">
        <v>3055</v>
      </c>
      <c r="C14" s="3333" t="s">
        <v>3056</v>
      </c>
      <c r="D14" s="3333">
        <v>81.790000000000006</v>
      </c>
      <c r="E14" s="3333" t="s">
        <v>3057</v>
      </c>
      <c r="F14" s="3333" t="s">
        <v>3091</v>
      </c>
      <c r="G14" s="3333"/>
      <c r="H14" s="3333"/>
      <c r="I14" s="3333">
        <v>723</v>
      </c>
    </row>
    <row r="15" spans="1:9" s="3334" customFormat="1">
      <c r="A15" s="3334">
        <v>5</v>
      </c>
      <c r="B15" s="3335" t="s">
        <v>3058</v>
      </c>
      <c r="C15" s="3335" t="s">
        <v>3059</v>
      </c>
      <c r="D15" s="3335">
        <v>105.37</v>
      </c>
      <c r="E15" s="3335" t="s">
        <v>3052</v>
      </c>
      <c r="F15" s="3335" t="s">
        <v>3091</v>
      </c>
      <c r="G15" s="3335"/>
      <c r="H15" s="3335"/>
      <c r="I15" s="3335">
        <v>842</v>
      </c>
    </row>
    <row r="16" spans="1:9">
      <c r="A16" s="3324">
        <v>6</v>
      </c>
      <c r="B16" s="3328" t="s">
        <v>3060</v>
      </c>
      <c r="C16" s="3328" t="s">
        <v>3061</v>
      </c>
      <c r="D16" s="3328">
        <v>84.61</v>
      </c>
      <c r="E16" s="3328" t="s">
        <v>3052</v>
      </c>
      <c r="F16" s="3328" t="s">
        <v>3091</v>
      </c>
      <c r="G16" s="3328"/>
      <c r="H16" s="3328"/>
      <c r="I16" s="3328">
        <v>736</v>
      </c>
    </row>
    <row r="17" spans="1:9" s="3334" customFormat="1">
      <c r="A17" s="3334">
        <v>7</v>
      </c>
      <c r="B17" s="3335" t="s">
        <v>3062</v>
      </c>
      <c r="C17" s="3335" t="s">
        <v>3063</v>
      </c>
      <c r="D17" s="3335">
        <v>105.37</v>
      </c>
      <c r="E17" s="3335" t="s">
        <v>3057</v>
      </c>
      <c r="F17" s="3335" t="s">
        <v>3091</v>
      </c>
      <c r="G17" s="3335"/>
      <c r="H17" s="3335"/>
      <c r="I17" s="3335">
        <v>842</v>
      </c>
    </row>
    <row r="18" spans="1:9">
      <c r="A18" s="3324">
        <v>8</v>
      </c>
      <c r="B18" s="3328" t="s">
        <v>3064</v>
      </c>
      <c r="C18" s="3328" t="s">
        <v>3065</v>
      </c>
      <c r="D18" s="3328">
        <v>84.61</v>
      </c>
      <c r="E18" s="3328" t="s">
        <v>3052</v>
      </c>
      <c r="F18" s="3328" t="s">
        <v>3091</v>
      </c>
      <c r="G18" s="3328"/>
      <c r="H18" s="3328"/>
      <c r="I18" s="3328">
        <v>736</v>
      </c>
    </row>
    <row r="19" spans="1:9">
      <c r="A19" s="3324">
        <v>9</v>
      </c>
      <c r="B19" s="3328" t="s">
        <v>3066</v>
      </c>
      <c r="C19" s="3328" t="s">
        <v>3067</v>
      </c>
      <c r="D19" s="3328">
        <v>87.43</v>
      </c>
      <c r="E19" s="3328" t="s">
        <v>3052</v>
      </c>
      <c r="F19" s="3328" t="s">
        <v>3091</v>
      </c>
      <c r="G19" s="3328"/>
      <c r="H19" s="3328"/>
      <c r="I19" s="3328">
        <v>751</v>
      </c>
    </row>
    <row r="20" spans="1:9" s="3332" customFormat="1">
      <c r="A20" s="3332">
        <v>10</v>
      </c>
      <c r="B20" s="3333" t="s">
        <v>3068</v>
      </c>
      <c r="C20" s="3333" t="s">
        <v>3069</v>
      </c>
      <c r="D20" s="3333">
        <v>105.37</v>
      </c>
      <c r="E20" s="3333" t="s">
        <v>3070</v>
      </c>
      <c r="F20" s="3333" t="s">
        <v>3091</v>
      </c>
      <c r="G20" s="3333"/>
      <c r="H20" s="3333"/>
      <c r="I20" s="3333">
        <v>842</v>
      </c>
    </row>
    <row r="21" spans="1:9">
      <c r="A21" s="3324">
        <v>11</v>
      </c>
      <c r="B21" s="3328" t="s">
        <v>3071</v>
      </c>
      <c r="C21" s="3328" t="s">
        <v>3072</v>
      </c>
      <c r="D21" s="3328">
        <v>87.43</v>
      </c>
      <c r="E21" s="3328" t="s">
        <v>3057</v>
      </c>
      <c r="F21" s="3328" t="s">
        <v>3091</v>
      </c>
      <c r="G21" s="3328"/>
      <c r="H21" s="3328"/>
      <c r="I21" s="3328">
        <v>751</v>
      </c>
    </row>
    <row r="22" spans="1:9">
      <c r="A22" s="3324">
        <v>12</v>
      </c>
      <c r="B22" s="3328" t="s">
        <v>3073</v>
      </c>
      <c r="C22" s="3328" t="s">
        <v>3074</v>
      </c>
      <c r="D22" s="3328">
        <v>87.43</v>
      </c>
      <c r="E22" s="3328" t="s">
        <v>3057</v>
      </c>
      <c r="F22" s="3328" t="s">
        <v>3091</v>
      </c>
      <c r="G22" s="3328"/>
      <c r="H22" s="3328"/>
      <c r="I22" s="3328">
        <v>751</v>
      </c>
    </row>
    <row r="23" spans="1:9" s="3334" customFormat="1">
      <c r="A23" s="3334">
        <v>13</v>
      </c>
      <c r="B23" s="3335" t="s">
        <v>3075</v>
      </c>
      <c r="C23" s="3335" t="s">
        <v>3136</v>
      </c>
      <c r="D23" s="3335">
        <v>112.38</v>
      </c>
      <c r="E23" s="3335" t="s">
        <v>3076</v>
      </c>
      <c r="F23" s="3335" t="s">
        <v>3091</v>
      </c>
      <c r="G23" s="3335"/>
      <c r="H23" s="3335"/>
      <c r="I23" s="3335">
        <v>889</v>
      </c>
    </row>
    <row r="24" spans="1:9" s="3334" customFormat="1">
      <c r="A24" s="3334">
        <v>14</v>
      </c>
      <c r="B24" s="3335" t="s">
        <v>3077</v>
      </c>
      <c r="C24" s="3335" t="s">
        <v>3078</v>
      </c>
      <c r="D24" s="3335">
        <v>112.38</v>
      </c>
      <c r="E24" s="3335" t="s">
        <v>3102</v>
      </c>
      <c r="F24" s="3335" t="s">
        <v>3091</v>
      </c>
      <c r="G24" s="3335"/>
      <c r="H24" s="3335"/>
      <c r="I24" s="3335">
        <v>901</v>
      </c>
    </row>
    <row r="25" spans="1:9" s="3334" customFormat="1">
      <c r="A25" s="3334">
        <v>15</v>
      </c>
      <c r="B25" s="3335" t="s">
        <v>3079</v>
      </c>
      <c r="C25" s="3335" t="s">
        <v>3080</v>
      </c>
      <c r="D25" s="3335">
        <v>112.38</v>
      </c>
      <c r="E25" s="3335" t="s">
        <v>3081</v>
      </c>
      <c r="F25" s="3335" t="s">
        <v>3091</v>
      </c>
      <c r="G25" s="3335"/>
      <c r="H25" s="3335"/>
      <c r="I25" s="3335">
        <v>901</v>
      </c>
    </row>
    <row r="26" spans="1:9">
      <c r="B26" s="3742" t="s">
        <v>3085</v>
      </c>
      <c r="C26" s="3743"/>
      <c r="D26" s="3328">
        <f t="shared" ref="D26:G26" si="0">SUM(D11:D25)</f>
        <v>1448.15</v>
      </c>
      <c r="E26" s="3328">
        <f t="shared" si="0"/>
        <v>0</v>
      </c>
      <c r="F26" s="3328"/>
      <c r="G26" s="3328">
        <f t="shared" si="0"/>
        <v>0</v>
      </c>
      <c r="H26" s="3328"/>
      <c r="I26" s="3328">
        <f>SUM(I11:I25)</f>
        <v>12054</v>
      </c>
    </row>
    <row r="33" spans="2:7">
      <c r="G33" s="3324">
        <f>G26/D26*10000</f>
        <v>0</v>
      </c>
    </row>
    <row r="34" spans="2:7">
      <c r="G34" s="3324">
        <f>2364/D26*10000</f>
        <v>16324.275800158823</v>
      </c>
    </row>
    <row r="37" spans="2:7">
      <c r="C37" s="3324" t="s">
        <v>3119</v>
      </c>
      <c r="D37" s="3324" t="s">
        <v>3118</v>
      </c>
    </row>
    <row r="38" spans="2:7">
      <c r="B38" s="3324" t="s">
        <v>3103</v>
      </c>
      <c r="C38" s="3324" t="s">
        <v>3120</v>
      </c>
      <c r="D38" s="3324">
        <f>I11</f>
        <v>889</v>
      </c>
    </row>
    <row r="39" spans="2:7">
      <c r="B39" s="3324" t="s">
        <v>3104</v>
      </c>
      <c r="C39" s="3324" t="s">
        <v>3121</v>
      </c>
      <c r="D39" s="3324">
        <f t="shared" ref="D39:D52" si="1">I12</f>
        <v>745</v>
      </c>
    </row>
    <row r="40" spans="2:7">
      <c r="B40" s="3324" t="s">
        <v>3105</v>
      </c>
      <c r="C40" s="3324" t="s">
        <v>3122</v>
      </c>
      <c r="D40" s="3324">
        <f t="shared" si="1"/>
        <v>755</v>
      </c>
    </row>
    <row r="41" spans="2:7">
      <c r="B41" s="3324" t="s">
        <v>3106</v>
      </c>
      <c r="C41" s="3324" t="s">
        <v>3123</v>
      </c>
      <c r="D41" s="3324">
        <f t="shared" si="1"/>
        <v>723</v>
      </c>
    </row>
    <row r="42" spans="2:7">
      <c r="B42" s="3324" t="s">
        <v>3107</v>
      </c>
      <c r="C42" s="3324" t="s">
        <v>3124</v>
      </c>
      <c r="D42" s="3324">
        <f t="shared" si="1"/>
        <v>842</v>
      </c>
    </row>
    <row r="43" spans="2:7">
      <c r="B43" s="3324" t="s">
        <v>3108</v>
      </c>
      <c r="C43" s="3324" t="s">
        <v>3125</v>
      </c>
      <c r="D43" s="3324">
        <f t="shared" si="1"/>
        <v>736</v>
      </c>
    </row>
    <row r="44" spans="2:7">
      <c r="B44" s="3324" t="s">
        <v>3109</v>
      </c>
      <c r="C44" s="3324" t="s">
        <v>3126</v>
      </c>
      <c r="D44" s="3324">
        <f t="shared" si="1"/>
        <v>842</v>
      </c>
    </row>
    <row r="45" spans="2:7">
      <c r="B45" s="3324" t="s">
        <v>3110</v>
      </c>
      <c r="C45" s="3324" t="s">
        <v>3127</v>
      </c>
      <c r="D45" s="3324">
        <f t="shared" si="1"/>
        <v>736</v>
      </c>
    </row>
    <row r="46" spans="2:7">
      <c r="B46" s="3324" t="s">
        <v>3111</v>
      </c>
      <c r="C46" s="3324" t="s">
        <v>3128</v>
      </c>
      <c r="D46" s="3324">
        <f t="shared" si="1"/>
        <v>751</v>
      </c>
    </row>
    <row r="47" spans="2:7">
      <c r="B47" s="3324" t="s">
        <v>3112</v>
      </c>
      <c r="C47" s="3324" t="s">
        <v>3129</v>
      </c>
      <c r="D47" s="3324">
        <f t="shared" si="1"/>
        <v>842</v>
      </c>
    </row>
    <row r="48" spans="2:7">
      <c r="B48" s="3324" t="s">
        <v>3113</v>
      </c>
      <c r="C48" s="3324" t="s">
        <v>3130</v>
      </c>
      <c r="D48" s="3324">
        <f t="shared" si="1"/>
        <v>751</v>
      </c>
    </row>
    <row r="49" spans="1:8">
      <c r="B49" s="3324" t="s">
        <v>3114</v>
      </c>
      <c r="C49" s="3324" t="s">
        <v>3131</v>
      </c>
      <c r="D49" s="3324">
        <f t="shared" si="1"/>
        <v>751</v>
      </c>
    </row>
    <row r="50" spans="1:8">
      <c r="B50" s="3324" t="s">
        <v>3115</v>
      </c>
      <c r="C50" s="3324" t="s">
        <v>3132</v>
      </c>
      <c r="D50" s="3324">
        <f t="shared" si="1"/>
        <v>889</v>
      </c>
    </row>
    <row r="51" spans="1:8">
      <c r="B51" s="3324" t="s">
        <v>3116</v>
      </c>
      <c r="C51" s="3324" t="s">
        <v>3133</v>
      </c>
      <c r="D51" s="3324">
        <f t="shared" si="1"/>
        <v>901</v>
      </c>
    </row>
    <row r="52" spans="1:8">
      <c r="B52" s="3324" t="s">
        <v>3117</v>
      </c>
      <c r="C52" s="3324" t="s">
        <v>3134</v>
      </c>
      <c r="D52" s="3324">
        <f t="shared" si="1"/>
        <v>901</v>
      </c>
    </row>
    <row r="53" spans="1:8">
      <c r="C53" s="3324" t="s">
        <v>3135</v>
      </c>
      <c r="D53" s="3324">
        <f>SUM(D38:D52)</f>
        <v>12054</v>
      </c>
    </row>
    <row r="61" spans="1:8">
      <c r="A61" s="3324" t="s">
        <v>3140</v>
      </c>
      <c r="B61" s="3324" t="s">
        <v>3137</v>
      </c>
      <c r="C61" s="3324" t="s">
        <v>3138</v>
      </c>
      <c r="D61" s="3324" t="s">
        <v>3139</v>
      </c>
    </row>
    <row r="62" spans="1:8">
      <c r="B62" s="3324" t="str">
        <f>B23</f>
        <v>2-1009</v>
      </c>
      <c r="C62" s="3324" t="str">
        <f>C23</f>
        <v>京（2021）平不动产权第0001104号</v>
      </c>
      <c r="D62" s="3324">
        <f t="shared" ref="D62:F62" si="2">D23</f>
        <v>112.38</v>
      </c>
      <c r="E62" s="3324" t="str">
        <f t="shared" si="2"/>
        <v>中区</v>
      </c>
      <c r="F62" s="3324" t="str">
        <f t="shared" si="2"/>
        <v>毛坯</v>
      </c>
      <c r="G62" s="3324">
        <f ca="1">典型户型修正!T27</f>
        <v>184</v>
      </c>
      <c r="H62" s="3324">
        <f ca="1">典型户型修正!R27</f>
        <v>16342</v>
      </c>
    </row>
    <row r="63" spans="1:8">
      <c r="B63" s="3324" t="str">
        <f>B15</f>
        <v>2-201</v>
      </c>
      <c r="C63" s="3324" t="str">
        <f>C15</f>
        <v>京（2021）平不动产权第0001098号</v>
      </c>
      <c r="D63" s="3324">
        <f t="shared" ref="D63:F63" si="3">D15</f>
        <v>105.37</v>
      </c>
      <c r="E63" s="3324" t="str">
        <f t="shared" si="3"/>
        <v>低区</v>
      </c>
      <c r="F63" s="3324" t="str">
        <f t="shared" si="3"/>
        <v>毛坯</v>
      </c>
      <c r="G63" s="3324">
        <f ca="1">典型户型修正!T28</f>
        <v>138</v>
      </c>
      <c r="H63" s="3324">
        <f ca="1">典型户型修正!R28</f>
        <v>16335</v>
      </c>
    </row>
    <row r="64" spans="1:8">
      <c r="B64" s="3324" t="str">
        <f>B17</f>
        <v>2-301</v>
      </c>
      <c r="C64" s="3324" t="str">
        <f>C17</f>
        <v>京（2021）平不动产权第0001111号</v>
      </c>
      <c r="D64" s="3324">
        <f t="shared" ref="D64:F64" si="4">D17</f>
        <v>105.37</v>
      </c>
      <c r="E64" s="3324" t="str">
        <f t="shared" si="4"/>
        <v>低区</v>
      </c>
      <c r="F64" s="3324" t="str">
        <f t="shared" si="4"/>
        <v>毛坯</v>
      </c>
      <c r="G64" s="3324">
        <f ca="1">典型户型修正!T29</f>
        <v>141</v>
      </c>
      <c r="H64" s="3324">
        <f ca="1">典型户型修正!R29</f>
        <v>16656</v>
      </c>
    </row>
    <row r="65" spans="2:8">
      <c r="B65" s="3324" t="str">
        <f>B24</f>
        <v>2-1309</v>
      </c>
      <c r="C65" s="3324" t="str">
        <f>C24</f>
        <v>京（2021）平不动产权第0001107号</v>
      </c>
      <c r="D65" s="3324">
        <f t="shared" ref="D65:F65" si="5">D24</f>
        <v>112.38</v>
      </c>
      <c r="E65" s="3324" t="str">
        <f t="shared" si="5"/>
        <v>高区</v>
      </c>
      <c r="F65" s="3324" t="str">
        <f t="shared" si="5"/>
        <v>毛坯</v>
      </c>
      <c r="G65" s="3324">
        <f ca="1">典型户型修正!T30</f>
        <v>131</v>
      </c>
      <c r="H65" s="3324">
        <f ca="1">典型户型修正!R30</f>
        <v>16015</v>
      </c>
    </row>
    <row r="66" spans="2:8">
      <c r="B66" s="3324" t="str">
        <f>B25</f>
        <v>2-1409</v>
      </c>
      <c r="C66" s="3324" t="str">
        <f>C25</f>
        <v>京（2021）平不动产权第0001108号</v>
      </c>
      <c r="D66" s="3324">
        <f t="shared" ref="D66:F66" si="6">D25</f>
        <v>112.38</v>
      </c>
      <c r="E66" s="3324" t="str">
        <f t="shared" si="6"/>
        <v>高区</v>
      </c>
      <c r="F66" s="3324" t="str">
        <f t="shared" si="6"/>
        <v>毛坯</v>
      </c>
      <c r="G66" s="3324">
        <f ca="1">典型户型修正!T31</f>
        <v>136</v>
      </c>
      <c r="H66" s="3324">
        <f ca="1">典型户型修正!R31</f>
        <v>16015</v>
      </c>
    </row>
    <row r="67" spans="2:8">
      <c r="B67" s="3323" t="s">
        <v>3141</v>
      </c>
      <c r="C67" s="3324" t="s">
        <v>3143</v>
      </c>
      <c r="D67" s="3324">
        <v>729.04</v>
      </c>
      <c r="G67" s="3324">
        <f>[2]结果表!$C$103</f>
        <v>951</v>
      </c>
      <c r="H67" s="3324">
        <f>[2]结果表!$C$104</f>
        <v>13047</v>
      </c>
    </row>
    <row r="68" spans="2:8">
      <c r="B68" s="3324" t="s">
        <v>3142</v>
      </c>
      <c r="D68" s="3324">
        <f>SUM(D62:D67)</f>
        <v>1276.92</v>
      </c>
      <c r="G68" s="3324">
        <f ca="1">SUM(G62:G67)</f>
        <v>1681</v>
      </c>
      <c r="H68" s="3324">
        <f ca="1">ROUND(G68/D68*10000,0)</f>
        <v>13164</v>
      </c>
    </row>
    <row r="86" spans="1:8">
      <c r="A86" s="3324" t="s">
        <v>3147</v>
      </c>
      <c r="B86" s="3324" t="s">
        <v>3148</v>
      </c>
      <c r="C86" s="3324" t="s">
        <v>3149</v>
      </c>
      <c r="D86" s="3324" t="s">
        <v>3150</v>
      </c>
      <c r="G86" s="3324" t="s">
        <v>3151</v>
      </c>
      <c r="H86" s="3324" t="s">
        <v>3152</v>
      </c>
    </row>
    <row r="87" spans="1:8" s="3332" customFormat="1">
      <c r="A87" s="3332">
        <v>1</v>
      </c>
      <c r="B87" s="3332" t="str">
        <f>B11</f>
        <v>2-809</v>
      </c>
      <c r="C87" s="3332" t="str">
        <f t="shared" ref="C87:D87" si="7">C11</f>
        <v>京（2021）平不动产权第0001110号</v>
      </c>
      <c r="D87" s="3332">
        <f t="shared" si="7"/>
        <v>112.38</v>
      </c>
    </row>
    <row r="88" spans="1:8" s="3332" customFormat="1">
      <c r="A88" s="3332">
        <v>2</v>
      </c>
      <c r="B88" s="3332" t="str">
        <f t="shared" ref="B88:D96" si="8">B12</f>
        <v>1-202</v>
      </c>
      <c r="C88" s="3332" t="str">
        <f t="shared" si="8"/>
        <v>京（2021）平不动产权第0001101号</v>
      </c>
      <c r="D88" s="3332">
        <f t="shared" si="8"/>
        <v>84.61</v>
      </c>
    </row>
    <row r="89" spans="1:8" s="3332" customFormat="1">
      <c r="A89" s="3332">
        <v>3</v>
      </c>
      <c r="B89" s="3332" t="str">
        <f t="shared" si="8"/>
        <v>1-402</v>
      </c>
      <c r="C89" s="3332" t="str">
        <f t="shared" si="8"/>
        <v>京（2021）平不动产权第0001109号</v>
      </c>
      <c r="D89" s="3332">
        <f t="shared" si="8"/>
        <v>84.61</v>
      </c>
    </row>
    <row r="90" spans="1:8" s="3332" customFormat="1">
      <c r="A90" s="3332">
        <v>4</v>
      </c>
      <c r="B90" s="3332" t="str">
        <f t="shared" si="8"/>
        <v>1-403</v>
      </c>
      <c r="C90" s="3332" t="str">
        <f t="shared" si="8"/>
        <v>京（2021）平不动产权第0001102号</v>
      </c>
      <c r="D90" s="3332">
        <f t="shared" si="8"/>
        <v>81.790000000000006</v>
      </c>
    </row>
    <row r="91" spans="1:8" s="3332" customFormat="1">
      <c r="A91" s="3332">
        <v>5</v>
      </c>
      <c r="B91" s="3332" t="str">
        <f>B16</f>
        <v>2-207</v>
      </c>
      <c r="C91" s="3332" t="str">
        <f t="shared" ref="C91:D91" si="9">C16</f>
        <v>京（2021）平不动产权第0001106号</v>
      </c>
      <c r="D91" s="3332">
        <f t="shared" si="9"/>
        <v>84.61</v>
      </c>
    </row>
    <row r="92" spans="1:8" s="3332" customFormat="1">
      <c r="A92" s="3332">
        <v>6</v>
      </c>
      <c r="B92" s="3332" t="str">
        <f>B18</f>
        <v>2-307</v>
      </c>
      <c r="C92" s="3332" t="str">
        <f t="shared" ref="C92:D92" si="10">C18</f>
        <v>京（2021）平不动产权第0001103号</v>
      </c>
      <c r="D92" s="3332">
        <f t="shared" si="10"/>
        <v>84.61</v>
      </c>
    </row>
    <row r="93" spans="1:8" s="3332" customFormat="1">
      <c r="A93" s="3332">
        <v>7</v>
      </c>
      <c r="B93" s="3332" t="str">
        <f t="shared" ref="B93:D96" si="11">B19</f>
        <v>2-308</v>
      </c>
      <c r="C93" s="3332" t="str">
        <f t="shared" si="11"/>
        <v>京（2021）平不动产权第0001099号</v>
      </c>
      <c r="D93" s="3332">
        <f t="shared" si="11"/>
        <v>87.43</v>
      </c>
    </row>
    <row r="94" spans="1:8" s="3332" customFormat="1">
      <c r="A94" s="3332">
        <v>8</v>
      </c>
      <c r="B94" s="3332" t="str">
        <f t="shared" si="11"/>
        <v>2-401</v>
      </c>
      <c r="C94" s="3332" t="str">
        <f t="shared" si="11"/>
        <v>京（2021）平不动产权第0001105号</v>
      </c>
      <c r="D94" s="3332">
        <f t="shared" si="11"/>
        <v>105.37</v>
      </c>
    </row>
    <row r="95" spans="1:8" s="3332" customFormat="1">
      <c r="A95" s="3332">
        <v>9</v>
      </c>
      <c r="B95" s="3332" t="str">
        <f t="shared" si="11"/>
        <v>2-408</v>
      </c>
      <c r="C95" s="3332" t="str">
        <f t="shared" si="11"/>
        <v>京（2021）平不动产权第0001112号</v>
      </c>
      <c r="D95" s="3332">
        <f t="shared" si="11"/>
        <v>87.43</v>
      </c>
    </row>
    <row r="96" spans="1:8" s="3332" customFormat="1">
      <c r="A96" s="3332">
        <v>10</v>
      </c>
      <c r="B96" s="3332" t="str">
        <f t="shared" si="11"/>
        <v>2-508</v>
      </c>
      <c r="C96" s="3332" t="str">
        <f t="shared" si="11"/>
        <v>京（2021）平不动产权第0001100号</v>
      </c>
      <c r="D96" s="3332">
        <f t="shared" si="11"/>
        <v>87.43</v>
      </c>
    </row>
    <row r="97" spans="4:4">
      <c r="D97" s="3324">
        <f>SUM(D87:D96)</f>
        <v>900.27</v>
      </c>
    </row>
  </sheetData>
  <mergeCells count="1">
    <mergeCell ref="B26:C26"/>
  </mergeCells>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3"/>
      <c r="C2" s="3353"/>
      <c r="D2" s="3353"/>
      <c r="E2" s="3353"/>
    </row>
    <row r="3" spans="1:5" ht="13.5" customHeight="1">
      <c r="A3" s="1289"/>
      <c r="B3" s="1289"/>
      <c r="C3" s="1289"/>
      <c r="D3" s="1289"/>
      <c r="E3" s="1289"/>
    </row>
    <row r="4" spans="1:5" ht="19.5" thickBot="1">
      <c r="A4" s="3354" t="str">
        <f>IF(项目基本情况!D5="房地产市场价值","估价结果一览表（市场价值不需本页表格)","估价结果一览表")</f>
        <v>估价结果一览表</v>
      </c>
      <c r="B4" s="3354"/>
      <c r="C4" s="3354"/>
      <c r="D4" s="3354"/>
      <c r="E4" s="3354"/>
    </row>
    <row r="5" spans="1:5" ht="14.25" customHeight="1" thickTop="1">
      <c r="A5" s="1286"/>
      <c r="B5" s="1290" t="s">
        <v>562</v>
      </c>
      <c r="C5" s="3355" t="s">
        <v>593</v>
      </c>
      <c r="D5" s="3356"/>
      <c r="E5" s="1286"/>
    </row>
    <row r="6" spans="1:5" ht="14.25">
      <c r="A6" s="1286"/>
      <c r="B6" s="1291" t="str">
        <f>项目基本情况!I1</f>
        <v>北京市房地产</v>
      </c>
      <c r="C6" s="3357">
        <f>项目基本情况!C12</f>
        <v>900.27</v>
      </c>
      <c r="D6" s="3357"/>
      <c r="E6" s="1286"/>
    </row>
    <row r="7" spans="1:5" ht="14.25">
      <c r="A7" s="1286"/>
      <c r="B7" s="3351" t="s">
        <v>594</v>
      </c>
      <c r="C7" s="1292" t="str">
        <f>IF('数据-取费表'!B3="万元","总价（万元）","总价（元）")</f>
        <v>总价（万元）</v>
      </c>
      <c r="D7" s="1293">
        <f ca="1">IF('数据-取费表'!E3="否",结果表!I102,'结果表 (1修多)'!I104)</f>
        <v>1455</v>
      </c>
      <c r="E7" s="1286"/>
    </row>
    <row r="8" spans="1:5" ht="14.25">
      <c r="A8" s="1286"/>
      <c r="B8" s="3351"/>
      <c r="C8" s="1294" t="s">
        <v>924</v>
      </c>
      <c r="D8" s="1295" t="str">
        <f ca="1">IF('数据-取费表'!B3="万元",NUMBERSTRING(INT(D7*10000),2)&amp;"元整",NUMBERSTRING(INT(D7),2)&amp;"元整")</f>
        <v>壹仟肆佰伍拾伍万元整</v>
      </c>
      <c r="E8" s="1286"/>
    </row>
    <row r="9" spans="1:5" ht="14.25">
      <c r="A9" s="1286"/>
      <c r="B9" s="3351"/>
      <c r="C9" s="1296" t="s">
        <v>1020</v>
      </c>
      <c r="D9" s="1293">
        <f ca="1">IF('数据-取费表'!E3="否",结果表!I103,'结果表 (1修多)'!I105)</f>
        <v>16162</v>
      </c>
      <c r="E9" s="1286"/>
    </row>
    <row r="10" spans="1:5" ht="14.25">
      <c r="A10" s="1286"/>
      <c r="B10" s="3358"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8"/>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8" t="str">
        <f>IF('数据-取费表'!E3="否",结果表!F110,'结果表 (1修多)'!F112)</f>
        <v>3.房地产抵押价值</v>
      </c>
      <c r="C15" s="1287" t="str">
        <f>C7</f>
        <v>总价（万元）</v>
      </c>
      <c r="D15" s="1293">
        <f ca="1">IF('数据-取费表'!E3="否",结果表!I110,'结果表 (1修多)'!I112)</f>
        <v>1455</v>
      </c>
      <c r="E15" s="1286"/>
    </row>
    <row r="16" spans="1:5" ht="14.25">
      <c r="A16" s="1286"/>
      <c r="B16" s="3358"/>
      <c r="C16" s="1294" t="s">
        <v>924</v>
      </c>
      <c r="D16" s="1293" t="str">
        <f ca="1">IF('数据-取费表'!B3="万元",NUMBERSTRING(INT(D15*10000),2)&amp;"元整",NUMBERSTRING(INT(D15),2)&amp;"元整")</f>
        <v>壹仟肆佰伍拾伍万元整</v>
      </c>
      <c r="E16" s="1286"/>
    </row>
    <row r="17" spans="1:5" ht="14.25">
      <c r="A17" s="1286"/>
      <c r="B17" s="3358"/>
      <c r="C17" s="1296" t="s">
        <v>1020</v>
      </c>
      <c r="D17" s="1293">
        <f ca="1">IF('数据-取费表'!E3="否",结果表!I111,'结果表 (1修多)'!I113)</f>
        <v>16162</v>
      </c>
      <c r="E17" s="1286"/>
    </row>
    <row r="18" spans="1:5" ht="14.25">
      <c r="A18" s="1286"/>
      <c r="B18" s="3358" t="str">
        <f>IF('数据-取费表'!E3="否",结果表!F112,'结果表 (1修多)'!F114)</f>
        <v>——</v>
      </c>
      <c r="C18" s="1287" t="str">
        <f>C7</f>
        <v>总价（万元）</v>
      </c>
      <c r="D18" s="1293" t="str">
        <f>IF('数据-取费表'!E3="否",结果表!I112,'结果表 (1修多)'!I114)</f>
        <v>——</v>
      </c>
      <c r="E18" s="1286"/>
    </row>
    <row r="19" spans="1:5" ht="14.25">
      <c r="A19" s="1286"/>
      <c r="B19" s="3358"/>
      <c r="C19" s="1294" t="s">
        <v>924</v>
      </c>
      <c r="D19" s="1293" t="e">
        <f>IF('数据-取费表'!B3="万元",NUMBERSTRING(INT(D18*10000),2)&amp;"元整",NUMBERSTRING(INT(D18),2)&amp;"元整")</f>
        <v>#VALUE!</v>
      </c>
      <c r="E19" s="1286"/>
    </row>
    <row r="20" spans="1:5" ht="14.25">
      <c r="A20" s="1286"/>
      <c r="B20" s="3358"/>
      <c r="C20" s="1296" t="s">
        <v>1020</v>
      </c>
      <c r="D20" s="1293" t="str">
        <f>IF('数据-取费表'!E3="否",结果表!I113,'结果表 (1修多)'!I115)</f>
        <v>——</v>
      </c>
      <c r="E20" s="1286"/>
    </row>
    <row r="21" spans="1:5" ht="14.25">
      <c r="A21" s="1286"/>
      <c r="B21" s="3351" t="str">
        <f>IF('数据-取费表'!E3="否",结果表!F114,'结果表 (1修多)'!F116)</f>
        <v>——</v>
      </c>
      <c r="C21" s="1292" t="str">
        <f>C7</f>
        <v>总价（万元）</v>
      </c>
      <c r="D21" s="1293" t="str">
        <f>IF('数据-取费表'!E3="否",结果表!I114,'结果表 (1修多)'!I116)</f>
        <v>——</v>
      </c>
      <c r="E21" s="1286"/>
    </row>
    <row r="22" spans="1:5" ht="14.25">
      <c r="A22" s="1286"/>
      <c r="B22" s="3351"/>
      <c r="C22" s="1294" t="s">
        <v>924</v>
      </c>
      <c r="D22" s="1295" t="e">
        <f>IF('数据-取费表'!B3="万元",NUMBERSTRING(INT(D21*10000),2)&amp;"元整",NUMBERSTRING(INT(D21),2)&amp;"元整")</f>
        <v>#VALUE!</v>
      </c>
      <c r="E22" s="1286"/>
    </row>
    <row r="23" spans="1:5" ht="15" thickBot="1">
      <c r="A23" s="1286"/>
      <c r="B23" s="3352"/>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3" t="s">
        <v>1021</v>
      </c>
      <c r="C25" s="3343"/>
      <c r="D25" s="3343"/>
      <c r="E25" s="1286"/>
    </row>
    <row r="26" spans="1:5" ht="18.75" customHeight="1" thickTop="1">
      <c r="A26" s="1286"/>
      <c r="B26" s="3346" t="s">
        <v>923</v>
      </c>
      <c r="C26" s="3347"/>
      <c r="D26" s="3344" t="s">
        <v>922</v>
      </c>
      <c r="E26" s="1286"/>
    </row>
    <row r="27" spans="1:5" ht="18.75" customHeight="1">
      <c r="A27" s="1286"/>
      <c r="B27" s="3348"/>
      <c r="C27" s="3349"/>
      <c r="D27" s="3345"/>
      <c r="E27" s="1286"/>
    </row>
    <row r="28" spans="1:5" ht="14.25">
      <c r="A28" s="1286"/>
      <c r="B28" s="3336" t="s">
        <v>594</v>
      </c>
      <c r="C28" s="1303" t="s">
        <v>925</v>
      </c>
      <c r="D28" s="1304">
        <f ca="1">IF('数据-取费表'!E3="否",结果表!I102,'结果表 (1修多)'!I104)</f>
        <v>1455</v>
      </c>
      <c r="E28" s="1286"/>
    </row>
    <row r="29" spans="1:5" ht="14.25">
      <c r="A29" s="1286"/>
      <c r="B29" s="3337"/>
      <c r="C29" s="1305" t="s">
        <v>924</v>
      </c>
      <c r="D29" s="1306" t="str">
        <f ca="1">IF('数据-取费表'!B3="万元",NUMBERSTRING(INT(D28*10000),2)&amp;"元整",NUMBERSTRING(INT(D28),2)&amp;"元整")</f>
        <v>壹仟肆佰伍拾伍万元整</v>
      </c>
      <c r="E29" s="1286"/>
    </row>
    <row r="30" spans="1:5" ht="14.25">
      <c r="A30" s="1286"/>
      <c r="B30" s="3338"/>
      <c r="C30" s="1296" t="s">
        <v>927</v>
      </c>
      <c r="D30" s="1307">
        <f ca="1">IF('数据-取费表'!E3="否",结果表!I103,'结果表 (1修多)'!I105)</f>
        <v>16162</v>
      </c>
      <c r="E30" s="1286"/>
    </row>
    <row r="31" spans="1:5" ht="14.25">
      <c r="A31" s="1286"/>
      <c r="B31" s="3341" t="str">
        <f>B10</f>
        <v>2.估价师所知悉的法定优先受偿款</v>
      </c>
      <c r="C31" s="1308" t="s">
        <v>926</v>
      </c>
      <c r="D31" s="1309">
        <f>IF('数据-取费表'!E3="否",结果表!I105,'结果表 (1修多)'!I107)</f>
        <v>0</v>
      </c>
      <c r="E31" s="1286"/>
    </row>
    <row r="32" spans="1:5" ht="14.25">
      <c r="A32" s="1286"/>
      <c r="B32" s="3350"/>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9" t="str">
        <f>B15</f>
        <v>3.房地产抵押价值</v>
      </c>
      <c r="C36" s="1308" t="str">
        <f>C28</f>
        <v>总价</v>
      </c>
      <c r="D36" s="1309">
        <f ca="1">IF('数据-取费表'!E3="否",结果表!I110,'结果表 (1修多)'!I112)</f>
        <v>1455</v>
      </c>
      <c r="E36" s="1286"/>
    </row>
    <row r="37" spans="1:5" ht="14.25">
      <c r="A37" s="1286"/>
      <c r="B37" s="3339"/>
      <c r="C37" s="1305" t="s">
        <v>924</v>
      </c>
      <c r="D37" s="1310" t="str">
        <f ca="1">IF('数据-取费表'!B3="万元",NUMBERSTRING(INT(D36*10000),2)&amp;"元整",NUMBERSTRING(INT(D36),2)&amp;"元整")</f>
        <v>壹仟肆佰伍拾伍万元整</v>
      </c>
      <c r="E37" s="1286"/>
    </row>
    <row r="38" spans="1:5" ht="14.25">
      <c r="A38" s="1286"/>
      <c r="B38" s="3339"/>
      <c r="C38" s="1296" t="s">
        <v>928</v>
      </c>
      <c r="D38" s="1307">
        <f ca="1">IF('数据-取费表'!E3="否",结果表!D113,'结果表 (1修多)'!D117)</f>
        <v>16162</v>
      </c>
      <c r="E38" s="1286"/>
    </row>
    <row r="39" spans="1:5" ht="14.25">
      <c r="A39" s="1286"/>
      <c r="B39" s="3340" t="str">
        <f>B18</f>
        <v>——</v>
      </c>
      <c r="C39" s="1308" t="str">
        <f>C28</f>
        <v>总价</v>
      </c>
      <c r="D39" s="1309" t="str">
        <f>IF('数据-取费表'!E3="否",结果表!I112,'结果表 (1修多)'!I114)</f>
        <v>——</v>
      </c>
      <c r="E39" s="1286"/>
    </row>
    <row r="40" spans="1:5" ht="14.25">
      <c r="A40" s="1286"/>
      <c r="B40" s="3340"/>
      <c r="C40" s="1305" t="s">
        <v>924</v>
      </c>
      <c r="D40" s="1310" t="e">
        <f>IF('数据-取费表'!B3="万元",NUMBERSTRING(INT(D39*10000),2)&amp;"元整",NUMBERSTRING(INT(D39),2)&amp;"元整")</f>
        <v>#VALUE!</v>
      </c>
      <c r="E40" s="1286"/>
    </row>
    <row r="41" spans="1:5" ht="14.25">
      <c r="A41" s="1286"/>
      <c r="B41" s="3340"/>
      <c r="C41" s="1296" t="s">
        <v>928</v>
      </c>
      <c r="D41" s="1307" t="str">
        <f>IF('数据-取费表'!E3="否",结果表!D115,'结果表 (1修多)'!D119)</f>
        <v>——</v>
      </c>
      <c r="E41" s="1286"/>
    </row>
    <row r="42" spans="1:5" ht="14.25">
      <c r="A42" s="1286"/>
      <c r="B42" s="3339" t="str">
        <f>B21</f>
        <v>——</v>
      </c>
      <c r="C42" s="1308" t="str">
        <f>C28</f>
        <v>总价</v>
      </c>
      <c r="D42" s="1309" t="str">
        <f>IF('数据-取费表'!E3="否",结果表!I114,'结果表 (1修多)'!I116)</f>
        <v>——</v>
      </c>
      <c r="E42" s="1286"/>
    </row>
    <row r="43" spans="1:5" ht="14.25">
      <c r="A43" s="1286"/>
      <c r="B43" s="3341"/>
      <c r="C43" s="1305" t="s">
        <v>924</v>
      </c>
      <c r="D43" s="1311" t="e">
        <f>IF('数据-取费表'!B3="万元",NUMBERSTRING(INT(D42*10000),2)&amp;"元整",NUMBERSTRING(INT(D42),2)&amp;"元整")</f>
        <v>#VALUE!</v>
      </c>
      <c r="E43" s="1286"/>
    </row>
    <row r="44" spans="1:5" ht="15" thickBot="1">
      <c r="A44" s="1286"/>
      <c r="B44" s="3342"/>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
      <c r="A3" s="3359"/>
      <c r="B3" s="3359"/>
      <c r="C3" s="3359"/>
      <c r="D3" s="776" t="s">
        <v>1027</v>
      </c>
      <c r="E3" s="776" t="s">
        <v>1028</v>
      </c>
      <c r="F3" s="776" t="s">
        <v>1027</v>
      </c>
      <c r="G3" s="776" t="s">
        <v>1029</v>
      </c>
      <c r="H3" s="776" t="s">
        <v>1027</v>
      </c>
      <c r="I3" s="776" t="s">
        <v>1029</v>
      </c>
    </row>
    <row r="4" spans="1:9" ht="46.5" customHeight="1">
      <c r="A4" s="776" t="str">
        <f>项目基本情况!I1</f>
        <v>北京市房地产</v>
      </c>
      <c r="B4" s="776">
        <f>结果表!B121</f>
        <v>900.27</v>
      </c>
      <c r="C4" s="776">
        <f>结果表!C121</f>
        <v>0</v>
      </c>
      <c r="D4" s="776">
        <f>IF('数据-取费表'!E3="否",结果表!D121,'结果表 (1修多)'!D125)</f>
        <v>0</v>
      </c>
      <c r="E4" s="776">
        <f>IF('数据-取费表'!E3="否",结果表!E121,'结果表 (1修多)'!E125)</f>
        <v>0</v>
      </c>
      <c r="F4" s="776">
        <f>IF('数据-取费表'!E3="否",结果表!F121,'结果表 (1修多)'!F125)</f>
        <v>0</v>
      </c>
      <c r="G4" s="776">
        <f>IF('数据-取费表'!E3="否",结果表!G121,'结果表 (1修多)'!G125)</f>
        <v>0</v>
      </c>
      <c r="H4" s="776">
        <f ca="1">IF('数据-取费表'!E3="否",结果表!H121,'结果表 (1修多)'!H125)</f>
        <v>1455</v>
      </c>
      <c r="I4" s="776">
        <f ca="1">IF('数据-取费表'!E3="否",结果表!I121,'结果表 (1修多)'!I125)</f>
        <v>16162</v>
      </c>
    </row>
    <row r="5" spans="1:9" ht="15">
      <c r="A5" s="3359" t="s">
        <v>1030</v>
      </c>
      <c r="B5" s="3359"/>
      <c r="C5" s="3359"/>
      <c r="D5" s="3360" t="str">
        <f>IF('数据-取费表'!E3="否",结果表!D122,'结果表 (1修多)'!D126)</f>
        <v>零元整</v>
      </c>
      <c r="E5" s="3360"/>
      <c r="F5" s="3360" t="str">
        <f>IF('数据-取费表'!E3="否",结果表!F122,'结果表 (1修多)'!F126)</f>
        <v>零元整</v>
      </c>
      <c r="G5" s="3360"/>
      <c r="H5" s="3360" t="str">
        <f ca="1">IF('数据-取费表'!E3="否",结果表!H122,'结果表 (1修多)'!H126)</f>
        <v>壹仟肆佰伍拾伍万元整</v>
      </c>
      <c r="I5" s="3360"/>
    </row>
    <row r="6" spans="1:9" ht="15.75">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59" t="s">
        <v>1030</v>
      </c>
      <c r="B7" s="3359"/>
      <c r="C7" s="3359"/>
      <c r="D7" s="3367">
        <f>IF('数据-取费表'!E3="否",结果表!D124,'结果表 (1修多)'!D128)</f>
        <v>0</v>
      </c>
      <c r="E7" s="3368"/>
      <c r="F7" s="3368"/>
      <c r="G7" s="3368"/>
      <c r="H7" s="3368"/>
      <c r="I7" s="3369"/>
    </row>
    <row r="8" spans="1:9" ht="15.75">
      <c r="A8" s="3361" t="str">
        <f>IF('数据-取费表'!E3="否",结果表!A125,'结果表 (1修多)'!A129)</f>
        <v>房地产抵押价值</v>
      </c>
      <c r="B8" s="3361"/>
      <c r="C8" s="3361"/>
      <c r="D8" s="3361">
        <f ca="1">IF('数据-取费表'!E3="否",结果表!D125,'结果表 (1修多)'!D129)</f>
        <v>1455</v>
      </c>
      <c r="E8" s="3361"/>
      <c r="F8" s="3361"/>
      <c r="G8" s="3361"/>
      <c r="H8" s="3361"/>
      <c r="I8" s="3361"/>
    </row>
    <row r="9" spans="1:9" ht="15">
      <c r="A9" s="3359" t="s">
        <v>1030</v>
      </c>
      <c r="B9" s="3359"/>
      <c r="C9" s="3359"/>
      <c r="D9" s="3360">
        <f ca="1">IF('数据-取费表'!E3="否",结果表!D126,'结果表 (1修多)'!D130)</f>
        <v>16162</v>
      </c>
      <c r="E9" s="3360"/>
      <c r="F9" s="3360"/>
      <c r="G9" s="3360"/>
      <c r="H9" s="3360"/>
      <c r="I9" s="3360"/>
    </row>
    <row r="10" spans="1:9" ht="15.75">
      <c r="A10" s="3361" t="str">
        <f>IF('数据-取费表'!E3="否",结果表!A127,'结果表 (1修多)'!A131)</f>
        <v/>
      </c>
      <c r="B10" s="3361"/>
      <c r="C10" s="3361"/>
      <c r="D10" s="3361">
        <f ca="1">IF('数据-取费表'!E3="否",结果表!D127,'结果表 (1修多)'!D130)</f>
        <v>16162</v>
      </c>
      <c r="E10" s="3361"/>
      <c r="F10" s="3361"/>
      <c r="G10" s="3361"/>
      <c r="H10" s="3361"/>
      <c r="I10" s="3361"/>
    </row>
    <row r="11" spans="1:9" ht="15">
      <c r="A11" s="3359" t="s">
        <v>1030</v>
      </c>
      <c r="B11" s="3359"/>
      <c r="C11" s="3359"/>
      <c r="D11" s="3360" t="str">
        <f>IF('数据-取费表'!E3="否",结果表!D128,'结果表 (1修多)'!D132)</f>
        <v>——</v>
      </c>
      <c r="E11" s="3360"/>
      <c r="F11" s="3360"/>
      <c r="G11" s="3360"/>
      <c r="H11" s="3360"/>
      <c r="I11" s="3360"/>
    </row>
    <row r="12" spans="1:9" ht="15.75">
      <c r="A12" s="3361" t="str">
        <f>IF('数据-取费表'!E3="否",结果表!A129,'结果表 (1修多)'!A133)</f>
        <v/>
      </c>
      <c r="B12" s="3361"/>
      <c r="C12" s="3361"/>
      <c r="D12" s="3361" t="str">
        <f>IF('数据-取费表'!E3="否",结果表!D129,'结果表 (1修多)'!D133)</f>
        <v>——</v>
      </c>
      <c r="E12" s="3361"/>
      <c r="F12" s="3361"/>
      <c r="G12" s="3361"/>
      <c r="H12" s="3361"/>
      <c r="I12" s="3361"/>
    </row>
    <row r="13" spans="1:9" ht="15.75" thickBot="1">
      <c r="A13" s="3362" t="s">
        <v>1030</v>
      </c>
      <c r="B13" s="3362"/>
      <c r="C13" s="3362"/>
      <c r="D13" s="3363">
        <f>IF('数据-取费表'!E3="否",结果表!D130,'结果表 (1修多)'!D134)</f>
        <v>0</v>
      </c>
      <c r="E13" s="3363"/>
      <c r="F13" s="3363"/>
      <c r="G13" s="3363"/>
      <c r="H13" s="3363"/>
      <c r="I13" s="3363"/>
    </row>
    <row r="14" spans="1:9" ht="15" thickTop="1">
      <c r="A14" s="3364" t="str">
        <f>IF('数据-取费表'!E3="否",结果表!A131,'结果表 (1修多)'!A135)</f>
        <v>单位：平方米、万元、元/平方米（币种：人民币）</v>
      </c>
      <c r="B14" s="3364"/>
      <c r="C14" s="3364"/>
      <c r="D14" s="3364"/>
      <c r="E14" s="3364"/>
      <c r="F14" s="3364"/>
      <c r="G14" s="3364"/>
      <c r="H14" s="3364"/>
      <c r="I14" s="3364"/>
    </row>
    <row r="15" spans="1:9">
      <c r="A15" s="605"/>
      <c r="B15" s="605"/>
      <c r="C15" s="605"/>
      <c r="D15" s="605"/>
      <c r="E15" s="605"/>
      <c r="F15" s="605"/>
      <c r="G15" s="605"/>
      <c r="H15" s="605"/>
      <c r="I15" s="605"/>
    </row>
    <row r="16" spans="1:9" ht="18.75">
      <c r="A16" s="1314"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1" t="s">
        <v>1043</v>
      </c>
      <c r="B1" s="3371"/>
      <c r="C1" s="3371"/>
      <c r="D1" s="3371"/>
    </row>
    <row r="2" spans="1:4" ht="18">
      <c r="A2" s="3370" t="s">
        <v>1032</v>
      </c>
      <c r="B2" s="3370"/>
      <c r="C2" s="3370"/>
      <c r="D2" s="3370"/>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f>项目基本情况!D3</f>
        <v>0</v>
      </c>
      <c r="B5" s="1317">
        <f>项目基本情况!E3</f>
        <v>0</v>
      </c>
      <c r="C5" s="1320"/>
      <c r="D5" s="1319" t="s">
        <v>1044</v>
      </c>
    </row>
    <row r="6" spans="1:4" ht="12" customHeight="1">
      <c r="A6" s="1316"/>
      <c r="B6" s="1317"/>
      <c r="C6" s="1321"/>
      <c r="D6" s="1319"/>
    </row>
    <row r="7" spans="1:4" ht="18">
      <c r="A7" s="3370" t="s">
        <v>1037</v>
      </c>
      <c r="B7" s="3370"/>
      <c r="C7" s="3370"/>
      <c r="D7" s="3370"/>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72" t="s">
        <v>2494</v>
      </c>
      <c r="B12" s="3373"/>
      <c r="C12" s="3373"/>
      <c r="D12" s="3373"/>
    </row>
    <row r="13" spans="1:4" ht="15.75">
      <c r="A13" s="33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3"/>
      <c r="C13" s="3373"/>
      <c r="D13" s="3373"/>
    </row>
    <row r="14" spans="1:4" ht="30" customHeight="1">
      <c r="A14" s="337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3"/>
      <c r="C14" s="3373"/>
      <c r="D14" s="3373"/>
    </row>
    <row r="15" spans="1:4" ht="15.75" customHeight="1">
      <c r="A15" s="3372" t="str">
        <f>IF(项目基本情况!D4="抵押","4.本次评估估价师所知悉的法定优先受偿款情况说明如下：","——")</f>
        <v>4.本次评估估价师所知悉的法定优先受偿款情况说明如下：</v>
      </c>
      <c r="B15" s="3373"/>
      <c r="C15" s="3373"/>
      <c r="D15" s="3373"/>
    </row>
    <row r="16" spans="1:4" ht="75" customHeight="1">
      <c r="A16" s="337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2"/>
      <c r="C16" s="3372"/>
      <c r="D16" s="3372"/>
    </row>
    <row r="17" spans="1:4" ht="63.75" customHeight="1">
      <c r="A17" s="3374" t="s">
        <v>1045</v>
      </c>
      <c r="B17" s="3374"/>
      <c r="C17" s="3374"/>
      <c r="D17" s="3374"/>
    </row>
    <row r="18" spans="1:4" ht="15.75" customHeight="1">
      <c r="A18" s="3372" t="str">
        <f>IF(项目基本情况!D4="抵押",结果表!L106,"——")</f>
        <v>本次评估不存在估价师所知悉的法定优先受偿款。</v>
      </c>
      <c r="B18" s="3372"/>
      <c r="C18" s="3372"/>
      <c r="D18" s="3372"/>
    </row>
    <row r="19" spans="1:4" ht="46.5" customHeight="1">
      <c r="A19" s="33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15">
      <c r="A20" s="3374" t="s">
        <v>2495</v>
      </c>
      <c r="B20" s="3374"/>
      <c r="C20" s="3374"/>
      <c r="D20" s="3374"/>
    </row>
    <row r="21" spans="1:4">
      <c r="A21" s="1324"/>
      <c r="B21" s="938"/>
      <c r="C21" s="938"/>
      <c r="D21" s="938"/>
    </row>
    <row r="22" spans="1:4">
      <c r="A22" s="1324"/>
      <c r="B22" s="938"/>
      <c r="C22" s="938"/>
      <c r="D22" s="938"/>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5"/>
  </cols>
  <sheetData>
    <row r="1" spans="1:7" s="1314" customFormat="1" ht="18.75">
      <c r="A1" s="603" t="s">
        <v>1112</v>
      </c>
    </row>
    <row r="3" spans="1:7" ht="14.25">
      <c r="A3" s="1331" t="s">
        <v>1113</v>
      </c>
      <c r="B3" s="605" t="s">
        <v>1114</v>
      </c>
      <c r="G3" s="1332"/>
    </row>
    <row r="4" spans="1:7">
      <c r="G4" s="1332"/>
    </row>
    <row r="5" spans="1:7" ht="14.25">
      <c r="A5" s="1334" t="s">
        <v>1115</v>
      </c>
      <c r="B5" s="605" t="s">
        <v>1116</v>
      </c>
      <c r="G5" s="1332"/>
    </row>
    <row r="6" spans="1:7">
      <c r="G6" s="1332"/>
    </row>
    <row r="7" spans="1:7" ht="14.25">
      <c r="A7" s="1335" t="s">
        <v>1117</v>
      </c>
      <c r="B7" s="605" t="s">
        <v>1118</v>
      </c>
      <c r="G7" s="1332"/>
    </row>
    <row r="8" spans="1:7">
      <c r="G8" s="1332"/>
    </row>
    <row r="9" spans="1:7">
      <c r="A9" s="1336" t="s">
        <v>1119</v>
      </c>
      <c r="B9" s="605" t="s">
        <v>1120</v>
      </c>
    </row>
    <row r="11" spans="1:7">
      <c r="A11" s="1337" t="s">
        <v>1121</v>
      </c>
      <c r="B11" s="1338" t="s">
        <v>1122</v>
      </c>
    </row>
    <row r="13" spans="1:7">
      <c r="A13" s="1118" t="s">
        <v>1123</v>
      </c>
    </row>
    <row r="15" spans="1:7" ht="14.25">
      <c r="A15" s="3380" t="s">
        <v>1124</v>
      </c>
      <c r="B15" s="3375" t="s">
        <v>1125</v>
      </c>
      <c r="C15" s="3376"/>
    </row>
    <row r="16" spans="1:7" ht="14.25">
      <c r="A16" s="3381"/>
      <c r="B16" s="3375" t="s">
        <v>1126</v>
      </c>
      <c r="C16" s="3376"/>
    </row>
    <row r="17" spans="1:3" ht="14.25">
      <c r="A17" s="3381"/>
      <c r="B17" s="3375" t="s">
        <v>1127</v>
      </c>
      <c r="C17" s="3376"/>
    </row>
    <row r="18" spans="1:3" ht="14.25">
      <c r="A18" s="3382"/>
      <c r="B18" s="3377" t="s">
        <v>1128</v>
      </c>
      <c r="C18" s="3376"/>
    </row>
    <row r="19" spans="1:3" ht="14.25">
      <c r="A19" s="1339" t="s">
        <v>1129</v>
      </c>
      <c r="B19" s="1340"/>
      <c r="C19" s="1341"/>
    </row>
    <row r="20" spans="1:3" ht="14.25">
      <c r="A20" s="3378" t="s">
        <v>1130</v>
      </c>
      <c r="B20" s="3377" t="s">
        <v>1131</v>
      </c>
      <c r="C20" s="3376"/>
    </row>
    <row r="21" spans="1:3" ht="14.25">
      <c r="A21" s="3378"/>
      <c r="B21" s="3377" t="s">
        <v>1132</v>
      </c>
      <c r="C21" s="3376"/>
    </row>
    <row r="22" spans="1:3" ht="14.25">
      <c r="A22" s="3378"/>
      <c r="B22" s="3377" t="s">
        <v>1133</v>
      </c>
      <c r="C22" s="3376"/>
    </row>
    <row r="23" spans="1:3" ht="14.25">
      <c r="A23" s="3378"/>
      <c r="B23" s="3379" t="s">
        <v>1134</v>
      </c>
      <c r="C23" s="1342" t="s">
        <v>1135</v>
      </c>
    </row>
    <row r="24" spans="1:3" ht="14.25">
      <c r="A24" s="3378"/>
      <c r="B24" s="3379"/>
      <c r="C24" s="1342" t="s">
        <v>1136</v>
      </c>
    </row>
    <row r="25" spans="1:3" ht="14.25">
      <c r="A25" s="3378"/>
      <c r="B25" s="3379"/>
      <c r="C25" s="1342" t="s">
        <v>1137</v>
      </c>
    </row>
    <row r="26" spans="1:3" ht="14.25">
      <c r="A26" s="3378"/>
      <c r="B26" s="3379"/>
      <c r="C26" s="1342" t="s">
        <v>1138</v>
      </c>
    </row>
    <row r="27" spans="1:3" ht="14.25">
      <c r="A27" s="3378"/>
      <c r="B27" s="3379"/>
      <c r="C27" s="1342" t="s">
        <v>1139</v>
      </c>
    </row>
    <row r="28" spans="1:3" ht="14.25">
      <c r="A28" s="3378"/>
      <c r="B28" s="3379"/>
      <c r="C28" s="1342" t="s">
        <v>1140</v>
      </c>
    </row>
    <row r="29" spans="1:3" ht="14.25">
      <c r="A29" s="3378"/>
      <c r="B29" s="3379"/>
      <c r="C29" s="1342" t="s">
        <v>1141</v>
      </c>
    </row>
    <row r="30" spans="1:3" ht="14.25">
      <c r="A30" s="3378"/>
      <c r="B30" s="3379"/>
      <c r="C30" s="1342" t="s">
        <v>1142</v>
      </c>
    </row>
    <row r="31" spans="1:3" ht="14.25">
      <c r="A31" s="3378"/>
      <c r="B31" s="3379"/>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1" sqref="B11"/>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44908</v>
      </c>
      <c r="C2" s="2983" t="s">
        <v>567</v>
      </c>
      <c r="D2" s="2983"/>
      <c r="E2" s="2983"/>
      <c r="F2" s="2980"/>
      <c r="G2" s="2980"/>
      <c r="H2" s="2980"/>
    </row>
    <row r="3" spans="1:8" ht="24" customHeight="1">
      <c r="A3" s="2984" t="s">
        <v>568</v>
      </c>
      <c r="B3" s="2985" t="s">
        <v>569</v>
      </c>
      <c r="C3" s="2985" t="s">
        <v>570</v>
      </c>
      <c r="D3" s="2986" t="s">
        <v>590</v>
      </c>
      <c r="E3" s="2998" t="s">
        <v>571</v>
      </c>
      <c r="F3" s="1229" t="s">
        <v>572</v>
      </c>
      <c r="G3" s="2985" t="s">
        <v>570</v>
      </c>
      <c r="H3" s="2986" t="s">
        <v>591</v>
      </c>
    </row>
    <row r="4" spans="1:8" ht="24" customHeight="1">
      <c r="A4" s="1229" t="s">
        <v>573</v>
      </c>
      <c r="B4" s="1229" t="str">
        <f ca="1">IF(C4&lt;B2,"已过期",1119970066)</f>
        <v>已过期</v>
      </c>
      <c r="C4" s="2987">
        <v>44876</v>
      </c>
      <c r="D4" s="2997" t="str">
        <f ca="1">A4&amp;"（注册号："&amp;B4&amp;"）"</f>
        <v>梁津（注册号：已过期）</v>
      </c>
      <c r="E4" s="2999" t="s">
        <v>573</v>
      </c>
      <c r="F4" s="1229">
        <f ca="1">IF(G4&lt;B2,"已过期",96010014)</f>
        <v>96010014</v>
      </c>
      <c r="G4" s="2988">
        <v>47118</v>
      </c>
      <c r="H4" s="2989" t="str">
        <f ca="1">E4&amp;"（注册号："&amp;F4&amp;"）"</f>
        <v>梁津（注册号：96010014）</v>
      </c>
    </row>
    <row r="5" spans="1:8" ht="24" customHeight="1">
      <c r="A5" s="1229" t="s">
        <v>574</v>
      </c>
      <c r="B5" s="1229" t="str">
        <f ca="1">IF(C5&lt;B2,"已过期",1119970111)</f>
        <v>已过期</v>
      </c>
      <c r="C5" s="2987">
        <v>44876</v>
      </c>
      <c r="D5" s="2997" t="str">
        <f t="shared" ref="D5:D14" ca="1" si="0">A5&amp;"（注册号："&amp;B5&amp;"）"</f>
        <v>叶凌（注册号：已过期）</v>
      </c>
      <c r="E5" s="2999" t="s">
        <v>574</v>
      </c>
      <c r="F5" s="1229">
        <f ca="1">IF(G5&lt;B2,"已过期",94010078)</f>
        <v>94010078</v>
      </c>
      <c r="G5" s="2988">
        <v>46387</v>
      </c>
      <c r="H5" s="2989" t="str">
        <f t="shared" ref="H5:H16" ca="1" si="1">E5&amp;"（注册号："&amp;F5&amp;"）"</f>
        <v>叶凌（注册号：94010078）</v>
      </c>
    </row>
    <row r="6" spans="1:8" ht="24" customHeight="1">
      <c r="A6" s="1229" t="s">
        <v>575</v>
      </c>
      <c r="B6" s="1229">
        <f ca="1">IF(C6&lt;B2,"已过期",1120050019)</f>
        <v>1120050019</v>
      </c>
      <c r="C6" s="2987">
        <v>45410</v>
      </c>
      <c r="D6" s="2997" t="str">
        <f t="shared" ca="1" si="0"/>
        <v>王鹏（注册号：1120050019）</v>
      </c>
      <c r="E6" s="2999" t="s">
        <v>575</v>
      </c>
      <c r="F6" s="1229">
        <f ca="1">IF(G6&lt;B2,"已过期",2002110030)</f>
        <v>2002110030</v>
      </c>
      <c r="G6" s="2988">
        <v>46387</v>
      </c>
      <c r="H6" s="2989" t="str">
        <f t="shared" ca="1" si="1"/>
        <v>王鹏（注册号：2002110030）</v>
      </c>
    </row>
    <row r="7" spans="1:8" ht="24" customHeight="1">
      <c r="A7" s="1229" t="s">
        <v>576</v>
      </c>
      <c r="B7" s="1229" t="str">
        <f ca="1">IF(C7&lt;B2,"已过期",1120000080)</f>
        <v>已过期</v>
      </c>
      <c r="C7" s="2987">
        <v>44876</v>
      </c>
      <c r="D7" s="2997" t="str">
        <f t="shared" ca="1" si="0"/>
        <v>欧红伟（注册号：已过期）</v>
      </c>
      <c r="E7" s="2999" t="s">
        <v>576</v>
      </c>
      <c r="F7" s="1229">
        <f ca="1">IF(G7&lt;B2,"已过期",2000110082)</f>
        <v>2000110082</v>
      </c>
      <c r="G7" s="2988">
        <v>46387</v>
      </c>
      <c r="H7" s="2989" t="str">
        <f t="shared" ca="1" si="1"/>
        <v>欧红伟（注册号：2000110082）</v>
      </c>
    </row>
    <row r="8" spans="1:8" ht="24" customHeight="1">
      <c r="A8" s="1229" t="s">
        <v>577</v>
      </c>
      <c r="B8" s="1229" t="str">
        <f ca="1">IF(C8&lt;B2,"已过期",1419970001)</f>
        <v>已过期</v>
      </c>
      <c r="C8" s="2987">
        <v>44899</v>
      </c>
      <c r="D8" s="2997" t="str">
        <f t="shared" ca="1" si="0"/>
        <v>吴薇（注册号：已过期）</v>
      </c>
      <c r="E8" s="2999" t="s">
        <v>577</v>
      </c>
      <c r="F8" s="1229">
        <f ca="1">IF(G8&lt;B2,"已过期",2002110125)</f>
        <v>2002110125</v>
      </c>
      <c r="G8" s="2988">
        <v>47118</v>
      </c>
      <c r="H8" s="2989" t="str">
        <f t="shared" ca="1" si="1"/>
        <v>吴薇（注册号：2002110125）</v>
      </c>
    </row>
    <row r="9" spans="1:8" ht="24" customHeight="1">
      <c r="A9" s="1229" t="s">
        <v>578</v>
      </c>
      <c r="B9" s="1229">
        <f ca="1">IF(C9&lt;B2,"已过期",1120060040)</f>
        <v>1120060040</v>
      </c>
      <c r="C9" s="2990">
        <v>45592</v>
      </c>
      <c r="D9" s="2997" t="str">
        <f t="shared" ca="1" si="0"/>
        <v>陈颖（注册号：1120060040）</v>
      </c>
      <c r="E9" s="2999" t="s">
        <v>578</v>
      </c>
      <c r="F9" s="1229">
        <f ca="1">IF(G9&lt;B2,"已过期",2004110096)</f>
        <v>2004110096</v>
      </c>
      <c r="G9" s="2988">
        <v>47118</v>
      </c>
      <c r="H9" s="2989" t="str">
        <f t="shared" ca="1" si="1"/>
        <v>陈颖（注册号：2004110096）</v>
      </c>
    </row>
    <row r="10" spans="1:8" ht="24" customHeight="1">
      <c r="A10" s="1229" t="s">
        <v>579</v>
      </c>
      <c r="B10" s="1229" t="str">
        <f ca="1">IF(C10&lt;B2,"已过期",1120100036)</f>
        <v>已过期</v>
      </c>
      <c r="C10" s="2990">
        <v>44675</v>
      </c>
      <c r="D10" s="2997" t="str">
        <f t="shared" ca="1" si="0"/>
        <v>崔锴（注册号：已过期）</v>
      </c>
      <c r="E10" s="2999" t="s">
        <v>579</v>
      </c>
      <c r="F10" s="1229">
        <f ca="1">IF(G10&lt;B2,"已过期",2010110070)</f>
        <v>2010110070</v>
      </c>
      <c r="G10" s="2988">
        <v>47907</v>
      </c>
      <c r="H10" s="2989" t="str">
        <f t="shared" ca="1" si="1"/>
        <v>崔锴（注册号：2010110070）</v>
      </c>
    </row>
    <row r="11" spans="1:8" ht="24" customHeight="1">
      <c r="A11" s="1229" t="s">
        <v>580</v>
      </c>
      <c r="B11" s="1229" t="str">
        <f ca="1">IF(C11&lt;B2,"已过期",1120070131)</f>
        <v>已过期</v>
      </c>
      <c r="C11" s="2987">
        <v>44849</v>
      </c>
      <c r="D11" s="2997" t="str">
        <f t="shared" ca="1" si="0"/>
        <v>郑燚（注册号：已过期）</v>
      </c>
      <c r="E11" s="2999" t="s">
        <v>580</v>
      </c>
      <c r="F11" s="1229">
        <f ca="1">IF(G11&lt;B2,"已过期",2014110011)</f>
        <v>2014110011</v>
      </c>
      <c r="G11" s="2988">
        <v>49302</v>
      </c>
      <c r="H11" s="2989" t="str">
        <f t="shared" ca="1" si="1"/>
        <v>郑燚（注册号：2014110011）</v>
      </c>
    </row>
    <row r="12" spans="1:8" ht="24" customHeight="1">
      <c r="A12" s="1229" t="s">
        <v>2471</v>
      </c>
      <c r="B12" s="1229" t="str">
        <f ca="1">IF(C12&lt;B2,"已过期",1120040230)</f>
        <v>已过期</v>
      </c>
      <c r="C12" s="2990">
        <v>44864</v>
      </c>
      <c r="D12" s="2997" t="str">
        <f t="shared" ca="1" si="0"/>
        <v>苏海（注册号：已过期）</v>
      </c>
      <c r="E12" s="2999" t="s">
        <v>2471</v>
      </c>
      <c r="F12" s="1229">
        <f ca="1">IF(G12&lt;B2,"已过期",98030020)</f>
        <v>98030020</v>
      </c>
      <c r="G12" s="2988">
        <v>47118</v>
      </c>
      <c r="H12" s="2989" t="str">
        <f t="shared" ca="1" si="1"/>
        <v>苏海（注册号：98030020）</v>
      </c>
    </row>
    <row r="13" spans="1:8" ht="24" customHeight="1">
      <c r="A13" s="1229" t="s">
        <v>581</v>
      </c>
      <c r="B13" s="1229" t="str">
        <f ca="1">IF(C13&lt;B2,"已过期",1120020033)</f>
        <v>已过期</v>
      </c>
      <c r="C13" s="2987">
        <v>44339</v>
      </c>
      <c r="D13" s="2997" t="str">
        <f t="shared" ca="1" si="0"/>
        <v>刘敬东（注册号：已过期）</v>
      </c>
      <c r="E13" s="2999" t="s">
        <v>581</v>
      </c>
      <c r="F13" s="1229">
        <f ca="1">IF(G13&lt;B2,"已过期",2000110137)</f>
        <v>2000110137</v>
      </c>
      <c r="G13" s="2988">
        <v>46387</v>
      </c>
      <c r="H13" s="2989" t="str">
        <f t="shared" ca="1" si="1"/>
        <v>刘敬东（注册号：2000110137）</v>
      </c>
    </row>
    <row r="14" spans="1:8" ht="24" customHeight="1">
      <c r="A14" s="1229" t="s">
        <v>2487</v>
      </c>
      <c r="B14" s="1229">
        <f ca="1">IF(C14&lt;B2,"已过期",1119980106)</f>
        <v>1119980106</v>
      </c>
      <c r="C14" s="2990">
        <v>44969</v>
      </c>
      <c r="D14" s="2997" t="str">
        <f t="shared" ca="1" si="0"/>
        <v>刘俊财（注册号：1119980106）</v>
      </c>
      <c r="E14" s="2999" t="s">
        <v>2587</v>
      </c>
      <c r="F14" s="1229">
        <f ca="1">IF(G14&lt;B2,"已过期",96010063)</f>
        <v>96010063</v>
      </c>
      <c r="G14" s="2988">
        <v>47483</v>
      </c>
      <c r="H14" s="2989" t="str">
        <f t="shared" ca="1" si="1"/>
        <v>刘俊财（注册号：96010063）</v>
      </c>
    </row>
    <row r="15" spans="1:8" ht="24" customHeight="1">
      <c r="A15" s="1229" t="s">
        <v>2799</v>
      </c>
      <c r="B15" s="1229">
        <v>1120210056</v>
      </c>
      <c r="C15" s="2990">
        <v>45410</v>
      </c>
      <c r="D15" s="2997" t="str">
        <f t="shared" ref="D15" si="2">A15&amp;"（注册号："&amp;B15&amp;"）"</f>
        <v>宁小鳗（注册号：1120210056）</v>
      </c>
      <c r="E15" s="2999" t="s">
        <v>2590</v>
      </c>
      <c r="F15" s="1229">
        <f ca="1">IF(G15&lt;B2,"已过期",2011110090)</f>
        <v>2011110090</v>
      </c>
      <c r="G15" s="2988">
        <v>48302</v>
      </c>
      <c r="H15" s="2989" t="str">
        <f t="shared" ref="H15" ca="1" si="3">E15&amp;"（注册号："&amp;F15&amp;"）"</f>
        <v>赵雯（注册号：2011110090）</v>
      </c>
    </row>
    <row r="16" spans="1:8" s="2978" customFormat="1" ht="24" customHeight="1">
      <c r="A16" s="1229"/>
      <c r="B16" s="1229"/>
      <c r="C16" s="1229"/>
      <c r="D16" s="2997" t="str">
        <f>A16&amp;"（注册号："&amp;B16&amp;"）"</f>
        <v>（注册号：）</v>
      </c>
      <c r="E16" s="2999"/>
      <c r="F16" s="1229"/>
      <c r="G16" s="1229"/>
      <c r="H16" s="2991"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6"/>
      <c r="E18" s="3385" t="s">
        <v>584</v>
      </c>
      <c r="F18" s="3384"/>
      <c r="G18" s="3384"/>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2588</v>
      </c>
      <c r="B20" s="2993" t="s">
        <v>2589</v>
      </c>
      <c r="C20" s="2988">
        <v>44820</v>
      </c>
      <c r="D20" s="3000"/>
      <c r="E20" s="3002" t="s">
        <v>588</v>
      </c>
      <c r="F20" s="2995" t="s">
        <v>2800</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1" t="s">
        <v>1274</v>
      </c>
      <c r="B52" s="1351"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本次估价的“房地产价值”是指在正常市场情况下，在价值时点2022年12月13日，估价对象规划用途为，假定未设立法定优先受偿款下的房地产市场价值。</v>
      </c>
    </row>
    <row r="54" spans="1:4">
      <c r="A54" s="3386"/>
      <c r="B54" s="9" t="s">
        <v>1280</v>
      </c>
      <c r="C54" s="9" t="s">
        <v>1281</v>
      </c>
    </row>
    <row r="55" spans="1:4">
      <c r="A55" s="3386"/>
      <c r="B55" s="9" t="s">
        <v>1282</v>
      </c>
      <c r="C55" s="9" t="s">
        <v>1283</v>
      </c>
    </row>
    <row r="56" spans="1:4">
      <c r="A56" s="3386"/>
      <c r="B56" s="9" t="s">
        <v>1284</v>
      </c>
      <c r="C56" s="9" t="s">
        <v>1285</v>
      </c>
    </row>
    <row r="57" spans="1:4">
      <c r="A57" s="3386"/>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160</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2020-08-03T08:20:51Z</cp:lastPrinted>
  <dcterms:created xsi:type="dcterms:W3CDTF">2015-07-13T07:17:23Z</dcterms:created>
  <dcterms:modified xsi:type="dcterms:W3CDTF">2022-12-13T12:03:30Z</dcterms:modified>
</cp:coreProperties>
</file>