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 name="Sheet3"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U33" i="1"/>
  <c r="X27" i="1"/>
  <c r="W29" i="1"/>
  <c r="X29" i="1" s="1"/>
  <c r="W30" i="1"/>
  <c r="X30" i="1" s="1"/>
  <c r="W31" i="1"/>
  <c r="X31" i="1" s="1"/>
  <c r="W32" i="1"/>
  <c r="X32" i="1" s="1"/>
  <c r="W28" i="1"/>
  <c r="X28" i="1" s="1"/>
  <c r="U32" i="1"/>
  <c r="U31" i="1"/>
  <c r="U30" i="1"/>
  <c r="U28" i="1"/>
  <c r="U29" i="1"/>
  <c r="U27" i="1"/>
  <c r="H122" i="81"/>
  <c r="F118" i="81"/>
  <c r="L118" i="81"/>
  <c r="E5" i="82"/>
  <c r="D7" i="82" s="1"/>
  <c r="U6" i="1"/>
  <c r="D6" i="77" s="1"/>
  <c r="U3" i="43"/>
  <c r="U4" i="43"/>
  <c r="U2" i="43"/>
  <c r="D42" i="43"/>
  <c r="D38" i="43"/>
  <c r="D37" i="43"/>
  <c r="G44" i="43"/>
  <c r="G51" i="43"/>
  <c r="G52" i="43"/>
  <c r="G53" i="43"/>
  <c r="G54" i="43"/>
  <c r="G55" i="43"/>
  <c r="G56" i="43"/>
  <c r="G57" i="43"/>
  <c r="G58" i="43"/>
  <c r="G50" i="43"/>
  <c r="X33" i="1" l="1"/>
  <c r="W33" i="1" s="1"/>
  <c r="U23" i="1"/>
  <c r="L113" i="81" l="1"/>
  <c r="L4" i="81"/>
  <c r="L5" i="81"/>
  <c r="L6" i="81"/>
  <c r="L7" i="81"/>
  <c r="L8" i="81"/>
  <c r="L9" i="81"/>
  <c r="L10" i="81"/>
  <c r="L11" i="81"/>
  <c r="L12" i="81"/>
  <c r="L13" i="81"/>
  <c r="L14" i="81"/>
  <c r="L15" i="81"/>
  <c r="L16" i="81"/>
  <c r="L17" i="81"/>
  <c r="L18" i="81"/>
  <c r="L19" i="81"/>
  <c r="L20" i="81"/>
  <c r="L21" i="81"/>
  <c r="L22" i="81"/>
  <c r="L23" i="81"/>
  <c r="L24" i="81"/>
  <c r="L25" i="81"/>
  <c r="L26" i="81"/>
  <c r="L27" i="81"/>
  <c r="L28" i="81"/>
  <c r="L29" i="81"/>
  <c r="L30" i="81"/>
  <c r="L31" i="81"/>
  <c r="L32" i="81"/>
  <c r="L33" i="81"/>
  <c r="L34" i="81"/>
  <c r="L35" i="81"/>
  <c r="L36" i="81"/>
  <c r="L37" i="81"/>
  <c r="L38" i="81"/>
  <c r="L39" i="81"/>
  <c r="L40" i="81"/>
  <c r="L41" i="81"/>
  <c r="L42" i="81"/>
  <c r="L43" i="81"/>
  <c r="L44" i="81"/>
  <c r="L45" i="81"/>
  <c r="L46" i="81"/>
  <c r="L47" i="81"/>
  <c r="L48" i="81"/>
  <c r="L49" i="81"/>
  <c r="L50" i="81"/>
  <c r="L51" i="81"/>
  <c r="L52" i="81"/>
  <c r="L53" i="81"/>
  <c r="L54" i="81"/>
  <c r="L55" i="81"/>
  <c r="L56" i="81"/>
  <c r="L57" i="81"/>
  <c r="L58" i="81"/>
  <c r="L59" i="81"/>
  <c r="L60" i="81"/>
  <c r="L61" i="81"/>
  <c r="L62" i="81"/>
  <c r="L63" i="81"/>
  <c r="L64" i="81"/>
  <c r="L65" i="81"/>
  <c r="L66" i="81"/>
  <c r="L67" i="81"/>
  <c r="L68" i="81"/>
  <c r="L69" i="81"/>
  <c r="L70" i="81"/>
  <c r="L71" i="81"/>
  <c r="L72" i="81"/>
  <c r="L73" i="81"/>
  <c r="L74" i="81"/>
  <c r="L75" i="81"/>
  <c r="L76" i="81"/>
  <c r="L77" i="81"/>
  <c r="L78" i="81"/>
  <c r="L79" i="81"/>
  <c r="L80"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L109" i="81"/>
  <c r="L110" i="81"/>
  <c r="L111" i="81"/>
  <c r="L112" i="81"/>
  <c r="L3" i="81"/>
  <c r="F112" i="81"/>
  <c r="F14" i="81"/>
  <c r="N23" i="1"/>
  <c r="N6" i="1" s="1"/>
  <c r="Y6" i="1" s="1"/>
  <c r="N21" i="1"/>
  <c r="F19" i="6"/>
  <c r="I13" i="3"/>
  <c r="D14" i="80"/>
  <c r="M13" i="3" s="1"/>
  <c r="D13" i="80"/>
  <c r="K13" i="3" s="1"/>
  <c r="D12" i="80"/>
  <c r="E10" i="80"/>
  <c r="F10" i="80"/>
  <c r="D5" i="80"/>
  <c r="D10" i="80" s="1"/>
  <c r="D6" i="80"/>
  <c r="D7" i="80"/>
  <c r="D8" i="80"/>
  <c r="D9" i="80"/>
  <c r="D4" i="80"/>
  <c r="G19" i="6" l="1"/>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R13" i="77"/>
  <c r="R12" i="77"/>
  <c r="D12" i="77"/>
  <c r="R11" i="77"/>
  <c r="R10" i="77"/>
  <c r="D10" i="77"/>
  <c r="R9" i="77"/>
  <c r="D9" i="77"/>
  <c r="R8" i="77"/>
  <c r="R7" i="77"/>
  <c r="R4" i="77"/>
  <c r="R3" i="77"/>
  <c r="R14" i="77" l="1"/>
  <c r="R24" i="77" s="1"/>
  <c r="R25" i="77"/>
  <c r="D29" i="77"/>
  <c r="E23" i="77"/>
  <c r="D26" i="77"/>
  <c r="D32" i="77" s="1"/>
  <c r="D38" i="77" s="1"/>
  <c r="C29" i="77"/>
  <c r="R35" i="77"/>
  <c r="U34" i="77" s="1"/>
  <c r="AH9" i="71"/>
  <c r="AG9" i="71"/>
  <c r="AE9" i="71"/>
  <c r="AF9" i="71" s="1"/>
  <c r="AD9" i="71"/>
  <c r="Q9" i="71"/>
  <c r="P9" i="71"/>
  <c r="O9" i="71"/>
  <c r="N9" i="71"/>
  <c r="R19" i="77" l="1"/>
  <c r="R5" i="77" s="1"/>
  <c r="U5" i="77" s="1"/>
  <c r="E26" i="77"/>
  <c r="E29" i="77"/>
  <c r="AH10" i="71"/>
  <c r="AG10" i="71"/>
  <c r="AE10" i="71"/>
  <c r="AF10" i="71" s="1"/>
  <c r="AD10" i="71"/>
  <c r="Q10" i="71"/>
  <c r="P10" i="71"/>
  <c r="O10" i="71"/>
  <c r="N10" i="71"/>
  <c r="E32" i="77" l="1"/>
  <c r="E38"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T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AZ584" i="3" s="1"/>
  <c r="BL576" i="3"/>
  <c r="BL572" i="3"/>
  <c r="BL568" i="3"/>
  <c r="BL560" i="3"/>
  <c r="BL554" i="3"/>
  <c r="BL546" i="3"/>
  <c r="BL542" i="3"/>
  <c r="BL538" i="3"/>
  <c r="AZ538" i="3" s="1"/>
  <c r="BL534" i="3"/>
  <c r="BL530" i="3"/>
  <c r="AZ530" i="3" s="1"/>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AZ562" i="3" s="1"/>
  <c r="BA560" i="3"/>
  <c r="AZ560" i="3" s="1"/>
  <c r="AZ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3" i="3"/>
  <c r="BA581" i="3"/>
  <c r="BA579" i="3"/>
  <c r="AZ579" i="3" s="1"/>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AC45" i="33"/>
  <c r="U11" i="33"/>
  <c r="U19" i="21"/>
  <c r="W44" i="21"/>
  <c r="AC46" i="21"/>
  <c r="AB38" i="21"/>
  <c r="F43" i="33"/>
  <c r="AA43" i="33"/>
  <c r="W15" i="34"/>
  <c r="AC15" i="34"/>
  <c r="W16" i="35"/>
  <c r="W40" i="37"/>
  <c r="H107" i="37"/>
  <c r="I107" i="37" s="1"/>
  <c r="J107" i="37"/>
  <c r="K107" i="37" s="1"/>
  <c r="L107" i="37" s="1"/>
  <c r="M107" i="37" s="1"/>
  <c r="H37" i="21"/>
  <c r="U37" i="21" s="1"/>
  <c r="H19" i="34"/>
  <c r="AB19" i="34" s="1"/>
  <c r="F36" i="35"/>
  <c r="S36" i="35" s="1"/>
  <c r="J9" i="37"/>
  <c r="W9" i="37" s="1"/>
  <c r="F9" i="37"/>
  <c r="S9" i="37" s="1"/>
  <c r="H12" i="37"/>
  <c r="AB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BF5" i="3"/>
  <c r="AZ309" i="3"/>
  <c r="AZ317" i="3"/>
  <c r="AZ325" i="3"/>
  <c r="AZ333" i="3"/>
  <c r="AZ341" i="3"/>
  <c r="AZ549" i="3"/>
  <c r="AZ496" i="3"/>
  <c r="G548" i="3"/>
  <c r="G538" i="3"/>
  <c r="G520" i="3"/>
  <c r="G502" i="3"/>
  <c r="BS5" i="3"/>
  <c r="BN5" i="3"/>
  <c r="G29" i="6" s="1"/>
  <c r="BK5" i="3"/>
  <c r="BG5" i="3"/>
  <c r="BC5" i="3"/>
  <c r="G17" i="3"/>
  <c r="BA17" i="3"/>
  <c r="AZ350" i="3"/>
  <c r="AZ364" i="3"/>
  <c r="AZ368" i="3"/>
  <c r="BA15" i="3"/>
  <c r="AZ15" i="3" s="1"/>
  <c r="BB5" i="3"/>
  <c r="AZ380" i="3"/>
  <c r="AZ396" i="3"/>
  <c r="AZ499" i="3"/>
  <c r="G509" i="3"/>
  <c r="AZ491" i="3"/>
  <c r="AZ390"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D35" i="9"/>
  <c r="B9" i="76"/>
  <c r="F16" i="67"/>
  <c r="M29" i="67"/>
  <c r="E2" i="69"/>
  <c r="M6" i="15"/>
  <c r="E8" i="76"/>
  <c r="M29" i="15"/>
  <c r="F16" i="15"/>
  <c r="M9" i="67"/>
  <c r="E7" i="76"/>
  <c r="E9" i="76"/>
  <c r="F8" i="15"/>
  <c r="F40" i="15"/>
  <c r="F6" i="15"/>
  <c r="M22" i="67"/>
  <c r="AO13" i="1"/>
  <c r="E2" i="68"/>
  <c r="F38" i="15"/>
  <c r="F7" i="15"/>
  <c r="B10" i="76"/>
  <c r="E13" i="76"/>
  <c r="M8" i="67"/>
  <c r="F7" i="67"/>
  <c r="M28" i="15"/>
  <c r="M24" i="67"/>
  <c r="M26" i="15"/>
  <c r="D7" i="73"/>
  <c r="M9" i="15"/>
  <c r="F4" i="73"/>
  <c r="M26" i="67"/>
  <c r="L47" i="67"/>
  <c r="F5" i="73"/>
  <c r="B8" i="76"/>
  <c r="J15" i="67"/>
  <c r="E11" i="76"/>
  <c r="F36" i="67"/>
  <c r="E12" i="76"/>
  <c r="M22" i="15"/>
  <c r="F37" i="67"/>
  <c r="F43" i="15"/>
  <c r="L47" i="15"/>
  <c r="M6" i="67"/>
  <c r="F9" i="15"/>
  <c r="B12" i="76"/>
  <c r="L48" i="67"/>
  <c r="F6" i="73"/>
  <c r="F13" i="67"/>
  <c r="F38" i="67"/>
  <c r="F43" i="67"/>
  <c r="M24" i="15"/>
  <c r="M28" i="67"/>
  <c r="C76" i="15"/>
  <c r="F42" i="15"/>
  <c r="J15" i="15"/>
  <c r="M23" i="67"/>
  <c r="B11" i="76"/>
  <c r="F3" i="73"/>
  <c r="C76" i="67"/>
  <c r="B13" i="76"/>
  <c r="F8" i="67"/>
  <c r="L48" i="15"/>
  <c r="B7" i="76"/>
  <c r="F7" i="73"/>
  <c r="F20" i="31"/>
  <c r="F40" i="67"/>
  <c r="F6" i="67"/>
  <c r="F42" i="67"/>
  <c r="E10" i="76"/>
  <c r="D34" i="9"/>
  <c r="F37" i="15"/>
  <c r="F9" i="67"/>
  <c r="D3" i="73"/>
  <c r="F36" i="15"/>
  <c r="F13" i="15"/>
  <c r="F26" i="67"/>
  <c r="D6" i="73"/>
  <c r="M23" i="15"/>
  <c r="F26" i="15"/>
  <c r="M8" i="15"/>
  <c r="D4" i="73"/>
  <c r="AP6" i="1" l="1"/>
  <c r="C35" i="77"/>
  <c r="C34" i="77"/>
  <c r="G6" i="1"/>
  <c r="I24" i="43"/>
  <c r="C24" i="43" s="1"/>
  <c r="D52" i="43"/>
  <c r="D54" i="43"/>
  <c r="H50" i="43"/>
  <c r="E19" i="71"/>
  <c r="E18" i="71" s="1"/>
  <c r="E17" i="71" s="1"/>
  <c r="E16" i="71" s="1"/>
  <c r="V20" i="71"/>
  <c r="D17" i="71"/>
  <c r="C16" i="7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F30"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G5" i="3" s="1"/>
  <c r="B3" i="3" s="1"/>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P6" i="1" l="1"/>
  <c r="C13" i="12" s="1"/>
  <c r="E28" i="6"/>
  <c r="K14" i="1" s="1"/>
  <c r="K16" i="1" s="1"/>
  <c r="E510" i="3"/>
  <c r="E86" i="3"/>
  <c r="E80" i="3"/>
  <c r="E158" i="3"/>
  <c r="E265" i="3"/>
  <c r="E308"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s="1"/>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3" i="6" l="1"/>
  <c r="H6" i="3"/>
  <c r="E6" i="3" s="1"/>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D11"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11" i="77" l="1"/>
  <c r="E7" i="77" s="1"/>
  <c r="C27" i="77" s="1"/>
  <c r="D7" i="77"/>
  <c r="C26" i="77" s="1"/>
  <c r="C32" i="77" s="1"/>
  <c r="G5" i="82"/>
  <c r="B4" i="77"/>
  <c r="D38" i="6"/>
  <c r="C36" i="77"/>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F36" i="77" l="1"/>
  <c r="D39" i="77"/>
  <c r="E39" i="77"/>
  <c r="C38" i="77"/>
  <c r="C39" i="77"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B6" i="76"/>
  <c r="C40" i="77" l="1"/>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7" i="21"/>
  <c r="F7" i="21"/>
  <c r="J48" i="35"/>
  <c r="F26" i="43" l="1"/>
  <c r="N94" i="46"/>
  <c r="E26" i="43"/>
  <c r="N370" i="46"/>
  <c r="B116" i="43"/>
  <c r="J26" i="43"/>
  <c r="H26" i="43"/>
  <c r="G26" i="43"/>
  <c r="Z7" i="43"/>
  <c r="C5" i="68"/>
  <c r="C23" i="68" s="1"/>
  <c r="B2" i="77"/>
  <c r="B3" i="77" s="1"/>
  <c r="C41" i="77"/>
  <c r="C21" i="12"/>
  <c r="C22" i="12" s="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19" i="9"/>
  <c r="E2" i="76" l="1"/>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L51" i="15"/>
  <c r="D2" i="35"/>
  <c r="D2" i="36"/>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10" i="1"/>
  <c r="AO8"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H101" i="9"/>
  <c r="M48" i="9" s="1"/>
  <c r="F118" i="9"/>
  <c r="F4" i="52" s="1"/>
  <c r="B51" i="72" s="1"/>
  <c r="C104" i="9" l="1"/>
  <c r="D14" i="74"/>
  <c r="I118" i="9"/>
  <c r="I4" i="52" s="1"/>
  <c r="F119" i="9"/>
  <c r="F5" i="52" s="1"/>
  <c r="B53" i="72" s="1"/>
  <c r="G118" i="9"/>
  <c r="G4" i="52" s="1"/>
  <c r="B52" i="72" s="1"/>
  <c r="H107" i="9"/>
  <c r="D45" i="9"/>
  <c r="D4" i="52"/>
  <c r="B47" i="72" s="1"/>
  <c r="E118" i="9"/>
  <c r="E4" i="52" s="1"/>
  <c r="B48" i="72" s="1"/>
  <c r="H119" i="9"/>
  <c r="H5" i="52" s="1"/>
  <c r="H102" i="9"/>
  <c r="D5" i="53"/>
  <c r="C105" i="9"/>
  <c r="H4" i="52"/>
  <c r="F14" i="74" l="1"/>
  <c r="E14" i="74"/>
  <c r="B5" i="74"/>
  <c r="D5" i="74" s="1"/>
  <c r="H108" i="9"/>
  <c r="D122" i="9"/>
  <c r="D13" i="53"/>
  <c r="C5" i="74"/>
  <c r="D7" i="53"/>
  <c r="B21" i="72" s="1"/>
  <c r="D52" i="9"/>
  <c r="C78" i="9"/>
  <c r="C73" i="9" s="1"/>
  <c r="D55" i="9"/>
  <c r="M53" i="9" s="1"/>
  <c r="D53" i="9"/>
  <c r="C93" i="9"/>
  <c r="C86" i="9" s="1"/>
  <c r="C85" i="9"/>
  <c r="C64" i="9"/>
  <c r="C63" i="9" s="1"/>
  <c r="C67" i="9" s="1"/>
  <c r="C72" i="9"/>
  <c r="C79" i="9" s="1"/>
  <c r="D6" i="53"/>
  <c r="B22" i="72" s="1"/>
  <c r="B20" i="72"/>
  <c r="C68" i="9" l="1"/>
  <c r="D54" i="9" s="1"/>
  <c r="D59" i="9"/>
  <c r="M55" i="9" s="1"/>
  <c r="D123" i="9"/>
  <c r="D9" i="52" s="1"/>
  <c r="D8" i="52"/>
  <c r="C80" i="9"/>
  <c r="E80" i="9" s="1"/>
  <c r="E81" i="9" s="1"/>
  <c r="C95" i="9"/>
  <c r="B30" i="72"/>
  <c r="D14" i="53"/>
  <c r="B32" i="72" s="1"/>
  <c r="D15" i="53"/>
  <c r="B31" i="72" s="1"/>
  <c r="C6" i="74"/>
  <c r="C97" i="9" l="1"/>
  <c r="D58" i="9" s="1"/>
  <c r="D56" i="9" s="1"/>
  <c r="M54" i="9" s="1"/>
  <c r="N57" i="9" s="1"/>
  <c r="C96" i="9"/>
  <c r="E96" i="9" s="1"/>
  <c r="E9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1</author>
    <author>Administrator</author>
  </authors>
  <commentList>
    <comment ref="J7" authorId="0">
      <text>
        <r>
          <rPr>
            <b/>
            <sz val="9"/>
            <rFont val="宋体"/>
            <family val="3"/>
            <charset val="134"/>
          </rPr>
          <t>1:</t>
        </r>
        <r>
          <rPr>
            <sz val="9"/>
            <rFont val="宋体"/>
            <family val="3"/>
            <charset val="134"/>
          </rPr>
          <t xml:space="preserve">
不定期</t>
        </r>
      </text>
    </comment>
    <comment ref="F10" authorId="1">
      <text>
        <r>
          <rPr>
            <sz val="9"/>
            <rFont val="宋体"/>
            <family val="3"/>
            <charset val="134"/>
          </rPr>
          <t>使用面积：290</t>
        </r>
      </text>
    </comment>
    <comment ref="J11" authorId="0">
      <text>
        <r>
          <rPr>
            <b/>
            <sz val="9"/>
            <rFont val="宋体"/>
            <family val="3"/>
            <charset val="134"/>
          </rPr>
          <t>1:</t>
        </r>
        <r>
          <rPr>
            <sz val="9"/>
            <rFont val="宋体"/>
            <family val="3"/>
            <charset val="134"/>
          </rPr>
          <t xml:space="preserve">
不定期</t>
        </r>
      </text>
    </comment>
    <comment ref="H15" authorId="0">
      <text>
        <r>
          <rPr>
            <b/>
            <sz val="9"/>
            <rFont val="宋体"/>
            <family val="3"/>
            <charset val="134"/>
          </rPr>
          <t>1:</t>
        </r>
        <r>
          <rPr>
            <sz val="9"/>
            <rFont val="宋体"/>
            <family val="3"/>
            <charset val="134"/>
          </rPr>
          <t xml:space="preserve">
到期后可延期两年</t>
        </r>
      </text>
    </comment>
    <comment ref="J15" authorId="0">
      <text>
        <r>
          <rPr>
            <b/>
            <sz val="9"/>
            <rFont val="宋体"/>
            <family val="3"/>
            <charset val="134"/>
          </rPr>
          <t>1:</t>
        </r>
        <r>
          <rPr>
            <sz val="9"/>
            <rFont val="宋体"/>
            <family val="3"/>
            <charset val="134"/>
          </rPr>
          <t xml:space="preserve">
不定期</t>
        </r>
      </text>
    </comment>
    <comment ref="J16" authorId="0">
      <text>
        <r>
          <rPr>
            <b/>
            <sz val="9"/>
            <rFont val="宋体"/>
            <family val="3"/>
            <charset val="134"/>
          </rPr>
          <t>1:</t>
        </r>
        <r>
          <rPr>
            <sz val="9"/>
            <rFont val="宋体"/>
            <family val="3"/>
            <charset val="134"/>
          </rPr>
          <t xml:space="preserve">
不定期</t>
        </r>
      </text>
    </comment>
    <comment ref="J30" authorId="0">
      <text>
        <r>
          <rPr>
            <b/>
            <sz val="9"/>
            <rFont val="宋体"/>
            <family val="3"/>
            <charset val="134"/>
          </rPr>
          <t>1:</t>
        </r>
        <r>
          <rPr>
            <sz val="9"/>
            <rFont val="宋体"/>
            <family val="3"/>
            <charset val="134"/>
          </rPr>
          <t xml:space="preserve">
原合同到期日2023-6-14</t>
        </r>
      </text>
    </comment>
    <comment ref="C39" authorId="0">
      <text>
        <r>
          <rPr>
            <b/>
            <sz val="9"/>
            <rFont val="宋体"/>
            <family val="3"/>
            <charset val="134"/>
          </rPr>
          <t>1:</t>
        </r>
        <r>
          <rPr>
            <sz val="9"/>
            <rFont val="宋体"/>
            <family val="3"/>
            <charset val="134"/>
          </rPr>
          <t xml:space="preserve">
李艳立</t>
        </r>
      </text>
    </comment>
    <comment ref="J44" authorId="0">
      <text>
        <r>
          <rPr>
            <b/>
            <sz val="9"/>
            <rFont val="宋体"/>
            <family val="3"/>
            <charset val="134"/>
          </rPr>
          <t>1:</t>
        </r>
        <r>
          <rPr>
            <sz val="9"/>
            <rFont val="宋体"/>
            <family val="3"/>
            <charset val="134"/>
          </rPr>
          <t xml:space="preserve">
不定期</t>
        </r>
      </text>
    </comment>
    <comment ref="C57" authorId="0">
      <text>
        <r>
          <rPr>
            <b/>
            <sz val="9"/>
            <rFont val="宋体"/>
            <family val="3"/>
            <charset val="134"/>
          </rPr>
          <t>1:</t>
        </r>
        <r>
          <rPr>
            <sz val="9"/>
            <rFont val="宋体"/>
            <family val="3"/>
            <charset val="134"/>
          </rPr>
          <t xml:space="preserve">
刘征</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<sst xmlns="http://schemas.openxmlformats.org/spreadsheetml/2006/main" count="8186" uniqueCount="3721">
  <si>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</si>
  <si>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</si>
  <si>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</si>
  <si>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</si>
  <si>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</si>
  <si>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</si>
  <si>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</si>
  <si>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</si>
  <si>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</si>
  <si>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</si>
  <si>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</si>
  <si>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</si>
  <si>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</si>
  <si>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</si>
  <si>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</si>
  <si>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</si>
  <si>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</si>
  <si>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</si>
  <si>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</si>
  <si>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</si>
  <si>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</si>
  <si>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</si>
  <si>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</si>
  <si>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</si>
  <si>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</si>
  <si>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</si>
  <si>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</si>
  <si>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</si>
  <si>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</si>
  <si>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</si>
  <si>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</si>
  <si>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</si>
  <si>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</si>
  <si>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</si>
  <si>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</si>
  <si>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</si>
  <si>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</si>
  <si>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</si>
  <si>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</si>
  <si>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</si>
  <si>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</si>
  <si>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</si>
  <si>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</si>
  <si>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</si>
  <si>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</si>
  <si>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</si>
  <si>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</si>
  <si>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</si>
  <si>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</si>
  <si>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</si>
  <si>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</si>
  <si>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</si>
  <si>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</si>
  <si>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</si>
  <si>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</si>
  <si>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</si>
  <si>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</si>
  <si>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</si>
  <si>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</si>
  <si>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</si>
  <si>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</si>
  <si>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</si>
  <si>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</si>
  <si>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</si>
  <si>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</si>
  <si>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</si>
  <si>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</si>
  <si>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</si>
  <si>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</si>
  <si>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</si>
  <si>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</si>
  <si>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</si>
  <si>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</si>
  <si>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</si>
  <si>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</si>
  <si>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</si>
  <si>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</si>
  <si>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</si>
  <si>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</si>
  <si>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</si>
  <si>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</si>
  <si>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</si>
  <si>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</si>
  <si>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</si>
  <si>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</si>
  <si>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</si>
  <si>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</si>
  <si>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</si>
  <si>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</si>
  <si>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</si>
  <si>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</si>
  <si>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</si>
  <si>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</si>
  <si>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</si>
  <si>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</si>
  <si>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</si>
  <si>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</si>
  <si>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</si>
  <si>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</si>
  <si>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</si>
  <si>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</si>
  <si>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</si>
  <si>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</si>
  <si>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</si>
  <si>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</si>
  <si>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</si>
  <si>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</si>
  <si>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</si>
  <si>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</si>
  <si>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</si>
  <si>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</si>
  <si>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</si>
  <si>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</si>
  <si>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</si>
  <si>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</si>
  <si>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</si>
  <si>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</si>
  <si>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</si>
  <si>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</si>
  <si>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</si>
  <si>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</si>
  <si>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</si>
  <si>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</si>
  <si>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</si>
  <si>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</si>
  <si>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</si>
  <si>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</si>
  <si>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</si>
  <si>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</si>
  <si>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</si>
  <si>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</si>
  <si>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</si>
  <si>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</si>
  <si>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</si>
  <si>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</si>
  <si>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</si>
  <si>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</si>
  <si>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</si>
  <si>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</si>
  <si>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</si>
  <si>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</si>
  <si>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</si>
  <si>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</si>
  <si>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</si>
  <si>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</si>
  <si>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</si>
  <si>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</si>
  <si>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</si>
  <si>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</si>
  <si>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</si>
  <si>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</si>
  <si>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</si>
  <si>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</si>
  <si>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</si>
  <si>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</si>
  <si>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</si>
  <si>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</si>
  <si>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</si>
  <si>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</si>
  <si>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</si>
  <si>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</si>
  <si>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</si>
  <si>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</si>
  <si>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</si>
  <si>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</si>
  <si>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</si>
  <si>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</si>
  <si>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</si>
  <si>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</si>
  <si>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</si>
  <si>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</si>
  <si>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</si>
  <si>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</si>
  <si>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</si>
  <si>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</si>
  <si>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</si>
  <si>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</si>
  <si>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</si>
  <si>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</si>
  <si>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</si>
  <si>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</si>
  <si>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</si>
  <si>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</si>
  <si>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</si>
  <si>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</si>
  <si>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</si>
  <si>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</si>
  <si>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</si>
  <si>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</si>
  <si>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</si>
  <si>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</si>
  <si>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</si>
  <si>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</si>
  <si>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</si>
  <si>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</si>
  <si>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</si>
  <si>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</si>
  <si>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</si>
  <si>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</si>
  <si>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</si>
  <si>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</si>
  <si>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</si>
  <si>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</si>
  <si>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</si>
  <si>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</si>
  <si>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</si>
  <si>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</si>
  <si>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</si>
  <si>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</si>
  <si>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</si>
  <si>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</si>
  <si>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</si>
  <si>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</si>
  <si>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</si>
  <si>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</si>
  <si>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</si>
  <si>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</si>
  <si>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</si>
  <si>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</si>
  <si>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</si>
  <si>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</si>
  <si>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</si>
  <si>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</si>
  <si>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</si>
  <si>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</si>
  <si>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</si>
  <si>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</si>
  <si>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</si>
  <si>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</si>
  <si>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</si>
  <si>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</si>
  <si>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</si>
  <si>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</si>
  <si>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</si>
  <si>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</si>
  <si>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</si>
  <si>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</si>
  <si>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</si>
  <si>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</si>
  <si>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</si>
  <si>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</si>
  <si>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</si>
  <si>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</si>
  <si>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</si>
  <si>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</si>
  <si>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</si>
  <si>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</si>
  <si>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</si>
  <si>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</si>
  <si>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</si>
  <si>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</si>
  <si>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</si>
  <si>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</si>
  <si>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</si>
  <si>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</si>
  <si>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</si>
  <si>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</si>
  <si>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</si>
  <si>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</si>
  <si>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</si>
  <si>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</si>
  <si>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</si>
  <si>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</si>
  <si>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</si>
  <si>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</si>
  <si>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</si>
  <si>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</si>
  <si>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</si>
  <si>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</si>
  <si>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</si>
  <si>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</si>
  <si>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</si>
  <si>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</si>
  <si>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</si>
  <si>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</si>
  <si>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</si>
  <si>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</si>
  <si>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</si>
  <si>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</si>
  <si>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</si>
  <si>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</si>
  <si>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</si>
  <si>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</si>
  <si>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</si>
  <si>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</si>
  <si>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</si>
  <si>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</si>
  <si>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</si>
  <si>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</si>
  <si>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</si>
  <si>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</si>
  <si>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</si>
  <si>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</si>
  <si>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</si>
  <si>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</si>
  <si>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</si>
  <si>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</si>
  <si>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</si>
  <si>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</si>
  <si>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</si>
  <si>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</si>
  <si>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</si>
  <si>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</si>
  <si>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</si>
  <si>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</si>
  <si>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</si>
  <si>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</si>
  <si>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</si>
  <si>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</si>
  <si>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</si>
  <si>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</si>
  <si>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</si>
  <si>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</si>
  <si>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</si>
  <si>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</si>
  <si>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</si>
  <si>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</si>
  <si>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</si>
  <si>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</si>
  <si>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</si>
  <si>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</si>
  <si>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</si>
  <si>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</si>
  <si>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</si>
  <si>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</si>
  <si>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</si>
  <si>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</si>
  <si>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</si>
  <si>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</si>
  <si>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</si>
  <si>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</si>
  <si>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</si>
  <si>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</si>
  <si>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</si>
  <si>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</si>
  <si>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</si>
  <si>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</si>
  <si>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</si>
  <si>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</si>
  <si>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</si>
  <si>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</si>
  <si>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</si>
  <si>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</si>
  <si>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</si>
  <si>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</si>
  <si>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</si>
  <si>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</si>
  <si>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</si>
  <si>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</si>
  <si>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</si>
  <si>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</si>
  <si>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</si>
  <si>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</si>
  <si>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</si>
  <si>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</si>
  <si>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</si>
  <si>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</si>
  <si>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</si>
  <si>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</si>
  <si>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</si>
  <si>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</si>
  <si>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</si>
  <si>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</si>
  <si>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</si>
  <si>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</si>
  <si>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</si>
  <si>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</si>
  <si>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</si>
  <si>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</si>
  <si>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</si>
  <si>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</si>
  <si>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</si>
  <si>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</si>
  <si>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</si>
  <si>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</si>
  <si>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</si>
  <si>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</si>
  <si>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</si>
  <si>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</si>
  <si>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</si>
  <si>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</si>
  <si>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</si>
  <si>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</si>
  <si>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</si>
  <si>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</si>
  <si>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</si>
  <si>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</si>
  <si>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</si>
  <si>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</si>
  <si>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</si>
  <si>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</si>
  <si>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</si>
  <si>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</si>
  <si>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</si>
  <si>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</si>
  <si>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</si>
  <si>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</si>
  <si>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</si>
  <si>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</si>
  <si>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</si>
  <si>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</si>
  <si>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</si>
  <si>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</si>
  <si>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</si>
  <si>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</si>
  <si>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</si>
  <si>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</si>
  <si>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</si>
  <si>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</si>
  <si>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</si>
  <si>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</si>
  <si>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</si>
  <si>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</si>
  <si>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</si>
  <si>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</si>
  <si>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</si>
  <si>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</si>
  <si>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</si>
  <si>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</si>
  <si>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</si>
  <si>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</si>
  <si>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</si>
  <si>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</si>
  <si>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</si>
  <si>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</si>
  <si>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</si>
  <si>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</si>
  <si>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</si>
  <si>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</si>
  <si>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</si>
  <si>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</si>
  <si>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</si>
  <si>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</si>
  <si>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</si>
  <si>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</si>
  <si>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</si>
  <si>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</si>
  <si>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</si>
  <si>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</si>
  <si>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</si>
  <si>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</si>
  <si>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</si>
  <si>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</si>
  <si>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</si>
  <si>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</si>
  <si>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</si>
  <si>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</si>
  <si>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</si>
  <si>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</si>
  <si>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</si>
  <si>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</si>
  <si>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</si>
  <si>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</si>
  <si>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</si>
  <si>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</si>
  <si>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</si>
  <si>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</si>
  <si>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</si>
  <si>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</si>
  <si>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</si>
  <si>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</si>
  <si>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</si>
  <si>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</si>
  <si>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</si>
  <si>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</si>
  <si>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</si>
  <si>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</si>
  <si>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</si>
  <si>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</si>
  <si>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</si>
  <si>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</si>
  <si>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</si>
  <si>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</si>
  <si>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</si>
  <si>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</si>
  <si>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</si>
  <si>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</si>
  <si>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</si>
  <si>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</si>
  <si>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</si>
  <si>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</si>
  <si>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</si>
  <si>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</si>
  <si>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</si>
  <si>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</si>
  <si>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</si>
  <si>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</si>
  <si>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</si>
  <si>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</si>
  <si>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</si>
  <si>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</si>
  <si>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</si>
  <si>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</si>
  <si>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</si>
  <si>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</si>
  <si>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</si>
  <si>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</si>
  <si>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</si>
  <si>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</si>
  <si>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</si>
  <si>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</si>
  <si>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</si>
  <si>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</si>
  <si>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</si>
  <si>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</si>
  <si>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</si>
  <si>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</si>
  <si>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</si>
  <si>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</si>
  <si>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</si>
  <si>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</si>
  <si>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</si>
  <si>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</si>
  <si>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</si>
  <si>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</si>
  <si>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</si>
  <si>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</si>
  <si>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</si>
  <si>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</si>
  <si>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</si>
  <si>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</si>
  <si>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</si>
  <si>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</si>
  <si>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</si>
  <si>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</si>
  <si>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</si>
  <si>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</si>
  <si>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</si>
  <si>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</si>
  <si>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</si>
  <si>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</si>
  <si>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</si>
  <si>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</si>
  <si>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</si>
  <si>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</si>
  <si>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</si>
  <si>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</si>
  <si>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</si>
  <si>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</si>
  <si>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</si>
  <si>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</si>
  <si>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</si>
  <si>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</si>
  <si>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</si>
  <si>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</si>
  <si>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</si>
  <si>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</si>
  <si>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</si>
  <si>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</si>
  <si>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</si>
  <si>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</si>
  <si>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</si>
  <si>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</si>
  <si>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</si>
  <si>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</si>
  <si>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</si>
  <si>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</si>
  <si>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</si>
  <si>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</si>
  <si>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</si>
  <si>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</si>
  <si>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</si>
  <si>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</si>
  <si>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</si>
  <si>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</si>
  <si>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</si>
  <si>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</si>
  <si>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</si>
  <si>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</si>
  <si>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</si>
  <si>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</si>
  <si>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</si>
  <si>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</si>
  <si>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</si>
  <si>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</si>
  <si>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</si>
  <si>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</si>
  <si>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</si>
  <si>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</si>
  <si>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</si>
  <si>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</si>
  <si>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</si>
  <si>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</si>
  <si>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</si>
  <si>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</si>
  <si>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</si>
  <si>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</si>
  <si>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</si>
  <si>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</si>
  <si>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</si>
  <si>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</si>
  <si>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</si>
  <si>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</si>
  <si>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</si>
  <si>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</si>
  <si>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</si>
  <si>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</si>
  <si>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</si>
  <si>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</si>
  <si>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</si>
  <si>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</si>
  <si>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</si>
  <si>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</si>
  <si>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</si>
  <si>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</si>
  <si>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</si>
  <si>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</si>
  <si>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</si>
  <si>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</si>
  <si>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</si>
  <si>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</si>
  <si>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</si>
  <si>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</si>
  <si>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</si>
  <si>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</si>
  <si>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</si>
  <si>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</si>
  <si>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</si>
  <si>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</si>
  <si>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</si>
  <si>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</si>
  <si>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</si>
  <si>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</si>
  <si>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</si>
  <si>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</si>
  <si>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</si>
  <si>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</si>
  <si>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</si>
  <si>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</si>
  <si>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</si>
  <si>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</si>
  <si>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</si>
  <si>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</si>
  <si>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</si>
  <si>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</si>
  <si>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</si>
  <si>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</si>
  <si>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</si>
  <si>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</si>
  <si>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</si>
  <si>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</si>
  <si>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</si>
  <si>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</si>
  <si>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</si>
  <si>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</si>
  <si>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</si>
  <si>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</si>
  <si>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</si>
  <si>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</si>
  <si>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</si>
  <si>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</si>
  <si>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</si>
  <si>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</si>
  <si>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</si>
  <si>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</si>
  <si>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</si>
  <si>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</si>
  <si>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</si>
  <si>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</si>
  <si>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</si>
  <si>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</si>
  <si>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</si>
  <si>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</si>
  <si>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</si>
  <si>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</si>
  <si>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</si>
  <si>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</si>
  <si>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</si>
  <si>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</si>
  <si>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</si>
  <si>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</si>
  <si>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</si>
  <si>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</si>
  <si>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</si>
  <si>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</si>
  <si>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</si>
  <si>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</si>
  <si>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</si>
  <si>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</si>
  <si>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</si>
  <si>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</si>
  <si>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</si>
  <si>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</si>
  <si>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</si>
  <si>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</si>
  <si>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</si>
  <si>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</si>
  <si>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</si>
  <si>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</si>
  <si>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</si>
  <si>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</si>
  <si>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</si>
  <si>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</si>
  <si>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</si>
  <si>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</si>
  <si>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</si>
  <si>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</si>
  <si>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</si>
  <si>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</si>
  <si>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</si>
  <si>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</si>
  <si>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</si>
  <si>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</si>
  <si>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</si>
  <si>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</si>
  <si>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</si>
  <si>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</si>
  <si>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</si>
  <si>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</si>
  <si>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</si>
  <si>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</si>
  <si>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</si>
  <si>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</si>
  <si>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</si>
  <si>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</si>
  <si>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</si>
  <si>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</si>
  <si>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</si>
  <si>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</si>
  <si>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</si>
  <si>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</si>
  <si>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</si>
  <si>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</si>
  <si>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</si>
  <si>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</si>
  <si>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</si>
  <si>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</si>
  <si>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</si>
  <si>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</si>
  <si>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</si>
  <si>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</si>
  <si>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</si>
  <si>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</si>
  <si>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</si>
  <si>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</si>
  <si>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</si>
  <si>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</si>
  <si>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</si>
  <si>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</si>
  <si>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</si>
  <si>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</si>
  <si>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</si>
  <si>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</si>
  <si>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</si>
  <si>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</si>
  <si>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</si>
  <si>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</si>
  <si>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</si>
  <si>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</si>
  <si>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</si>
  <si>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</si>
  <si>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</si>
  <si>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</si>
  <si>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</si>
  <si>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</si>
  <si>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</si>
  <si>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</si>
  <si>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</si>
  <si>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</si>
  <si>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</si>
  <si>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</si>
  <si>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</si>
  <si>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</si>
  <si>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</si>
  <si>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</si>
  <si>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</si>
  <si>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</si>
  <si>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</si>
  <si>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</si>
  <si>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</si>
  <si>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</si>
  <si>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</si>
  <si>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</si>
  <si>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</si>
  <si>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</si>
  <si>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</si>
  <si>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</si>
  <si>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</si>
  <si>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</si>
  <si>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</si>
  <si>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</si>
  <si>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</si>
  <si>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</si>
  <si>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</si>
  <si>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</si>
  <si>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</si>
  <si>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</si>
  <si>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</si>
  <si>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</si>
  <si>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</si>
  <si>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</si>
  <si>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</si>
  <si>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</si>
  <si>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</si>
  <si>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</si>
  <si>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</si>
  <si>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</si>
  <si>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</si>
  <si>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</si>
  <si>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</si>
  <si>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</si>
  <si>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</si>
  <si>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</si>
  <si>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</si>
  <si>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</si>
  <si>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</si>
  <si>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</si>
  <si>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</si>
  <si>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</si>
  <si>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</si>
  <si>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</si>
  <si>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</si>
  <si>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</si>
  <si>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</si>
  <si>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</si>
  <si>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</si>
  <si>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</si>
  <si>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</si>
  <si>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</si>
  <si>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</si>
  <si>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</si>
  <si>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</si>
  <si>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</si>
  <si>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</si>
  <si>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</si>
  <si>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</si>
  <si>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</si>
  <si>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</si>
  <si>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</si>
  <si>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</si>
  <si>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</si>
  <si>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</si>
  <si>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</si>
  <si>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</si>
  <si>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</si>
  <si>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</si>
  <si>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</si>
  <si>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</si>
  <si>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</si>
  <si>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</si>
  <si>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</si>
  <si>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</si>
  <si>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</si>
  <si>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</si>
  <si>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</si>
  <si>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</si>
  <si>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</si>
  <si>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</si>
  <si>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</si>
  <si>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</si>
  <si>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</si>
  <si>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</si>
  <si>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</si>
  <si>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</si>
  <si>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</si>
  <si>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</si>
  <si>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</si>
  <si>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</si>
  <si>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</si>
  <si>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</si>
  <si>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</si>
  <si>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</si>
  <si>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</si>
  <si>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</si>
  <si>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</si>
  <si>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</si>
  <si>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</si>
  <si>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</si>
  <si>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</si>
  <si>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</si>
  <si>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</si>
  <si>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</si>
  <si>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</si>
  <si>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</si>
  <si>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</si>
  <si>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</si>
  <si>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</si>
  <si>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</si>
  <si>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</si>
  <si>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</si>
  <si>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</si>
  <si>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</si>
  <si>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</si>
  <si>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</si>
  <si>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</si>
  <si>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</si>
  <si>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</si>
  <si>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</si>
  <si>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</si>
  <si>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</si>
  <si>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</si>
  <si>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</si>
  <si>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</si>
  <si>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</si>
  <si>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</si>
  <si>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</si>
  <si>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</si>
  <si>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</si>
  <si>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</si>
  <si>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</si>
  <si>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</si>
  <si>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</si>
  <si>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</si>
  <si>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</si>
  <si>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</si>
  <si>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</si>
  <si>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</si>
  <si>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</si>
  <si>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</si>
  <si>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</si>
  <si>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</si>
  <si>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</si>
  <si>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</si>
  <si>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</si>
  <si>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</si>
  <si>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</si>
  <si>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</si>
  <si>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</si>
  <si>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</si>
  <si>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</si>
  <si>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</si>
  <si>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</si>
  <si>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</si>
  <si>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</si>
  <si>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</si>
  <si>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</si>
  <si>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</si>
  <si>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</si>
  <si>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</si>
  <si>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</si>
  <si>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</si>
  <si>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</si>
  <si>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</si>
  <si>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</si>
  <si>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</si>
  <si>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</si>
  <si>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</si>
  <si>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</si>
  <si>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</si>
  <si>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</si>
  <si>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</si>
  <si>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</si>
  <si>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</si>
  <si>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</si>
  <si>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</si>
  <si>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</si>
  <si>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</si>
  <si>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</si>
  <si>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</si>
  <si>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</si>
  <si>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</si>
  <si>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</si>
  <si>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</si>
  <si>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</si>
  <si>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</si>
  <si>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</si>
  <si>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</si>
  <si>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</si>
  <si>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</si>
  <si>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</si>
  <si>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</si>
  <si>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</si>
  <si>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</si>
  <si>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</si>
  <si>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</si>
  <si>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</si>
  <si>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</si>
  <si>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</si>
  <si>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</si>
  <si>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</si>
  <si>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</si>
  <si>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</si>
  <si>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</si>
  <si>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</si>
  <si>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</si>
  <si>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</si>
  <si>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</si>
  <si>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</si>
  <si>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</si>
  <si>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</si>
  <si>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</si>
  <si>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</si>
  <si>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</si>
  <si>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</si>
  <si>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</si>
  <si>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</si>
  <si>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</si>
  <si>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</si>
  <si>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</si>
  <si>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</si>
  <si>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</si>
  <si>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</si>
  <si>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</si>
  <si>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</si>
  <si>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</si>
  <si>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</si>
  <si>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</si>
  <si>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</si>
  <si>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</si>
  <si>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</si>
  <si>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</si>
  <si>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</si>
  <si>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</si>
  <si>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</si>
  <si>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</si>
  <si>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</si>
  <si>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</si>
  <si>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</si>
  <si>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</si>
  <si>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</si>
  <si>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</si>
  <si>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</si>
  <si>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</si>
  <si>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</si>
  <si>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</si>
  <si>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</si>
  <si>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</si>
  <si>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</si>
  <si>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</si>
  <si>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</si>
  <si>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</si>
  <si>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</si>
  <si>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</si>
  <si>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</si>
  <si>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</si>
  <si>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</si>
  <si>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</si>
  <si>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</si>
  <si>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</si>
  <si>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</si>
  <si>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</si>
  <si>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</si>
  <si>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</si>
  <si>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</si>
  <si>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</si>
  <si>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</si>
  <si>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</si>
  <si>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</si>
  <si>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</si>
  <si>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</si>
  <si>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</si>
  <si>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</si>
  <si>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</si>
  <si>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</si>
  <si>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</si>
  <si>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</si>
  <si>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</si>
  <si>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</si>
  <si>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</si>
  <si>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</si>
  <si>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</si>
  <si>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</si>
  <si>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</si>
  <si>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</si>
  <si>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</si>
  <si>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</si>
  <si>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</si>
  <si>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</si>
  <si>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</si>
  <si>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</si>
  <si>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</si>
  <si>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</si>
  <si>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</si>
  <si>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</si>
  <si>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</si>
  <si>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</si>
  <si>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</si>
  <si>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</si>
  <si>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</si>
  <si>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</si>
  <si>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</si>
  <si>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</si>
  <si>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</si>
  <si>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</si>
  <si>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</si>
  <si>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</si>
  <si>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</si>
  <si>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</si>
  <si>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</si>
  <si>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</si>
  <si>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</si>
  <si>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</si>
  <si>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</si>
  <si>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</si>
  <si>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</si>
  <si>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</si>
  <si>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</si>
  <si>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</si>
  <si>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</si>
  <si>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</si>
  <si>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</si>
  <si>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</si>
  <si>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</si>
  <si>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</si>
  <si>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</si>
  <si>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</si>
  <si>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</si>
  <si>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</si>
  <si>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</si>
  <si>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</si>
  <si>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</si>
  <si>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</si>
  <si>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</si>
  <si>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</si>
  <si>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</si>
  <si>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</si>
  <si>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</si>
  <si>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</si>
  <si>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</si>
  <si>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</si>
  <si>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</si>
  <si>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</si>
  <si>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</si>
  <si>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</si>
  <si>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</si>
  <si>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</si>
  <si>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</si>
  <si>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</si>
  <si>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</si>
  <si>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</si>
  <si>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</si>
  <si>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</si>
  <si>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</si>
  <si>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</si>
  <si>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</si>
  <si>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</si>
  <si>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</si>
  <si>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</si>
  <si>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</si>
  <si>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</si>
  <si>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</si>
  <si>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</si>
  <si>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</si>
  <si>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</si>
  <si>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</si>
  <si>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</si>
  <si>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</si>
  <si>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</si>
  <si>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</si>
  <si>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</si>
  <si>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</si>
  <si>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</si>
  <si>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</si>
  <si>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</si>
  <si>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</si>
  <si>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</si>
  <si>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</si>
  <si>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</si>
  <si>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</si>
  <si>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</si>
  <si>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</si>
  <si>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</si>
  <si>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</si>
  <si>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</si>
  <si>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</si>
  <si>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</si>
  <si>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</si>
  <si>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</si>
  <si>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</si>
  <si>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</si>
  <si>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</si>
  <si>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</si>
  <si>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</si>
  <si>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</si>
  <si>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</si>
  <si>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</si>
  <si>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</si>
  <si>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</si>
  <si>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</si>
  <si>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</si>
  <si>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</si>
  <si>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</si>
  <si>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</si>
  <si>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</si>
  <si>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</si>
  <si>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</si>
  <si>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</si>
  <si>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</si>
  <si>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</si>
  <si>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</si>
  <si>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</si>
  <si>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</si>
  <si>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</si>
  <si>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</si>
  <si>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</si>
  <si>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</si>
  <si>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</si>
  <si>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</si>
  <si>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</si>
  <si>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</si>
  <si>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</si>
  <si>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</si>
  <si>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</si>
  <si>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</si>
  <si>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</si>
  <si>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</si>
  <si>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</si>
  <si>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</si>
  <si>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</si>
  <si>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</si>
  <si>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</si>
  <si>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</si>
  <si>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</si>
  <si>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</si>
  <si>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</si>
  <si>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</si>
  <si>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</si>
  <si>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</si>
  <si>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</si>
  <si>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</si>
  <si>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</si>
  <si>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</si>
  <si>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</si>
  <si>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</si>
  <si>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</si>
  <si>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</si>
  <si>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</si>
  <si>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</si>
  <si>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</si>
  <si>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</si>
  <si>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</si>
  <si>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</si>
  <si>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</si>
  <si>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</si>
  <si>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</si>
  <si>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</si>
  <si>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</si>
  <si>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</si>
  <si>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</si>
  <si>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</si>
  <si>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</si>
  <si>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</si>
  <si>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</si>
  <si>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</si>
  <si>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</si>
  <si>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</si>
  <si>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</si>
  <si>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</si>
  <si>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</si>
  <si>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</si>
  <si>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</si>
  <si>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</si>
  <si>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</si>
  <si>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</si>
  <si>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</si>
  <si>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</si>
  <si>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</si>
  <si>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</si>
  <si>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</si>
  <si>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</si>
  <si>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</si>
  <si>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</si>
  <si>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</si>
  <si>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</si>
  <si>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</si>
  <si>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</si>
  <si>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</si>
  <si>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</si>
  <si>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</si>
  <si>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</si>
  <si>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</si>
  <si>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</si>
  <si>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</si>
  <si>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</si>
  <si>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</si>
  <si>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</si>
  <si>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</si>
  <si>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</si>
  <si>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</si>
  <si>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</si>
  <si>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</si>
  <si>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</si>
  <si>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</si>
  <si>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</si>
  <si>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</si>
  <si>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</si>
  <si>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</si>
  <si>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</si>
  <si>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</si>
  <si>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</si>
  <si>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</si>
  <si>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</si>
  <si>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</si>
  <si>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</si>
  <si>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</si>
  <si>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</si>
  <si>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</si>
  <si>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</si>
  <si>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</si>
  <si>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</si>
  <si>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</si>
  <si>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</si>
  <si>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</si>
  <si>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</si>
  <si>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</si>
  <si>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</si>
  <si>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</si>
  <si>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</si>
  <si>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</si>
  <si>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</si>
  <si>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</si>
  <si>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</si>
  <si>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</si>
  <si>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</si>
  <si>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</si>
  <si>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</si>
  <si>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</si>
  <si>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</si>
  <si>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</si>
  <si>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</si>
  <si>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</si>
  <si>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</si>
  <si>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</si>
  <si>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</si>
  <si>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</si>
  <si>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</si>
  <si>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</si>
  <si>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</si>
  <si>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</si>
  <si>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</si>
  <si>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</si>
  <si>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</si>
  <si>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</si>
  <si>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</si>
  <si>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</si>
  <si>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</si>
  <si>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</si>
  <si>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</si>
  <si>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</si>
  <si>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</si>
  <si>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</si>
  <si>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</si>
  <si>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</si>
  <si>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</si>
  <si>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</si>
  <si>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</si>
  <si>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</si>
  <si>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</si>
  <si>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</si>
  <si>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</si>
  <si>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</si>
  <si>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</si>
  <si>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</si>
  <si>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</si>
  <si>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</si>
  <si>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</si>
  <si>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</si>
  <si>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</si>
  <si>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</si>
  <si>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</si>
  <si>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</si>
  <si>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</si>
  <si>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</si>
  <si>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</si>
  <si>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</si>
  <si>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</si>
  <si>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</si>
  <si>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</si>
  <si>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</si>
  <si>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</si>
  <si>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</si>
  <si>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</si>
  <si>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</si>
  <si>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</si>
  <si>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</si>
  <si>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</si>
  <si>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</si>
  <si>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</si>
  <si>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</si>
  <si>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</si>
  <si>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</si>
  <si>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</si>
  <si>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</si>
  <si>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</si>
  <si>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</si>
  <si>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</si>
  <si>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</si>
  <si>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</si>
  <si>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</si>
  <si>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</si>
  <si>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</si>
  <si>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</si>
  <si>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</si>
  <si>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</si>
  <si>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</si>
  <si>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</si>
  <si>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</si>
  <si>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</si>
  <si>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</si>
  <si>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</si>
  <si>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</si>
  <si>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</si>
  <si>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</si>
  <si>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</si>
  <si>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</si>
  <si>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</si>
  <si>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</si>
  <si>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</si>
  <si>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</si>
  <si>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</si>
  <si>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</si>
  <si>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</si>
  <si>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</si>
  <si>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</si>
  <si>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</si>
  <si>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</si>
  <si>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</si>
  <si>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</si>
  <si>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</si>
  <si>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</si>
  <si>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</si>
  <si>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</si>
  <si>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</si>
  <si>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</si>
  <si>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</si>
  <si>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</si>
  <si>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</si>
  <si>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</si>
  <si>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</si>
  <si>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</si>
  <si>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</si>
  <si>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</si>
  <si>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</si>
  <si>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</si>
  <si>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</si>
  <si>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</si>
  <si>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</si>
  <si>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</si>
  <si>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</si>
  <si>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</si>
  <si>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</si>
  <si>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</si>
  <si>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</si>
  <si>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</si>
  <si>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</si>
  <si>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</si>
  <si>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</si>
  <si>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</si>
  <si>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</si>
  <si>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</si>
  <si>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</si>
  <si>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</si>
  <si>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</si>
  <si>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</si>
  <si>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</si>
  <si>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</si>
  <si>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</si>
  <si>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</si>
  <si>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</si>
  <si>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</si>
  <si>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</si>
  <si>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</si>
  <si>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</si>
  <si>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</si>
  <si>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</si>
  <si>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</si>
  <si>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</si>
  <si>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</si>
  <si>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</si>
  <si>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</si>
  <si>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</si>
  <si>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</si>
  <si>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</si>
  <si>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</si>
  <si>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</si>
  <si>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</si>
  <si>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</si>
  <si>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</si>
  <si>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</si>
  <si>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</si>
  <si>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</si>
  <si>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</si>
  <si>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</si>
  <si>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</si>
  <si>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</si>
  <si>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</si>
  <si>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</si>
  <si>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</si>
  <si>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</si>
  <si>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</si>
  <si>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</si>
  <si>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</si>
  <si>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</si>
  <si>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</si>
  <si>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</si>
  <si>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</si>
  <si>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</si>
  <si>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</si>
  <si>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</si>
  <si>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</si>
  <si>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</si>
  <si>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</si>
  <si>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</si>
  <si>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</si>
  <si>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</si>
  <si>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</si>
  <si>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</si>
  <si>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</si>
  <si>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</si>
  <si>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</si>
  <si>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</si>
  <si>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</si>
  <si>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</si>
  <si>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</si>
  <si>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</si>
  <si>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</si>
  <si>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</si>
  <si>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</si>
  <si>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</si>
  <si>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</si>
  <si>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</si>
  <si>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</si>
  <si>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</si>
  <si>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</si>
  <si>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</si>
  <si>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</si>
  <si>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</si>
  <si>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</si>
  <si>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</si>
  <si>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</si>
  <si>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</si>
  <si>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</si>
  <si>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</si>
  <si>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</si>
  <si>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</si>
  <si>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</si>
  <si>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</si>
  <si>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</si>
  <si>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</si>
  <si>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</si>
  <si>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</si>
  <si>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</si>
  <si>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</si>
  <si>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</si>
  <si>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</si>
  <si>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</si>
  <si>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</si>
  <si>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</si>
  <si>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</si>
  <si>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</si>
  <si>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</si>
  <si>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</si>
  <si>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</si>
  <si>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</si>
  <si>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</si>
  <si>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</si>
  <si>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</si>
  <si>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</si>
  <si>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</si>
  <si>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</si>
  <si>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</si>
  <si>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</si>
  <si>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</si>
  <si>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</si>
  <si>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</si>
  <si>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</si>
  <si>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</si>
  <si>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</si>
  <si>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</si>
  <si>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</si>
  <si>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</si>
  <si>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</si>
  <si>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</si>
  <si>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</si>
  <si>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</si>
  <si>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</si>
  <si>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</si>
  <si>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</si>
  <si>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</si>
  <si>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</si>
  <si>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</si>
  <si>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</si>
  <si>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</si>
  <si>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</si>
  <si>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</si>
  <si>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</si>
  <si>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</si>
  <si>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</si>
  <si>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</si>
  <si>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</si>
  <si>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</si>
  <si>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</si>
  <si>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</si>
  <si>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</si>
  <si>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</si>
  <si>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</si>
  <si>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</si>
  <si>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</si>
  <si>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</si>
  <si>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</si>
  <si>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</si>
  <si>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</si>
  <si>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</si>
  <si>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</si>
  <si>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</si>
  <si>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</si>
  <si>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</si>
  <si>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</si>
  <si>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</si>
  <si>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</si>
  <si>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</si>
  <si>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</si>
  <si>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</si>
  <si>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</si>
  <si>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</si>
  <si>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</si>
  <si>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</si>
  <si>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</si>
  <si>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</si>
  <si>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</si>
  <si>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</si>
  <si>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</si>
  <si>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</si>
  <si>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</si>
  <si>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</si>
  <si>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</si>
  <si>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</si>
  <si>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</si>
  <si>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</si>
  <si>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</si>
  <si>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</si>
  <si>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</si>
  <si>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</si>
  <si>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</si>
  <si>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</si>
  <si>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</si>
  <si>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</si>
  <si>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</si>
  <si>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</si>
  <si>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</si>
  <si>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</si>
  <si>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</si>
  <si>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</si>
  <si>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</si>
  <si>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</si>
  <si>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</si>
  <si>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</si>
  <si>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</si>
  <si>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</si>
  <si>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</si>
  <si>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</si>
  <si>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</si>
  <si>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</si>
  <si>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</si>
  <si>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</si>
  <si>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</si>
  <si>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</si>
  <si>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</si>
  <si>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</si>
  <si>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</si>
  <si>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</si>
  <si>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</si>
  <si>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</si>
  <si>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</si>
  <si>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</si>
  <si>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</si>
  <si>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</si>
  <si>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</si>
  <si>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</si>
  <si>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</si>
  <si>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</si>
  <si>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</si>
  <si>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</si>
  <si>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</si>
  <si>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</si>
  <si>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</si>
  <si>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</si>
  <si>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</si>
  <si>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</si>
  <si>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</si>
  <si>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</si>
  <si>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</si>
  <si>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</si>
  <si>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</si>
  <si>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</si>
  <si>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</si>
  <si>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</si>
  <si>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</si>
  <si>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</si>
  <si>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</si>
  <si>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</si>
  <si>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</si>
  <si>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</si>
  <si>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</si>
  <si>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</si>
  <si>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</si>
  <si>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</si>
  <si>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</si>
  <si>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</si>
  <si>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</si>
  <si>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</si>
  <si>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</si>
  <si>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</si>
  <si>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</si>
  <si>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</si>
  <si>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</si>
  <si>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</si>
  <si>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</si>
  <si>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</si>
  <si>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</si>
  <si>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</si>
  <si>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</si>
  <si>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</si>
  <si>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</si>
  <si>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</si>
  <si>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</si>
  <si>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</si>
  <si>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</si>
  <si>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</si>
  <si>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</si>
  <si>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</si>
  <si>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</si>
  <si>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</si>
  <si>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</si>
  <si>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</si>
  <si>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</si>
  <si>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</si>
  <si>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</si>
  <si>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</si>
  <si>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</si>
  <si>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</si>
  <si>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</si>
  <si>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</si>
  <si>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</si>
  <si>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</si>
  <si>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</si>
  <si>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</si>
  <si>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</si>
  <si>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</si>
  <si>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</si>
  <si>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</si>
  <si>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</si>
  <si>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</si>
  <si>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</si>
  <si>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</si>
  <si>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</si>
  <si>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</si>
  <si>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</si>
  <si>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</si>
  <si>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</si>
  <si>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</si>
  <si>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</si>
  <si>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</si>
  <si>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</si>
  <si>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</si>
  <si>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</si>
  <si>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</si>
  <si>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</si>
  <si>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</si>
  <si>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</si>
  <si>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</si>
  <si>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</si>
  <si>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</si>
  <si>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</si>
  <si>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</si>
  <si>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</si>
  <si>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</si>
  <si>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</si>
  <si>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</si>
  <si>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</si>
  <si>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</si>
  <si>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</si>
  <si>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</si>
  <si>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</si>
  <si>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</si>
  <si>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</si>
  <si>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</si>
  <si>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</si>
  <si>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</si>
  <si>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</si>
  <si>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</si>
  <si>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</si>
  <si>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</si>
  <si>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</si>
  <si>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</si>
  <si>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</si>
  <si>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</si>
  <si>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</si>
  <si>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</si>
  <si>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</si>
  <si>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</si>
  <si>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</si>
  <si>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</si>
  <si>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</si>
  <si>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</si>
  <si>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</si>
  <si>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</si>
  <si>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</si>
  <si>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</si>
  <si>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</si>
  <si>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</si>
  <si>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</si>
  <si>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</si>
  <si>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</si>
  <si>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</si>
  <si>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</si>
  <si>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</si>
  <si>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</si>
  <si>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</si>
  <si>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</si>
  <si>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</si>
  <si>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</si>
  <si>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</si>
  <si>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</si>
  <si>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</si>
  <si>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</si>
  <si>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</si>
  <si>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</si>
  <si>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</si>
  <si>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</si>
  <si>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</si>
  <si>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</si>
  <si>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</si>
  <si>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</si>
  <si>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</si>
  <si>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</si>
  <si>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</si>
  <si>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</si>
  <si>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</si>
  <si>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</si>
  <si>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</si>
  <si>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</si>
  <si>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</si>
  <si>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</si>
  <si>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</si>
  <si>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</si>
  <si>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</si>
  <si>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</si>
  <si>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</si>
  <si>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</si>
  <si>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</si>
  <si>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</si>
  <si>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</si>
  <si>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</si>
  <si>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</si>
  <si>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</si>
  <si>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</si>
  <si>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</si>
  <si>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</si>
  <si>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</si>
  <si>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</si>
  <si>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</si>
  <si>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</si>
  <si>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</si>
  <si>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</si>
  <si>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</si>
  <si>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</si>
  <si>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</si>
  <si>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</si>
  <si>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</si>
  <si>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</si>
  <si>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</si>
  <si>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</si>
  <si>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</si>
  <si>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</si>
  <si>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</si>
  <si>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</si>
  <si>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</si>
  <si>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</si>
  <si>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</si>
  <si>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</si>
  <si>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</si>
  <si>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</si>
  <si>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</si>
  <si>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</si>
  <si>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</si>
  <si>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</si>
  <si>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</si>
  <si>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</si>
  <si>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</si>
  <si>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</si>
  <si>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</si>
  <si>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</si>
  <si>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</si>
  <si>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</si>
  <si>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</si>
  <si>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</si>
  <si>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</si>
  <si>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</si>
  <si>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</si>
  <si>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</si>
  <si>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</si>
  <si>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</si>
  <si>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</si>
  <si>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</si>
  <si>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</si>
  <si>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</si>
  <si>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</si>
  <si>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</si>
  <si>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</si>
  <si>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</si>
  <si>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</si>
  <si>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</si>
  <si>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</si>
  <si>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</si>
  <si>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</si>
  <si>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</si>
  <si>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</si>
  <si>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</si>
  <si>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</si>
  <si>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</si>
  <si>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</si>
  <si>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</si>
  <si>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</si>
  <si>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</si>
  <si>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</si>
  <si>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</si>
  <si>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</si>
  <si>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</si>
  <si>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</si>
  <si>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</si>
  <si>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</si>
  <si>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</si>
  <si>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</si>
  <si>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</si>
  <si>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</si>
  <si>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</si>
  <si>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</si>
  <si>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</si>
  <si>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</si>
  <si>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</si>
  <si>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</si>
  <si>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</si>
  <si>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</si>
  <si>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</si>
  <si>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</si>
  <si>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</si>
  <si>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</si>
  <si>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</si>
  <si>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</si>
  <si>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</si>
  <si>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</si>
  <si>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</si>
  <si>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</si>
  <si>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</si>
  <si>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</si>
  <si>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</si>
  <si>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</si>
  <si>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</si>
  <si>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</si>
  <si>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</si>
  <si>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</si>
  <si>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</si>
  <si>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</si>
  <si>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</si>
  <si>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</si>
  <si>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</si>
  <si>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</si>
  <si>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</si>
  <si>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</si>
  <si>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</si>
  <si>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</si>
  <si>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</si>
  <si>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</si>
  <si>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</si>
  <si>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</si>
  <si>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</si>
  <si>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</si>
  <si>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</si>
  <si>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</si>
  <si>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</si>
  <si>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</si>
  <si>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</si>
  <si>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</si>
  <si>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</si>
  <si>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</si>
  <si>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</si>
  <si>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</si>
  <si>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</si>
  <si>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</si>
  <si>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</si>
  <si>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</si>
  <si>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</si>
  <si>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</si>
  <si>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</si>
  <si>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</si>
  <si>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</si>
  <si>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</si>
  <si>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</si>
  <si>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</si>
  <si>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</si>
  <si>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</si>
  <si>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</si>
  <si>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</si>
  <si>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</si>
  <si>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</si>
  <si>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</si>
  <si>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</si>
  <si>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</si>
  <si>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</si>
  <si>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</si>
  <si>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</si>
  <si>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</si>
  <si>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</si>
  <si>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</si>
  <si>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</si>
  <si>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</si>
  <si>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</si>
  <si>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</si>
  <si>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</si>
  <si>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</si>
  <si>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</si>
  <si>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</si>
  <si>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</si>
  <si>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</si>
  <si>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</si>
  <si>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</si>
  <si>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</si>
  <si>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</si>
  <si>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</si>
  <si>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</si>
  <si>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</si>
  <si>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</si>
  <si>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</si>
  <si>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</si>
  <si>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</si>
  <si>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</si>
  <si>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</si>
  <si>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</si>
  <si>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</si>
  <si>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</si>
  <si>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</si>
  <si>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</si>
  <si>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</si>
  <si>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</si>
  <si>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</si>
  <si>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</si>
  <si>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</si>
  <si>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</si>
  <si>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</si>
  <si>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</si>
  <si>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</si>
  <si>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</si>
  <si>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</si>
  <si>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</si>
  <si>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</si>
  <si>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</si>
  <si>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</si>
  <si>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</si>
  <si>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</si>
  <si>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</si>
  <si>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</si>
  <si>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</si>
  <si>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</si>
  <si>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</si>
  <si>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</si>
  <si>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</si>
  <si>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</si>
  <si>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</si>
  <si>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</si>
  <si>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</si>
  <si>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</si>
  <si>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</si>
  <si>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</si>
  <si>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</si>
  <si>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</si>
  <si>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</si>
  <si>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</si>
  <si>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</si>
  <si>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</si>
  <si>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</si>
  <si>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</si>
  <si>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</si>
  <si>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</si>
  <si>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</si>
  <si>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</si>
  <si>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</si>
  <si>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</si>
  <si>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</si>
  <si>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</si>
  <si>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</si>
  <si>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</si>
  <si>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</si>
  <si>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</si>
  <si>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</si>
  <si>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</si>
  <si>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</si>
  <si>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</si>
  <si>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</si>
  <si>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</si>
  <si>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</si>
  <si>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</si>
  <si>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</si>
  <si>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</si>
  <si>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</si>
  <si>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</si>
  <si>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</si>
  <si>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</si>
  <si>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</si>
  <si>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</si>
  <si>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</si>
  <si>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</si>
  <si>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</si>
  <si>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</si>
  <si>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</si>
  <si>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</si>
  <si>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</si>
  <si>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</si>
  <si>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</si>
  <si>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</si>
  <si>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</si>
  <si>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</si>
  <si>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</si>
  <si>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</si>
  <si>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</si>
  <si>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</si>
  <si>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</si>
  <si>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</si>
  <si>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</si>
  <si>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</si>
  <si>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</si>
  <si>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</si>
  <si>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</si>
  <si>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</si>
  <si>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</si>
  <si>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</si>
  <si>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</si>
  <si>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</si>
  <si>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</si>
  <si>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</si>
  <si>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</si>
  <si>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</si>
  <si>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</si>
  <si>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</si>
  <si>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</si>
  <si>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</si>
  <si>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</si>
  <si>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</si>
  <si>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</si>
  <si>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</si>
  <si>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</si>
  <si>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</si>
  <si>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</si>
  <si>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</si>
  <si>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</si>
  <si>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</si>
  <si>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</si>
  <si>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</si>
  <si>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</si>
  <si>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</si>
  <si>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</si>
  <si>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</si>
  <si>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</si>
  <si>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</si>
  <si>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</si>
  <si>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</si>
  <si>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</si>
  <si>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</si>
  <si>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</si>
  <si>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</si>
  <si>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</si>
  <si>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</si>
  <si>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</si>
  <si>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</si>
  <si>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</si>
  <si>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</si>
  <si>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</si>
  <si>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</si>
  <si>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</si>
  <si>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</si>
  <si>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</si>
  <si>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</si>
  <si>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</si>
  <si>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</si>
  <si>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</si>
  <si>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</si>
  <si>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</si>
  <si>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</si>
  <si>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</si>
  <si>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</si>
  <si>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</si>
  <si>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</si>
  <si>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</si>
  <si>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</si>
  <si>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</si>
  <si>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</si>
  <si>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</si>
  <si>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</si>
  <si>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</si>
  <si>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</si>
  <si>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</si>
  <si>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</si>
  <si>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</si>
  <si>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</si>
  <si>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</si>
  <si>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</si>
  <si>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</si>
  <si>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</si>
  <si>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</si>
  <si>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</si>
  <si>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</si>
  <si>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</si>
  <si>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</si>
  <si>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</si>
  <si>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</si>
  <si>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</si>
  <si>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</si>
  <si>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</si>
  <si>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</si>
  <si>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</si>
  <si>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</si>
  <si>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</si>
  <si>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</si>
  <si>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</si>
  <si>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</si>
  <si>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</si>
  <si>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</si>
  <si>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</si>
  <si>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</si>
  <si>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</si>
  <si>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</si>
  <si>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</si>
  <si>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</si>
  <si>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</si>
  <si>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</si>
  <si>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</si>
  <si>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</si>
  <si>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</si>
  <si>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</si>
  <si>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</si>
  <si>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</si>
  <si>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</si>
  <si>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</si>
  <si>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</si>
  <si>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</si>
  <si>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</si>
  <si>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</si>
  <si>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</si>
  <si>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</si>
  <si>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</si>
  <si>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</si>
  <si>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</si>
  <si>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</si>
  <si>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</si>
  <si>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</si>
  <si>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</si>
  <si>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</si>
  <si>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</si>
  <si>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</si>
  <si>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</si>
  <si>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</si>
  <si>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</si>
  <si>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</si>
  <si>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</si>
  <si>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</si>
  <si>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</si>
  <si>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</si>
  <si>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</si>
  <si>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</si>
  <si>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</si>
  <si>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</si>
  <si>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</si>
  <si>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</si>
  <si>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</si>
  <si>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</si>
  <si>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</si>
  <si>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</si>
  <si>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</si>
  <si>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</si>
  <si>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</si>
  <si>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</si>
  <si>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</si>
  <si>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</si>
  <si>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</si>
  <si>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</si>
  <si>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</si>
  <si>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</si>
  <si>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</si>
  <si>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</si>
  <si>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</si>
  <si>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</si>
  <si>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</si>
  <si>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</si>
  <si>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</si>
  <si>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</si>
  <si>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</si>
  <si>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</si>
  <si>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</si>
  <si>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</si>
  <si>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</si>
  <si>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</si>
  <si>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</si>
  <si>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</si>
  <si>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</si>
  <si>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</si>
  <si>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</si>
  <si>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</si>
  <si>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</si>
  <si>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</si>
  <si>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</si>
  <si>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</si>
  <si>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</si>
  <si>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</si>
  <si>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</si>
  <si>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</si>
  <si>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</si>
  <si>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</si>
  <si>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</si>
  <si>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</si>
  <si>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</si>
  <si>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</si>
  <si>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</si>
  <si>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</si>
  <si>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</si>
  <si>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</si>
  <si>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</si>
  <si>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</si>
  <si>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</si>
  <si>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</si>
  <si>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</si>
  <si>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</si>
  <si>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</si>
  <si>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</si>
  <si>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</si>
  <si>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</si>
  <si>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</si>
  <si>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</si>
  <si>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</si>
  <si>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</si>
  <si>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</si>
  <si>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</si>
  <si>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</si>
  <si>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</si>
  <si>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</si>
  <si>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</si>
  <si>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</si>
  <si>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</si>
  <si>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</si>
  <si>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</si>
  <si>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</si>
  <si>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</si>
  <si>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</si>
  <si>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</si>
  <si>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</si>
  <si>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</si>
  <si>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</si>
  <si>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</si>
  <si>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</si>
  <si>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</si>
  <si>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</si>
  <si>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</si>
  <si>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</si>
  <si>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</si>
  <si>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</si>
  <si>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</si>
  <si>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</si>
  <si>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</si>
  <si>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</si>
  <si>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</si>
  <si>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</si>
  <si>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</si>
  <si>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</si>
  <si>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</si>
  <si>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</si>
  <si>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</si>
  <si>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</si>
  <si>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</si>
  <si>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</si>
  <si>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</si>
  <si>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</si>
  <si>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</si>
  <si>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</si>
  <si>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</si>
  <si>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</si>
  <si>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</si>
  <si>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</si>
  <si>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</si>
  <si>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</si>
  <si>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</si>
  <si>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</si>
  <si>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</si>
  <si>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</si>
  <si>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</si>
  <si>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</si>
  <si>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</si>
  <si>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</si>
  <si>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</si>
  <si>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</si>
  <si>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</si>
  <si>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</si>
  <si>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</si>
  <si>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</si>
  <si>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</si>
  <si>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</si>
  <si>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</si>
  <si>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</si>
  <si>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</si>
  <si>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</si>
  <si>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</si>
  <si>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</si>
  <si>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</si>
  <si>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</si>
  <si>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</si>
  <si>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</si>
  <si>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</si>
  <si>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</si>
  <si>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</si>
  <si>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</si>
  <si>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</si>
  <si>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</si>
  <si>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</si>
  <si>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</si>
  <si>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</si>
  <si>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</si>
  <si>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</si>
  <si>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</si>
  <si>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</si>
  <si>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</si>
  <si>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</si>
  <si>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</si>
  <si>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</si>
  <si>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</si>
  <si>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</si>
  <si>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</si>
  <si>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</si>
  <si>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</si>
  <si>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</si>
  <si>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</si>
  <si>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</si>
  <si>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</si>
  <si>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</si>
  <si>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</si>
  <si>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</si>
  <si>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</si>
  <si>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</si>
  <si>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</si>
  <si>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</si>
  <si>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</si>
  <si>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</si>
  <si>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</si>
  <si>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</si>
  <si>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</si>
  <si>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</si>
  <si>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</si>
  <si>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</si>
  <si>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</si>
  <si>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</si>
  <si>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</si>
  <si>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</si>
  <si>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</si>
  <si>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</si>
  <si>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</si>
  <si>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</si>
  <si>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</si>
  <si>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</si>
  <si>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</si>
  <si>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</si>
  <si>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</si>
  <si>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</si>
  <si>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</si>
  <si>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</si>
  <si>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</si>
  <si>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</si>
  <si>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</si>
  <si>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</si>
  <si>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</si>
  <si>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</si>
  <si>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</si>
  <si>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</si>
  <si>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</si>
  <si>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</si>
  <si>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</si>
  <si>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</si>
  <si>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</si>
  <si>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</si>
  <si>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</si>
  <si>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</si>
  <si>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</si>
  <si>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</si>
  <si>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</si>
  <si>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</si>
  <si>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</si>
  <si>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</si>
  <si>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</si>
  <si>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</si>
  <si>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</si>
  <si>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</si>
  <si>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</si>
  <si>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</si>
  <si>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</si>
  <si>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</si>
  <si>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</si>
  <si>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</si>
  <si>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</si>
  <si>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</si>
  <si>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</si>
  <si>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</si>
  <si>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</si>
  <si>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</si>
  <si>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</si>
  <si>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</si>
  <si>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</si>
  <si>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</si>
  <si>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</si>
  <si>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</si>
  <si>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</si>
  <si>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</si>
  <si>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</si>
  <si>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</si>
  <si>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</si>
  <si>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</si>
  <si>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</si>
  <si>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</si>
  <si>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</si>
  <si>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</si>
  <si>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</si>
  <si>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</si>
  <si>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</si>
  <si>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</si>
  <si>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</si>
  <si>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</si>
  <si>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</si>
  <si>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</si>
  <si>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</si>
  <si>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</si>
  <si>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</si>
  <si>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</si>
  <si>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</si>
  <si>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</si>
  <si>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</si>
  <si>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</si>
  <si>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</si>
  <si>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</si>
  <si>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</si>
  <si>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</si>
  <si>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</si>
  <si>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</si>
  <si>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</si>
  <si>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</si>
  <si>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</si>
  <si>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</si>
  <si>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</si>
  <si>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</si>
  <si>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</si>
  <si>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</si>
  <si>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</si>
  <si>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</si>
  <si>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</si>
  <si>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</si>
  <si>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</si>
  <si>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</si>
  <si>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</si>
  <si>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</si>
  <si>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</si>
  <si>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</si>
  <si>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</si>
  <si>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</si>
  <si>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</si>
  <si>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</si>
  <si>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</si>
  <si>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</si>
  <si>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</si>
  <si>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</si>
  <si>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</si>
  <si>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</si>
  <si>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</si>
  <si>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</si>
  <si>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</si>
  <si>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</si>
  <si>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</si>
  <si>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</si>
  <si>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</si>
  <si>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</si>
  <si>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</si>
  <si>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</si>
  <si>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</si>
  <si>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</si>
  <si>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</si>
  <si>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</si>
  <si>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</si>
  <si>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</si>
  <si>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</si>
  <si>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</si>
  <si>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</si>
  <si>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</si>
  <si>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</si>
  <si>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</si>
  <si>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</si>
  <si>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</si>
  <si>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</si>
  <si>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</si>
  <si>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</si>
  <si>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</si>
  <si>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</si>
  <si>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</si>
  <si>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</si>
  <si>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</si>
  <si>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</si>
  <si>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</si>
  <si>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</si>
  <si>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</si>
  <si>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</si>
  <si>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</si>
  <si>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</si>
  <si>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</si>
  <si>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</si>
  <si>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</si>
  <si>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</si>
  <si>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</si>
  <si>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</si>
  <si>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</si>
  <si>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</si>
  <si>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</si>
  <si>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</si>
  <si>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</si>
  <si>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</si>
  <si>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</si>
  <si>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</si>
  <si>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</si>
  <si>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</si>
  <si>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</si>
  <si>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</si>
  <si>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</si>
  <si>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</si>
  <si>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</si>
  <si>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</si>
  <si>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</si>
  <si>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</si>
  <si>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</si>
  <si>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</si>
  <si>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</si>
  <si>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</si>
  <si>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</si>
  <si>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</si>
  <si>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</si>
  <si>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</si>
  <si>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</si>
  <si>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</si>
  <si>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</si>
  <si>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</si>
  <si>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</si>
  <si>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</si>
  <si>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</si>
  <si>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</si>
  <si>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</si>
  <si>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</si>
  <si>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</si>
  <si>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</si>
  <si>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</si>
  <si>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</si>
  <si>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</si>
  <si>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</si>
  <si>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</si>
  <si>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</si>
  <si>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</si>
  <si>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</si>
  <si>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</si>
  <si>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</si>
  <si>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</si>
  <si>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</si>
  <si>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</si>
  <si>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</si>
  <si>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</si>
  <si>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</si>
  <si>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</si>
  <si>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</si>
  <si>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</si>
  <si>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</si>
  <si>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</si>
  <si>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</si>
  <si>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</si>
  <si>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</si>
  <si>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</si>
  <si>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</si>
  <si>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</si>
  <si>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</si>
  <si>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</si>
  <si>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</si>
  <si>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</si>
  <si>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</si>
  <si>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</si>
  <si>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</si>
  <si>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</si>
  <si>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</si>
  <si>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</si>
  <si>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</si>
  <si>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</si>
  <si>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</si>
  <si>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</si>
  <si>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</si>
  <si>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</si>
  <si>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</si>
  <si>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</si>
  <si>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</si>
  <si>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</si>
  <si>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</si>
  <si>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</si>
  <si>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</si>
  <si>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</si>
  <si>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</si>
  <si>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</si>
  <si>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</si>
  <si>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</si>
  <si>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</si>
  <si>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</si>
  <si>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</si>
  <si>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</si>
  <si>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</si>
  <si>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</si>
  <si>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</si>
  <si>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</si>
  <si>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</si>
  <si>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</si>
  <si>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</si>
  <si>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</si>
  <si>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</si>
  <si>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</si>
  <si>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</si>
  <si>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</si>
  <si>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</si>
  <si>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</si>
  <si>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</si>
  <si>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</si>
  <si>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</si>
  <si>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</si>
  <si>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</si>
  <si>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</si>
  <si>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</si>
  <si>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</si>
  <si>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</si>
  <si>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</si>
  <si>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</si>
  <si>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</si>
  <si>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</si>
  <si>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</si>
  <si>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</si>
  <si>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</si>
  <si>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</si>
  <si>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</si>
  <si>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</si>
  <si>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</si>
  <si>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</si>
  <si>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</si>
  <si>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</si>
  <si>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</si>
  <si>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</si>
  <si>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</si>
  <si>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</si>
  <si>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</si>
  <si>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</si>
  <si>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</si>
  <si>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</si>
  <si>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</si>
  <si>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</si>
  <si>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</si>
  <si>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</si>
  <si>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</si>
  <si>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</si>
  <si>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</si>
  <si>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</si>
  <si>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</si>
  <si>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</si>
  <si>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</si>
  <si>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</si>
  <si>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</si>
  <si>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</si>
  <si>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</si>
  <si>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</si>
  <si>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</si>
  <si>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</si>
  <si>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</si>
  <si>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</si>
  <si>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</si>
  <si>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</si>
  <si>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</si>
  <si>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</si>
  <si>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</si>
  <si>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</si>
  <si>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</si>
  <si>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</si>
  <si>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</si>
  <si>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</si>
  <si>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</si>
  <si>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</si>
  <si>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</si>
  <si>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</si>
  <si>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</si>
  <si>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</si>
  <si>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</si>
  <si>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</si>
  <si>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</si>
  <si>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</si>
  <si>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</si>
  <si>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</si>
  <si>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</si>
  <si>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</si>
  <si>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</si>
  <si>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</si>
  <si>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</si>
  <si>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</si>
  <si>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</si>
  <si>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</si>
  <si>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</si>
  <si>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</si>
  <si>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</si>
  <si>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</si>
  <si>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</si>
  <si>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</si>
  <si>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</si>
  <si>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</si>
  <si>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</si>
  <si>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</si>
  <si>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</si>
  <si>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</si>
  <si>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</si>
  <si>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</si>
  <si>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</si>
  <si>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</si>
  <si>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</si>
  <si>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</si>
  <si>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</si>
  <si>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</si>
  <si>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</si>
  <si>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</si>
  <si>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</si>
  <si>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</si>
  <si>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</si>
  <si>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</si>
  <si>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</si>
  <si>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</si>
  <si>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</si>
  <si>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</si>
  <si>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</si>
  <si>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</si>
  <si>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</si>
  <si>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</si>
  <si>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</si>
  <si>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</si>
  <si>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</si>
  <si>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</si>
  <si>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</si>
  <si>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</si>
  <si>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</si>
  <si>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</si>
  <si>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</si>
  <si>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</si>
  <si>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</si>
  <si>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</si>
  <si>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</si>
  <si>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</si>
  <si>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</si>
  <si>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</si>
  <si>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</si>
  <si>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</si>
  <si>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</si>
  <si>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</si>
  <si>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</si>
  <si>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</si>
  <si>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</si>
  <si>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</si>
  <si>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</si>
  <si>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</si>
  <si>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</si>
  <si>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</si>
  <si>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</si>
  <si>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</si>
  <si>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</si>
  <si>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</si>
  <si>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</si>
  <si>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</si>
  <si>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</si>
  <si>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</si>
  <si>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</si>
  <si>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</si>
  <si>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</si>
  <si>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</si>
  <si>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</si>
  <si>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</si>
  <si>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</si>
  <si>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</si>
  <si>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</si>
  <si>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</si>
  <si>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</si>
  <si>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</si>
  <si>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</si>
  <si>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</si>
  <si>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</si>
  <si>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</si>
  <si>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</si>
  <si>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</si>
  <si>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</si>
  <si>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</si>
  <si>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</si>
  <si>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</si>
  <si>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</si>
  <si>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</si>
  <si>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</si>
  <si>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</si>
  <si>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</si>
  <si>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</si>
  <si>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</si>
  <si>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</si>
  <si>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</si>
  <si>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</si>
  <si>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</si>
  <si>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</si>
  <si>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</si>
  <si>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</si>
  <si>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</si>
  <si>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</si>
  <si>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</si>
  <si>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</si>
  <si>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</si>
  <si>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</si>
  <si>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</si>
  <si>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</si>
  <si>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</si>
  <si>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</si>
  <si>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</si>
  <si>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</si>
  <si>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</si>
  <si>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</si>
  <si>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</si>
  <si>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</si>
  <si>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</si>
  <si>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</si>
  <si>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</si>
  <si>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</si>
  <si>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</si>
  <si>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</si>
  <si>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</si>
  <si>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</si>
  <si>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</si>
  <si>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</si>
  <si>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</si>
  <si>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</si>
  <si>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</si>
  <si>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</si>
  <si>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</si>
  <si>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</si>
  <si>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</si>
  <si>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</si>
  <si>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</si>
  <si>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</si>
  <si>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</si>
  <si>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</si>
  <si>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</si>
  <si>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</si>
  <si>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</si>
  <si>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</si>
  <si>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</si>
  <si>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</si>
  <si>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</si>
  <si>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</si>
  <si>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</si>
  <si>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</si>
  <si>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</si>
  <si>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</si>
  <si>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</si>
  <si>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</si>
  <si>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</si>
  <si>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</si>
  <si>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</si>
  <si>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</si>
  <si>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</si>
  <si>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</si>
  <si>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</si>
  <si>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</si>
  <si>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</si>
  <si>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</si>
  <si>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</si>
  <si>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</si>
  <si>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</si>
  <si>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</si>
  <si>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</si>
  <si>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</si>
  <si>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</si>
  <si>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</si>
  <si>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</si>
  <si>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</si>
  <si>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</si>
  <si>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</si>
  <si>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</si>
  <si>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</si>
  <si>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</si>
  <si>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</si>
  <si>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</si>
  <si>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</si>
  <si>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</si>
  <si>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</si>
  <si>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</si>
  <si>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</si>
  <si>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</si>
  <si>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</si>
  <si>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</si>
  <si>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</si>
  <si>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</si>
  <si>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</si>
  <si>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</si>
  <si>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</si>
  <si>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</si>
  <si>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</si>
  <si>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</si>
  <si>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</si>
  <si>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</si>
  <si>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</si>
  <si>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</si>
  <si>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</si>
  <si>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</si>
  <si>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</si>
  <si>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</si>
  <si>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</si>
  <si>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</si>
  <si>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</si>
  <si>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</si>
  <si>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</si>
  <si>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</si>
  <si>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</si>
  <si>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</si>
  <si>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</si>
  <si>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</si>
  <si>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</si>
  <si>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</si>
  <si>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</si>
  <si>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</si>
  <si>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</si>
  <si>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</si>
  <si>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</si>
  <si>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</si>
  <si>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</si>
  <si>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</si>
  <si>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</si>
  <si>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</si>
  <si>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</si>
  <si>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</si>
  <si>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</si>
  <si>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</si>
  <si>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</si>
  <si>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</si>
  <si>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</si>
  <si>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</si>
  <si>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</si>
  <si>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</si>
  <si>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</si>
  <si>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</si>
  <si>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</si>
  <si>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</si>
  <si>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</si>
  <si>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</si>
  <si>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</si>
  <si>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</si>
  <si>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</si>
  <si>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</si>
  <si>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</si>
  <si>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</si>
  <si>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</si>
  <si>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</si>
  <si>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</si>
  <si>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</si>
  <si>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</si>
  <si>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</si>
  <si>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</si>
  <si>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</si>
  <si>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</si>
  <si>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</si>
  <si>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</si>
  <si>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</si>
  <si>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</si>
  <si>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</si>
  <si>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</si>
  <si>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</si>
  <si>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</si>
  <si>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</si>
  <si>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</si>
  <si>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</si>
  <si>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</si>
  <si>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</si>
  <si>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</si>
  <si>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</si>
  <si>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</si>
  <si>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</si>
  <si>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</si>
  <si>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</si>
  <si>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</si>
  <si>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</si>
  <si>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</si>
  <si>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</si>
  <si>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</si>
  <si>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</si>
  <si>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</si>
  <si>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</si>
  <si>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</si>
  <si>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</si>
  <si>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</si>
  <si>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</si>
  <si>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</si>
  <si>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</si>
  <si>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</si>
  <si>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</si>
  <si>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</si>
  <si>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</si>
  <si>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</si>
  <si>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</si>
  <si>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</si>
  <si>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</si>
  <si>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</si>
  <si>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</si>
  <si>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</si>
  <si>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</si>
  <si>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</si>
  <si>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</si>
  <si>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</si>
  <si>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</si>
  <si>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</si>
  <si>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</si>
  <si>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</si>
  <si>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</si>
  <si>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</si>
  <si>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</si>
  <si>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</si>
  <si>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</si>
  <si>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</si>
  <si>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</si>
  <si>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</si>
  <si>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</si>
  <si>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</si>
  <si>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</si>
  <si>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</si>
  <si>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</si>
  <si>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</si>
  <si>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</si>
  <si>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</si>
  <si>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</si>
  <si>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</si>
  <si>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</si>
  <si>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</si>
  <si>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</si>
  <si>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</si>
  <si>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</si>
  <si>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</si>
  <si>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</si>
  <si>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</si>
  <si>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</si>
  <si>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</si>
  <si>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</si>
  <si>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</si>
  <si>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</si>
  <si>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</si>
  <si>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</si>
  <si>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</si>
  <si>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</si>
  <si>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</si>
  <si>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</si>
  <si>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</si>
  <si>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</si>
  <si>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</si>
  <si>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</si>
  <si>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</si>
  <si>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</si>
  <si>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</si>
  <si>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</si>
  <si>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</si>
  <si>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</si>
  <si>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</si>
  <si>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</si>
  <si>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</si>
  <si>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</si>
  <si>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</si>
  <si>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</si>
  <si>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</si>
  <si>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</si>
  <si>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</si>
  <si>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</si>
  <si>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</si>
  <si>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</si>
  <si>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</si>
  <si>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</si>
  <si>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</si>
  <si>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</si>
  <si>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</si>
  <si>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</si>
  <si>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</si>
  <si>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</si>
  <si>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</si>
  <si>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</si>
  <si>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</si>
  <si>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</si>
  <si>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</si>
  <si>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</si>
  <si>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</si>
  <si>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</si>
  <si>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</si>
  <si>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</si>
  <si>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</si>
  <si>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</si>
  <si>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</si>
  <si>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</si>
  <si>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</si>
  <si>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</si>
  <si>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</si>
  <si>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</si>
  <si>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</si>
  <si>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</si>
  <si>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</si>
  <si>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</si>
  <si>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</si>
  <si>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</si>
  <si>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</si>
  <si>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</si>
  <si>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</si>
  <si>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</si>
  <si>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</si>
  <si>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</si>
  <si>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</si>
  <si>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</si>
  <si>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</si>
  <si>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</si>
  <si>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</si>
  <si>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</si>
  <si>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</si>
  <si>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</si>
  <si>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</si>
  <si>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</si>
  <si>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</si>
  <si>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</si>
  <si>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</si>
  <si>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</si>
  <si>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</si>
  <si>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</si>
  <si>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</si>
  <si>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</si>
  <si>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</si>
  <si>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</si>
  <si>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</si>
  <si>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</si>
  <si>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</si>
  <si>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</si>
  <si>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</si>
  <si>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</si>
  <si>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</si>
  <si>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</si>
  <si>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</si>
  <si>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</si>
  <si>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</si>
  <si>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</si>
  <si>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</si>
  <si>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</si>
  <si>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</si>
  <si>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</si>
  <si>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</si>
  <si>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</si>
  <si>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</si>
  <si>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</si>
  <si>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</si>
  <si>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</si>
  <si>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</si>
  <si>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</si>
  <si>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</si>
  <si>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</si>
  <si>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</si>
  <si>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</si>
  <si>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</si>
  <si>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</si>
  <si>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</si>
  <si>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</si>
  <si>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</si>
  <si>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</si>
  <si>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</si>
  <si>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</si>
  <si>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</si>
  <si>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</si>
  <si>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</si>
  <si>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</si>
  <si>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</si>
  <si>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</si>
  <si>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</si>
  <si>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</si>
  <si>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</si>
  <si>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</si>
  <si>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</si>
  <si>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</si>
  <si>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</si>
  <si>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</si>
  <si>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</si>
  <si>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</si>
  <si>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</si>
  <si>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</si>
  <si>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</si>
  <si>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</si>
  <si>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</si>
  <si>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</si>
  <si>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</si>
  <si>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</si>
  <si>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</si>
  <si>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</si>
  <si>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</si>
  <si>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</si>
  <si>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</si>
  <si>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</si>
  <si>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</si>
  <si>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</si>
  <si>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</si>
  <si>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</si>
  <si>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</si>
  <si>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</si>
  <si>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</si>
  <si>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</si>
  <si>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</si>
  <si>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</si>
  <si>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</si>
  <si>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</si>
  <si>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</si>
  <si>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</si>
  <si>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</si>
  <si>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</si>
  <si>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</si>
  <si>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</si>
  <si>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</si>
  <si>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</si>
  <si>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</si>
  <si>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</si>
  <si>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</si>
  <si>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</si>
  <si>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</si>
  <si>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</si>
  <si>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</si>
  <si>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</si>
  <si>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</si>
  <si>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</si>
  <si>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</si>
  <si>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</si>
  <si>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</si>
  <si>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</si>
  <si>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</si>
  <si>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</si>
  <si>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</si>
  <si>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</si>
  <si>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</si>
  <si>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</si>
  <si>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</si>
  <si>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</si>
  <si>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</si>
  <si>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</si>
  <si>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</si>
  <si>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</si>
  <si>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</si>
  <si>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</si>
  <si>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</si>
  <si>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</si>
  <si>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</si>
  <si>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</si>
  <si>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</si>
  <si>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</si>
  <si>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</si>
  <si>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</si>
  <si>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</si>
  <si>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</si>
  <si>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</si>
  <si>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</si>
  <si>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</si>
  <si>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</si>
  <si>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</si>
  <si>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</si>
  <si>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</si>
  <si>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</si>
  <si>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</si>
  <si>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</si>
  <si>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</si>
  <si>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</si>
  <si>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</si>
  <si>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</si>
  <si>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</si>
  <si>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</si>
  <si>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</si>
  <si>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</si>
  <si>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</si>
  <si>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</si>
  <si>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</si>
  <si>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</si>
  <si>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</si>
  <si>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</si>
  <si>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</si>
  <si>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</si>
  <si>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</si>
  <si>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</si>
  <si>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</si>
  <si>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</si>
  <si>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</si>
  <si>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</si>
  <si>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</si>
  <si>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</si>
  <si>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</si>
  <si>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</si>
  <si>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B2层</t>
    <phoneticPr fontId="134" type="noConversion"/>
  </si>
  <si>
    <t>地下夹层</t>
    <phoneticPr fontId="134" type="noConversion"/>
  </si>
  <si>
    <t>1层</t>
    <phoneticPr fontId="134" type="noConversion"/>
  </si>
  <si>
    <t>2层</t>
    <phoneticPr fontId="134" type="noConversion"/>
  </si>
  <si>
    <t>3层</t>
    <phoneticPr fontId="134" type="noConversion"/>
  </si>
  <si>
    <t>商业</t>
    <phoneticPr fontId="134" type="noConversion"/>
  </si>
  <si>
    <t>地下车库</t>
    <phoneticPr fontId="134" type="noConversion"/>
  </si>
  <si>
    <t>B1层</t>
    <phoneticPr fontId="134" type="noConversion"/>
  </si>
  <si>
    <t>地上商业</t>
    <phoneticPr fontId="134" type="noConversion"/>
  </si>
  <si>
    <t>地下商业</t>
    <phoneticPr fontId="134" type="noConversion"/>
  </si>
  <si>
    <t>地下车库</t>
    <phoneticPr fontId="134" type="noConversion"/>
  </si>
  <si>
    <t>地上</t>
  </si>
  <si>
    <t>地下</t>
  </si>
  <si>
    <t>车库—商业</t>
  </si>
  <si>
    <t>整体</t>
  </si>
  <si>
    <t>整体</t>
    <phoneticPr fontId="7" type="noConversion"/>
  </si>
  <si>
    <t>成新度</t>
  </si>
  <si>
    <t>收益法</t>
  </si>
  <si>
    <t>北京羲和雅苑餐饮有限公司</t>
  </si>
  <si>
    <t>羲和雅苑</t>
  </si>
  <si>
    <t>餐饮/中餐</t>
  </si>
  <si>
    <t>北京家乐福商业有限公司</t>
  </si>
  <si>
    <t>家乐福</t>
  </si>
  <si>
    <t>超市、百货</t>
  </si>
  <si>
    <t>家乐福停车场</t>
  </si>
  <si>
    <t>停车场</t>
  </si>
  <si>
    <t>北京炫魅光彩技术服务有限公司</t>
  </si>
  <si>
    <t>MJ造型</t>
  </si>
  <si>
    <t>美发</t>
  </si>
  <si>
    <t>艾仕依（北京）网络科技有限公司海淀餐饮部</t>
  </si>
  <si>
    <t>小炉将</t>
  </si>
  <si>
    <t>小吃</t>
  </si>
  <si>
    <t>通用磨坊贸易（上海）有限公司</t>
  </si>
  <si>
    <t>哈根达斯</t>
  </si>
  <si>
    <t>甜品</t>
  </si>
  <si>
    <t>北京星巴克咖啡有限公司</t>
  </si>
  <si>
    <t>星巴克</t>
  </si>
  <si>
    <t>饮品</t>
  </si>
  <si>
    <t>北京热啊餐饮管理有限公司</t>
  </si>
  <si>
    <t>热啊</t>
  </si>
  <si>
    <t>时尚餐</t>
  </si>
  <si>
    <t>河豚小子（北京）餐饮管理有限公司</t>
  </si>
  <si>
    <t>肆月河豚</t>
  </si>
  <si>
    <t>正餐</t>
  </si>
  <si>
    <t>北京佳味天成餐饮管理有限公司</t>
  </si>
  <si>
    <t>见味花甲</t>
  </si>
  <si>
    <t>鲜视鲜炕土豆</t>
  </si>
  <si>
    <t>芝士共合</t>
  </si>
  <si>
    <t>北京潮霸餐饮有限公司</t>
  </si>
  <si>
    <t>丝路花语之胡姬酒肆A区</t>
  </si>
  <si>
    <t>丝路花语之胡姬酒肆B区</t>
  </si>
  <si>
    <t>北京乡里香餐饮管理有限公司</t>
  </si>
  <si>
    <t>香里乡铁板</t>
  </si>
  <si>
    <t>北京你也师傅餐饮管理有限公司</t>
  </si>
  <si>
    <t>坦坦大炉韩国烤肉</t>
  </si>
  <si>
    <t>北京真功夫快餐连锁管理有限公司</t>
  </si>
  <si>
    <t>真功夫</t>
  </si>
  <si>
    <t>快餐</t>
  </si>
  <si>
    <t>北京聚百味餐饮有限公司</t>
  </si>
  <si>
    <t>阿甘赞锅盔</t>
  </si>
  <si>
    <t>北京分米鸡二号餐饮店（普通合伙）</t>
  </si>
  <si>
    <t>分米鸡肉&amp;詹姆仕芝士排骨</t>
  </si>
  <si>
    <t>北京博尔乐炸鸡有限公司</t>
  </si>
  <si>
    <t>老钱炸鸡</t>
  </si>
  <si>
    <t>汉堡王（北京）餐饮管理有限公司</t>
  </si>
  <si>
    <t>汉堡王</t>
  </si>
  <si>
    <t>北京紫福餐饮有限公司</t>
  </si>
  <si>
    <t>外婆家</t>
  </si>
  <si>
    <t>北京蜜购商贸有限公司</t>
  </si>
  <si>
    <t>听风巷</t>
  </si>
  <si>
    <t>零售</t>
  </si>
  <si>
    <t>北京原麦京一餐饮有限责任公司</t>
  </si>
  <si>
    <t>原麦山丘</t>
  </si>
  <si>
    <t>北京联郡餐饮管理有限公司</t>
  </si>
  <si>
    <t>南京大排档</t>
  </si>
  <si>
    <t>北京喆喆餐饮管理有限公司</t>
  </si>
  <si>
    <t>和府捞面</t>
  </si>
  <si>
    <t>北京谭鸭血火锅餐饮管理有限公司</t>
  </si>
  <si>
    <t>谭鸭血</t>
  </si>
  <si>
    <t>蓝蛙餐饮管理（上海）有限公司北京海淀分公司</t>
  </si>
  <si>
    <t>蓝蛙</t>
  </si>
  <si>
    <t>重庆市泰香米餐饮管理有限公司北京海淀区分公司</t>
  </si>
  <si>
    <t>泰香米</t>
  </si>
  <si>
    <t>北京米果餐饮有限公司</t>
  </si>
  <si>
    <t>文和友</t>
  </si>
  <si>
    <t>麻辣驿站（北京）餐饮管理有限公司海淀中街分公司</t>
  </si>
  <si>
    <t>桥头排骨</t>
  </si>
  <si>
    <t>北京一心向膳餐饮管理有限公司海淀第一分公司</t>
  </si>
  <si>
    <t>乐彡二荆條</t>
  </si>
  <si>
    <t>北京阁上阁餐饮管理有限公司第一分公司</t>
  </si>
  <si>
    <t>阁上阁</t>
  </si>
  <si>
    <t>张氏福（北京）餐饮管理连锁股份有限公司</t>
  </si>
  <si>
    <t>四环冷面王</t>
  </si>
  <si>
    <t>北京云泉轩餐饮有限公司</t>
  </si>
  <si>
    <t>元寳甑糕</t>
  </si>
  <si>
    <t>北京福蹄餐饮管理有限公司海淀第一分公司</t>
  </si>
  <si>
    <t>功福咖小蹄大作</t>
  </si>
  <si>
    <t>王海霞</t>
  </si>
  <si>
    <t>书亦烧仙草</t>
  </si>
  <si>
    <t>北京食宝街小熊餐饮管理有限公司</t>
  </si>
  <si>
    <t>兰熊鲜奶</t>
  </si>
  <si>
    <t>轻餐</t>
  </si>
  <si>
    <t>铭洋盛世（北京）餐饮管理有限公司第一分公司</t>
  </si>
  <si>
    <t>糖果荟水果捞</t>
  </si>
  <si>
    <t>餐饮</t>
  </si>
  <si>
    <t>高银卯</t>
  </si>
  <si>
    <t>鲜果时间</t>
  </si>
  <si>
    <t>北京森林裕餐饮管理有限公司</t>
  </si>
  <si>
    <t>西树泡芙</t>
  </si>
  <si>
    <t>王明文</t>
  </si>
  <si>
    <t>张建文</t>
  </si>
  <si>
    <t>醉面</t>
  </si>
  <si>
    <t>于维阳</t>
  </si>
  <si>
    <t>嘉蜜拉的泰茶</t>
  </si>
  <si>
    <t>马策</t>
  </si>
  <si>
    <t>阿婆牛杂</t>
  </si>
  <si>
    <t>三品黑鸭</t>
  </si>
  <si>
    <t>张世明</t>
  </si>
  <si>
    <t>福前</t>
  </si>
  <si>
    <t>孙健凯</t>
  </si>
  <si>
    <t>廖记棒棒鸡</t>
  </si>
  <si>
    <t>薪栗记</t>
  </si>
  <si>
    <t>御祥腾达（北京）餐饮服务有限公司</t>
  </si>
  <si>
    <t>甲骨纹</t>
  </si>
  <si>
    <t>田老师红烧肉</t>
  </si>
  <si>
    <t>于晓楠</t>
  </si>
  <si>
    <t>辣卤世家</t>
  </si>
  <si>
    <t>鱼鱿天下</t>
  </si>
  <si>
    <t>北京四喜丸子餐饮管理有限公司</t>
  </si>
  <si>
    <t>最喜酿皮</t>
  </si>
  <si>
    <t>比呐食虾滑</t>
  </si>
  <si>
    <t>北京楚肴汉宴餐饮服务有限公司</t>
  </si>
  <si>
    <t>楚味传奇</t>
  </si>
  <si>
    <t>西四包子铺</t>
  </si>
  <si>
    <t>吕悦</t>
  </si>
  <si>
    <t>探湘荟</t>
  </si>
  <si>
    <t>不二羊排</t>
  </si>
  <si>
    <t>刘广</t>
  </si>
  <si>
    <t>皖佬板安徽牛肉板面</t>
  </si>
  <si>
    <t>黑泷太郞+座位区</t>
  </si>
  <si>
    <t>北京椒图餐饮管理有限公司</t>
  </si>
  <si>
    <t>古槐街马武胡辣汤</t>
  </si>
  <si>
    <t>权味</t>
  </si>
  <si>
    <t>北京七田世家餐饮管理有限公司</t>
  </si>
  <si>
    <t>小七家的</t>
  </si>
  <si>
    <t>童陈记冷串串</t>
  </si>
  <si>
    <t>丁祖政</t>
  </si>
  <si>
    <t>尚方寸</t>
  </si>
  <si>
    <t>黑色经典</t>
  </si>
  <si>
    <t>北京野人牧坊餐饮管理有限公司</t>
  </si>
  <si>
    <t>野人牧坊</t>
  </si>
  <si>
    <t>地道儿</t>
  </si>
  <si>
    <t>北京探清水河餐饮管理有限公司</t>
  </si>
  <si>
    <t>探清水河</t>
  </si>
  <si>
    <t>窑啊窑窑炉烧烤</t>
  </si>
  <si>
    <t>北京熠燊管理咨询有限公司</t>
  </si>
  <si>
    <t>吉姆大师傅</t>
  </si>
  <si>
    <t>饼不同</t>
  </si>
  <si>
    <t>糕点</t>
  </si>
  <si>
    <t>功福咖小蹄大作2</t>
  </si>
  <si>
    <t>独鸡汤煎粉</t>
  </si>
  <si>
    <t>薛彩霞</t>
  </si>
  <si>
    <t>鱿多多</t>
  </si>
  <si>
    <t>咖喱虎</t>
  </si>
  <si>
    <t>郜广明</t>
  </si>
  <si>
    <t>醉爱椒麻辣烫</t>
  </si>
  <si>
    <t>喵小洛、秀色相拌、椰香甘蔗</t>
  </si>
  <si>
    <t>伍贰捌（北京）科技有限公司</t>
  </si>
  <si>
    <t>初春四季</t>
  </si>
  <si>
    <t>集渔泰式火锅</t>
  </si>
  <si>
    <t>北京不倒翁餐饮服务有限责任公司</t>
  </si>
  <si>
    <t>喜掌勺</t>
  </si>
  <si>
    <t>麻状元</t>
  </si>
  <si>
    <t>北京好好品味商贸有限公司</t>
  </si>
  <si>
    <t>台峡</t>
  </si>
  <si>
    <t>七爷</t>
  </si>
  <si>
    <t>李冶</t>
  </si>
  <si>
    <t>茶百道</t>
  </si>
  <si>
    <t>COCO+嫣然花店+霹雳蛋蛋</t>
  </si>
  <si>
    <t>水吧</t>
  </si>
  <si>
    <t>北京联森餐饮管理有限公司</t>
  </si>
  <si>
    <t>烤排场</t>
  </si>
  <si>
    <t>原裴占军+老虎堂</t>
  </si>
  <si>
    <t>王唯唯</t>
  </si>
  <si>
    <t>双美</t>
  </si>
  <si>
    <t>滑轮烤面筋公社</t>
  </si>
  <si>
    <t>北京椒麻王科贸有限公司</t>
  </si>
  <si>
    <t>偶遇楼兰</t>
  </si>
  <si>
    <t>小心虾滑</t>
  </si>
  <si>
    <t>北京九牛烤肉有限公司海淀分公司</t>
  </si>
  <si>
    <t>九牛</t>
  </si>
  <si>
    <t>鹿港小镇</t>
  </si>
  <si>
    <t>袁怀芳</t>
  </si>
  <si>
    <t>虎坊桥胡同大虾</t>
  </si>
  <si>
    <t>苗乡楼部分</t>
  </si>
  <si>
    <t>北京明荣知味餐饮服务有限公司</t>
  </si>
  <si>
    <t>郜大妈</t>
  </si>
  <si>
    <t>喜多方</t>
  </si>
  <si>
    <t>李晓刚</t>
  </si>
  <si>
    <t>妙野</t>
  </si>
  <si>
    <t>同盛轩烤肉</t>
  </si>
  <si>
    <t>小锅涮涮锅</t>
  </si>
  <si>
    <t>哈立德部分</t>
  </si>
  <si>
    <t>久久丫/玩儿串串/杜式酸辣粉</t>
  </si>
  <si>
    <t>711</t>
  </si>
  <si>
    <t>阿芮烤鸡爪</t>
  </si>
  <si>
    <t>爆浆豆腐</t>
  </si>
  <si>
    <t>阿单串串</t>
  </si>
  <si>
    <t>球球奶</t>
  </si>
  <si>
    <t>正新鸡排</t>
  </si>
  <si>
    <t>食悦飨</t>
  </si>
  <si>
    <t>粉兔果奶\亲爱的锅包YOU</t>
  </si>
  <si>
    <t>666铁板鸭肠、小弄堂饭团</t>
  </si>
  <si>
    <t>弹丸滋地+23.3空置、讨喜烧</t>
  </si>
  <si>
    <t>西北馍王、牛吉</t>
  </si>
  <si>
    <t>功夫大盘鸡</t>
  </si>
  <si>
    <t>Mr.Pizza</t>
  </si>
  <si>
    <t>科乐美</t>
  </si>
  <si>
    <t>热热热干面+串香阁</t>
  </si>
  <si>
    <t>慧聪书院</t>
  </si>
  <si>
    <t>鲤鱼珍捷信牛奶甜品世家</t>
  </si>
  <si>
    <t>鲜视鲜肉蟹煲</t>
  </si>
  <si>
    <t>桃园眷村+黑袍2区+尖果儿+虾米虾面/啤酒 屋</t>
  </si>
  <si>
    <t>福五卷馍</t>
  </si>
  <si>
    <t>爸爸糖手工土司</t>
  </si>
  <si>
    <t>芒果很黄、想我吗</t>
  </si>
  <si>
    <t>焗九饼町</t>
  </si>
  <si>
    <t>凝小杰</t>
  </si>
  <si>
    <t>哈立德</t>
  </si>
  <si>
    <t>抖茶</t>
  </si>
  <si>
    <t>靖公主豌杂酸辣粉</t>
  </si>
  <si>
    <t>无敌家部分</t>
  </si>
  <si>
    <t>窑啊窑</t>
  </si>
  <si>
    <t>电台巷</t>
  </si>
  <si>
    <t>青出抹茶</t>
  </si>
  <si>
    <t>無邪</t>
  </si>
  <si>
    <t>茶太良品</t>
  </si>
  <si>
    <t>2018.06.01~2021.05.31 (15)</t>
  </si>
  <si>
    <t>2019.12.24~2020.11.30 (12) 12%
2020.12.1~2021.3.31 (12) 12%
2021.4.1起至不定期 （12）12%</t>
  </si>
  <si>
    <t>2020.01.01~2020.11.30（45）19%  
2020.12.1~2021.3.31 （45） 19%
2021.4.1-2022.2.28（45）20%
2022.3.1-2022.4.30（45）20%</t>
  </si>
  <si>
    <t>2017.2.13~2017.4.7无租金
2017.04.08~2020.02.12 (12.5 ) 18% 
2020.02.13~2022.02.12 （14） 18%</t>
  </si>
  <si>
    <t>一、第1-2年 2017-04-01~2019-03-31 （16）2920000元/年  730000元/季度
二、第3-4年2019-04-01~2021-03-31（17）3102500元/年 775625/季度 
三、第5年开始，每三年递增年租金的5% ，即
第5-7年2021-04-01~2024-03-31 （17.85）3257625元/年 814406.25元/季度
四、第8-10年2024-04-01~2027-03-31（18.74）3420056.25元/年 855014.06元/季度
五、第11-12年2027-04-01~2029-03-31（19.679）3591531.56/年 897882.89/季 
销售额提成：第一年~第五年 10% 
第六年~第十年 11%
 第十一年~第十二年 12%</t>
  </si>
  <si>
    <t>2017.02.10~2020.02.29（13）10%
2020.03.01~2020.4.30（13.65）11% 
2020.5.1~2020.12.31 （8.19）11%
2021.1.1~2021.3.31 （9.56）11%
2021.4.1至不定期(13.65)11%</t>
  </si>
  <si>
    <t>2016.12.24-2017.12.23（18）13%  2017.12.24-2018.12.23（30）18% 
2018.12.24-2019.12.23（30）19%
2019.12.24~2020.04.30（55）18% 
2020.5.1-2020.12.31 （45）18%
2021.3.1-2022.2.28 （40）18%</t>
  </si>
  <si>
    <t>2019.12.24~2020.04.30（80）18%
2020.05.01~2020.12.31（60）18%
2021.3.1-2022.2.28（40）18%</t>
  </si>
  <si>
    <t>2018.08.02~2021.03.31（10）10%
2021.4.1-2022.2.28（10）11%</t>
  </si>
  <si>
    <t>2020.7.1-2021.3.31（12.5)
2021.4.1-2022.2.28 (10)</t>
  </si>
  <si>
    <t>2020.01.01~2020.04.30（50）15%
2020.05.01~2021.03.31（40）15%
2021.4.1-2022.2.28 （35）15%</t>
  </si>
  <si>
    <t>2016-12-30~2018-12-29（10）12% 
2018-12-30~2020-12-29（11.08）13%   
2020-12-30~2021-12-29（12.16）14%
优惠：2021.1.1-3.31每月减免45000元
2021.12.30-2022.9.30 （11.9）9%</t>
  </si>
  <si>
    <t>2016-12-30~2017-12-29 (10) 12%
2017-12-30~2019-12-29 (10.7)13% 
2019-12-30~2021-12-29 (11.45) 14%
优惠后：2020.5.1-2020.12.31（9.16）14%
2021.12.30-2022.3.31：（4.3）0%</t>
  </si>
  <si>
    <t>2018-12-24~2020-12-23（30）18%
2020-12-24~2021-3-31 （80）18%
2021.4.1-2022.2.28 （80）18%</t>
  </si>
  <si>
    <t>2020.01.11~2020.11.30 （20）15%
2020.12.1~2021.3.31 (20) 15%
2021.4.1-2022.2.28（15）15%</t>
  </si>
  <si>
    <t>2019.12.24~2020.11.30 （80）19%
2020.12.1-2021.3.31 （80）19%
2021.4.1-2022.2.28（60）19%</t>
  </si>
  <si>
    <t>2016.12.15-2017.3.14无固定租金
2017.3.15-2017.4.14经营免租期 但支付物业费2017.4.15-2019.4.14（10）10% 
2019.4.15-2020.4.14（10.8） 10% 
2020.4.15-2021.4.14（10.8）11% 
2021.4.15-2023.4.14（11.66）11% 
2023.4.15-2025.4.14（12.59）12% 
2025.4.15-2027.3.14（13.6）12%</t>
  </si>
  <si>
    <t>2017.1.24-2019.1.23（5.05） 6% 
2019.1.24-2021.1.23 （5.48） 6% 
2021.1.24-2023.1.23（5.93） 6%</t>
  </si>
  <si>
    <t>2016.11.16-2016.12.15无固定租金 
2016.12.16-2017.11.15 （8）10% 
2018.2.4-2018.12.23（10）10% 
2018.12.16-2018.12.23退出46.6 
2018.12.24-2020.12.23（10）10%面积变更为46.6
2020.12.24-2021.3.31（10）12%
2021.4.1-2022.2.28 （10）12%</t>
  </si>
  <si>
    <t>2016.10.20-2017.1.19无固定租金
2017.1.20-2018.10.19（23）9%  
2018.10.20-2019.10.19（23） 10% 2019.10.20-2020.10.19（24.15）10% 2020.10.20-2021.10.19（24.15）11%
（优惠：2020.5.1-2020.12.31：19.32
2021.1.1-2021.10.19：24.15）
2021.10.20-2022.2.28：24.15+76.05
2022.3.1-2022.9.30：24.15+76.05</t>
  </si>
  <si>
    <t xml:space="preserve">2016.11.10-2017.8.9无固定租金 
2017.8.10-2019.11.9（2.45）10%  
2019.11.10-2022.11.9 （3.42）11% </t>
  </si>
  <si>
    <t>2016.12.15-2018.12.14 (13)7% 
2018.12.15-2020.12.14(14.04)8% 
2020.12.15-2021.12.14(15.16)9%
优惠后：2020.5.1-2020.12.14 （8.42）8%
2020.12.15-2020.12.31（9.1）8%
新合同：2021.12.15-2022.5.31（15.16）9%</t>
  </si>
  <si>
    <t>2017.2.6-2017.10.15无固定租金
2017.6.6-2017.10.15免除物业费企业管理费
2017.10.16-2018.11.20（8）10% 
2018.11.21-2019.2.5无固定租金 
2019.2.6-2021.2.5（9） 11% 
2021.2.6-2023.2.5 （10）12% 
优惠后：
2020.5.1-2020.12.31 （6.3）11%
2021.1.1-2021.2.5 （9）11%
2021.2.6-2023.2.5 （10）11%</t>
  </si>
  <si>
    <t xml:space="preserve">2017.3.15-2017.6.14 免固定租金
2017.6.15-2018.6.14 （9.41）10%
2018.6.15-2019.6.14（9.41）10% 
2019.6.15-2020.6.14（10.03）10% 
2020.6.15-2021.6.14（10.66）10%
2021.6.15-2022.6.14（11.97）10%
2022.6.15-2023.6.14（12.54）10% </t>
  </si>
  <si>
    <t xml:space="preserve">2017.4.10-2017.10.10无租金 
2017.10.11-2019.4.9（8）11%
2019.4.10-2020.4.30（9）12%   
2020.5.1-2020.12.31（4.5）18%
2021.1.1-2021.4.9 (6.3)18%
2021.4.10-2021.12.31（7）18%
2022.1.1-2022.4.9(10)13% </t>
  </si>
  <si>
    <t>2017.12.24-2018.1.13无固定租金
开业日2018.1.13改为2018.2.2  
2018.2.3-2018.12.23（30）18% 
2018.12.24-2019.6.23（30）19%
2019.6.24~2020.06.23 （85）20%
2020.6.24~2021.03.31 （47.5）20%
2021.4.1-2022.2.28（47.5）20%</t>
  </si>
  <si>
    <t>装修期 2017.12.26-2018.1.14无固定租金
2018.1.15-2018.12.23（30）18% 
2018.12.24-2019.6.23（30）19%
2019.06.24~2020.06.23 （80）20%
2020.6.24-2021.3.31 （50）20%
2021.4.1-2022.2.28 （50）18%</t>
  </si>
  <si>
    <t>装修期 2017.12.24-2018.1.13 无固定租金
2018.1.14-2018.12.23（23）18%
2018.12.24-2019.6.23（30）19%
2019.06.24~2020.06.23 （70）20%
2020.6.24-2021.3.31 （42.5）20%
2021.4.1-2022.2.28 （42.5） 20%</t>
  </si>
  <si>
    <t>2018.1.8-2018.1.27无固定租金 
2018.1.28-2019.1.7 （30）15% 
2019.1.8-2019.7.7（30）19%
2019.07.08~2020.07.07 (80) 2020.07.08~2021.3.31 (47.5) 20%
2021.4.1-2022.2.28 （47.5）20%
2022.3.1-2022.9.30 （47.5）20%</t>
  </si>
  <si>
    <t>2016.12.24-2017.12.23（18） 
2017.12.24-2018.6.23（30）18%  
2018.6.24-2018.11.30（30）19%
2018.12.1-2019.5.31（30）20% 
2019.6.1-2020.5.31 (75)21%
2020.6.1-2021.3.31 (52.5)21%
2021.4.1-2022.2.28 （50）21%</t>
  </si>
  <si>
    <t>2019.07.01~2020.06.30 (80) 20%
2020.07.01~2021.3.31 (80) 20%
2021.4.1-2022.2.28 （50） 20%</t>
  </si>
  <si>
    <t>2019.06.24~2020.06.23 (80) 20%
2020.6.24-2021.3.31 （80）20%
2021.4.1-2022.2.28 （40）20%</t>
  </si>
  <si>
    <t>2019.12.06~2020.11.05 (70) 20%
2020.11.6~2021.3.31 （45）20%
2021.4.1-2022.2.28（40）20%</t>
  </si>
  <si>
    <t>2020.07.28~2021.3.31(47.50) 15%
2021.4.1-2021.9.30 （47.50) 15%
2021.10.1-2022.5.31（35）15%</t>
  </si>
  <si>
    <t>2019.12.15~2020.11.14 (80) 20%
2020.11.15~2021.3.31 （60） 20%
2021.4.1-2022.2.28 （60）20%</t>
  </si>
  <si>
    <t>2020.10.1-2021.3.31（40）15%
2021.4.1-2022.2.28（30）15%</t>
  </si>
  <si>
    <t>2020.07.23~2021.3.31 (90) 19%
2021.4.1-2022.2.28（60）19%</t>
  </si>
  <si>
    <t>2020.9.15-2021.3.31（10）12%
2021.4.1-不定期（10）12%</t>
  </si>
  <si>
    <t>2020.9.1-2021.3.31 （10）15%
2021.4.1-2022.2.28 （10）15%</t>
  </si>
  <si>
    <t>2020.11.19-2021.3.31 （60） 20%
2021.4.1-2022.2.28（60）20%</t>
  </si>
  <si>
    <t>2021.5.1-2022.2.28（45）20%</t>
  </si>
  <si>
    <t>2021.2.25-2021.6.30（55）20%
2021.7.1-2022.2.28（55）20%</t>
  </si>
  <si>
    <t>2021.3.21-2022.2.28（50）20%</t>
  </si>
  <si>
    <t>2021.4.16-2021.12.31（7.5）20%
2022.1.1-2022.5.31（3.5）20%</t>
  </si>
  <si>
    <t>2021.4.15-2022.2.28（47.5）20%</t>
  </si>
  <si>
    <t>2021.4.19-2022.2.28 （47.50)20%</t>
  </si>
  <si>
    <t>2021.5.1-2022.2.28 （15.5）20%
2022.3.1-2022.9.30 （15.5）20%</t>
  </si>
  <si>
    <t>2021.4.20-2022.2.28（50）20%</t>
  </si>
  <si>
    <t>2021.5.1-2022.2.28（45）20%
2022.3.1-2022.4.30（33）20%</t>
  </si>
  <si>
    <t>2021.5.1-2022.2.28（8.5）20%</t>
  </si>
  <si>
    <t>2021.4.22-2022.2.28（52.5）20%
2022.3.1-2022.9.30 （36）20%</t>
  </si>
  <si>
    <t>2021.5.7-2022.2.28（50）20%</t>
  </si>
  <si>
    <t>2021.4.22-2022.2.28（52.5）20%</t>
  </si>
  <si>
    <t>2021.4.28-2022.2.28 (6.5)15%</t>
  </si>
  <si>
    <t>2021.5.16-2022.2.28 （48.50）20%</t>
  </si>
  <si>
    <t>2021.4.15-2022.2.28 （40）20%</t>
  </si>
  <si>
    <t>2021.6.25-2022.2.28 （50）20%</t>
  </si>
  <si>
    <t>2021.6.15-2022.2.28 （10） 20%</t>
  </si>
  <si>
    <t>2021.6.25-2022.2.28（3.5) 13%</t>
  </si>
  <si>
    <t>2021.8.15-2022.2.28 （7.5）15%</t>
  </si>
  <si>
    <t>2021.8.1-2022.2.28 （7.5）20%</t>
  </si>
  <si>
    <t>2021.9.15-2022.2.28 （27.5）20%</t>
  </si>
  <si>
    <t>2021.8.15-2022.2.28 （40）20%</t>
  </si>
  <si>
    <t>2021.9.1-2022.2.28 （47.50）20%</t>
  </si>
  <si>
    <t>租金及提点</t>
    <phoneticPr fontId="134" type="noConversion"/>
  </si>
  <si>
    <t>起始日</t>
    <phoneticPr fontId="134" type="noConversion"/>
  </si>
  <si>
    <t>终止日</t>
    <phoneticPr fontId="134" type="noConversion"/>
  </si>
  <si>
    <r>
      <t xml:space="preserve">2017.2.15~2018.2.14 （9）11%
2018.2.15~2019.2.14（10） 11%
2019.2.15~2021.2.14（11）12%
2021.2.15~2022.2.14（12） 13% 2022.2.15~2023.2.14（13）13%
</t>
    </r>
    <r>
      <rPr>
        <sz val="10"/>
        <color rgb="FFFF0000"/>
        <rFont val="楷体"/>
        <family val="3"/>
        <charset val="134"/>
      </rPr>
      <t>优惠：2020.5.1-2020.12.31 (7.7)</t>
    </r>
  </si>
  <si>
    <r>
      <t>M</t>
    </r>
    <r>
      <rPr>
        <vertAlign val="superscript"/>
        <sz val="10"/>
        <rFont val="楷体"/>
        <family val="3"/>
        <charset val="134"/>
      </rPr>
      <t>2</t>
    </r>
    <r>
      <rPr>
        <sz val="10"/>
        <rFont val="楷体"/>
        <family val="3"/>
        <charset val="134"/>
      </rPr>
      <t>LAB造型</t>
    </r>
  </si>
  <si>
    <t>2004.2.8-2005.2.7 (0.22)
2005.2.8-2006.2.7(0.22)
2006.2.8-2007.2.7(0.26)
2007.2.8-2024.2.7(0.29)</t>
    <phoneticPr fontId="134" type="noConversion"/>
  </si>
  <si>
    <t xml:space="preserve">
2023.2.8-2024.2.7 47884807.1/年（4.01）</t>
    <phoneticPr fontId="134" type="noConversion"/>
  </si>
  <si>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</si>
  <si>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</si>
  <si>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</si>
  <si>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</si>
  <si>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</si>
  <si>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</si>
  <si>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</si>
  <si>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</si>
  <si>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</si>
  <si>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</si>
  <si>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</si>
  <si>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</si>
  <si>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</si>
  <si>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</si>
  <si>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</si>
  <si>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</si>
  <si>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</si>
  <si>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</si>
  <si>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</si>
  <si>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</si>
  <si>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</si>
  <si>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成本</t>
    <phoneticPr fontId="134" type="noConversion"/>
  </si>
  <si>
    <t>收益</t>
    <phoneticPr fontId="134" type="noConversion"/>
  </si>
  <si>
    <t>B1</t>
    <phoneticPr fontId="3" type="noConversion"/>
  </si>
  <si>
    <t>地下夹层</t>
    <phoneticPr fontId="3" type="noConversion"/>
  </si>
  <si>
    <t>B2</t>
    <phoneticPr fontId="3" type="noConversion"/>
  </si>
  <si>
    <t>面积</t>
    <phoneticPr fontId="3" type="noConversion"/>
  </si>
  <si>
    <t>楼层系数</t>
    <phoneticPr fontId="3" type="noConversion"/>
  </si>
  <si>
    <t>租金</t>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</si>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</sst>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_ "/>
    <numFmt numFmtId="198" formatCode="#,##0.00_ "/>
    <numFmt numFmtId="199" formatCode="_ * #,##0.0_ ;_ * \-#,##0.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name val="楷体"/>
      <family val="3"/>
      <charset val="134"/>
    </font>
    <font>
      <b/>
      <sz val="10"/>
      <name val="楷体"/>
      <family val="3"/>
      <charset val="134"/>
    </font>
    <font>
      <vertAlign val="superscript"/>
      <sz val="10"/>
      <name val="楷体"/>
      <family val="3"/>
      <charset val="134"/>
    </font>
    <font>
      <b/>
      <sz val="9"/>
      <name val="宋体"/>
      <family val="3"/>
      <charset val="134"/>
    </font>
    <font>
      <sz val="10"/>
      <color rgb="FFFF0000"/>
      <name val="楷体"/>
      <family val="3"/>
      <charset val="134"/>
    </font>
    <font>
      <sz val="10"/>
      <color theme="1"/>
      <name val="楷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5" tint="0.79995117038483843"/>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0" fontId="107" fillId="0" borderId="0" xfId="0" applyFont="1" applyFill="1" applyBorder="1">
      <alignment vertical="center"/>
    </xf>
    <xf numFmtId="0" fontId="270" fillId="22" borderId="1" xfId="2" applyNumberFormat="1" applyFont="1" applyFill="1" applyBorder="1" applyAlignment="1">
      <alignment horizontal="left" vertical="center"/>
    </xf>
    <xf numFmtId="0" fontId="270" fillId="22" borderId="1" xfId="2" applyNumberFormat="1" applyFont="1" applyFill="1" applyBorder="1" applyAlignment="1">
      <alignment horizontal="center" vertical="center"/>
    </xf>
    <xf numFmtId="197" fontId="270" fillId="22" borderId="1" xfId="2" applyNumberFormat="1" applyFont="1" applyFill="1" applyBorder="1" applyAlignment="1">
      <alignment horizontal="center" vertical="center"/>
    </xf>
    <xf numFmtId="0" fontId="271" fillId="23" borderId="1" xfId="2" applyNumberFormat="1" applyFont="1" applyFill="1" applyBorder="1" applyAlignment="1">
      <alignment horizontal="left" vertical="center"/>
    </xf>
    <xf numFmtId="0" fontId="271" fillId="23" borderId="1" xfId="2" applyNumberFormat="1" applyFont="1" applyFill="1" applyBorder="1" applyAlignment="1">
      <alignment horizontal="center" vertical="center"/>
    </xf>
    <xf numFmtId="197" fontId="271" fillId="23" borderId="1" xfId="2" applyNumberFormat="1" applyFont="1" applyFill="1" applyBorder="1" applyAlignment="1">
      <alignment horizontal="center" vertical="center"/>
    </xf>
    <xf numFmtId="0" fontId="270" fillId="23" borderId="1" xfId="2" applyNumberFormat="1" applyFont="1" applyFill="1" applyBorder="1" applyAlignment="1">
      <alignment horizontal="left" vertical="center"/>
    </xf>
    <xf numFmtId="0" fontId="270" fillId="23" borderId="1" xfId="2" applyNumberFormat="1" applyFont="1" applyFill="1" applyBorder="1" applyAlignment="1">
      <alignment horizontal="center" vertical="center"/>
    </xf>
    <xf numFmtId="197" fontId="270" fillId="23" borderId="1" xfId="2" applyNumberFormat="1" applyFont="1" applyFill="1" applyBorder="1" applyAlignment="1">
      <alignment horizontal="center" vertical="center"/>
    </xf>
    <xf numFmtId="0" fontId="270" fillId="0" borderId="1" xfId="2" applyNumberFormat="1" applyFont="1" applyFill="1" applyBorder="1" applyAlignment="1">
      <alignment horizontal="left" vertical="center"/>
    </xf>
    <xf numFmtId="0" fontId="270" fillId="0" borderId="1" xfId="2" applyNumberFormat="1" applyFont="1" applyFill="1" applyBorder="1" applyAlignment="1">
      <alignment horizontal="center" vertical="center"/>
    </xf>
    <xf numFmtId="198" fontId="270" fillId="0" borderId="1" xfId="2" applyNumberFormat="1" applyFont="1" applyFill="1" applyBorder="1" applyAlignment="1">
      <alignment horizontal="center" vertical="center"/>
    </xf>
    <xf numFmtId="0" fontId="270" fillId="5" borderId="1" xfId="2" applyNumberFormat="1" applyFont="1" applyFill="1" applyBorder="1" applyAlignment="1">
      <alignment horizontal="center" vertical="center"/>
    </xf>
    <xf numFmtId="0" fontId="270" fillId="5" borderId="1" xfId="2" applyNumberFormat="1" applyFont="1" applyFill="1" applyBorder="1" applyAlignment="1">
      <alignment horizontal="left" vertical="center"/>
    </xf>
    <xf numFmtId="198" fontId="270" fillId="5" borderId="1" xfId="2" applyNumberFormat="1" applyFont="1" applyFill="1" applyBorder="1" applyAlignment="1">
      <alignment horizontal="center" vertical="center"/>
    </xf>
    <xf numFmtId="0" fontId="270" fillId="0" borderId="1" xfId="2" quotePrefix="1" applyNumberFormat="1" applyFont="1" applyFill="1" applyBorder="1" applyAlignment="1">
      <alignment horizontal="center" vertical="center"/>
    </xf>
    <xf numFmtId="0" fontId="270" fillId="0" borderId="1" xfId="2" applyFont="1" applyFill="1" applyBorder="1" applyAlignment="1">
      <alignment horizontal="center" vertical="center"/>
    </xf>
    <xf numFmtId="0" fontId="271" fillId="0" borderId="1" xfId="2" applyNumberFormat="1" applyFont="1" applyBorder="1" applyAlignment="1">
      <alignment horizontal="left" vertical="center"/>
    </xf>
    <xf numFmtId="0" fontId="271" fillId="0" borderId="1" xfId="2" applyNumberFormat="1" applyFont="1" applyBorder="1" applyAlignment="1">
      <alignment horizontal="center" vertical="center"/>
    </xf>
    <xf numFmtId="198" fontId="271" fillId="0" borderId="1" xfId="2" applyNumberFormat="1" applyFont="1" applyBorder="1" applyAlignment="1">
      <alignment horizontal="center" vertical="center"/>
    </xf>
    <xf numFmtId="199" fontId="270" fillId="22" borderId="1" xfId="19" applyNumberFormat="1" applyFont="1" applyFill="1" applyBorder="1" applyAlignment="1">
      <alignment horizontal="left" vertical="center" wrapText="1"/>
    </xf>
    <xf numFmtId="14" fontId="270" fillId="22" borderId="1" xfId="2" applyNumberFormat="1" applyFont="1" applyFill="1" applyBorder="1" applyAlignment="1">
      <alignment horizontal="center" vertical="center"/>
    </xf>
    <xf numFmtId="199" fontId="271" fillId="23" borderId="1" xfId="19" applyNumberFormat="1" applyFont="1" applyFill="1" applyBorder="1" applyAlignment="1">
      <alignment horizontal="left" vertical="center" wrapText="1"/>
    </xf>
    <xf numFmtId="14" fontId="271" fillId="23" borderId="1" xfId="2" applyNumberFormat="1" applyFont="1" applyFill="1" applyBorder="1" applyAlignment="1">
      <alignment horizontal="center" vertical="center"/>
    </xf>
    <xf numFmtId="199" fontId="270" fillId="23" borderId="1" xfId="19" applyNumberFormat="1" applyFont="1" applyFill="1" applyBorder="1" applyAlignment="1">
      <alignment horizontal="left" vertical="center" wrapText="1"/>
    </xf>
    <xf numFmtId="14" fontId="270" fillId="23" borderId="1" xfId="2" applyNumberFormat="1" applyFont="1" applyFill="1" applyBorder="1" applyAlignment="1">
      <alignment horizontal="center" vertical="center"/>
    </xf>
    <xf numFmtId="14" fontId="270" fillId="24" borderId="1" xfId="2" applyNumberFormat="1" applyFont="1" applyFill="1" applyBorder="1" applyAlignment="1">
      <alignment horizontal="center" vertical="center"/>
    </xf>
    <xf numFmtId="199" fontId="270" fillId="0" borderId="1" xfId="19" applyNumberFormat="1" applyFont="1" applyFill="1" applyBorder="1" applyAlignment="1">
      <alignment horizontal="left" vertical="center" wrapText="1"/>
    </xf>
    <xf numFmtId="14" fontId="270" fillId="0" borderId="1" xfId="2" applyNumberFormat="1" applyFont="1" applyFill="1" applyBorder="1" applyAlignment="1">
      <alignment horizontal="center" vertical="center"/>
    </xf>
    <xf numFmtId="14" fontId="270" fillId="25" borderId="1" xfId="2" applyNumberFormat="1" applyFont="1" applyFill="1" applyBorder="1" applyAlignment="1">
      <alignment horizontal="center" vertical="center"/>
    </xf>
    <xf numFmtId="194" fontId="270" fillId="0" borderId="1" xfId="2" applyNumberFormat="1" applyFont="1" applyFill="1" applyBorder="1" applyAlignment="1">
      <alignment horizontal="center" vertical="center"/>
    </xf>
    <xf numFmtId="0" fontId="275" fillId="0" borderId="1" xfId="0" applyFont="1" applyFill="1" applyBorder="1" applyAlignment="1">
      <alignment horizontal="center" vertical="center"/>
    </xf>
    <xf numFmtId="0" fontId="275" fillId="0" borderId="1" xfId="0" applyFont="1" applyFill="1" applyBorder="1">
      <alignment vertical="center"/>
    </xf>
    <xf numFmtId="0" fontId="77" fillId="12" borderId="0" xfId="0" applyFont="1" applyFill="1" applyAlignment="1" applyProtection="1">
      <alignment vertical="center"/>
      <protection locked="0"/>
    </xf>
    <xf numFmtId="198" fontId="107" fillId="0" borderId="0" xfId="0" applyNumberFormat="1" applyFo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估价对象为北京市房地产，为所有。根据《国有土地使用证》[]，估价对象（分摊）出让国有建设用地使用权面积为35234.24平方米，建筑面积为68134.5平方米。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估价对象为北京市房地产,属开发建设的，该项目尚在开发建设中。根据《国有土地使用证》[]，估价对象（分摊）出让国有建设用地使用权面积为35234.24平方米，规划建筑面积为68134.5平方米。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305443</v>
      </c>
    </row>
    <row r="21" spans="1:2" s="1203" customFormat="1">
      <c r="A21" s="1201" t="s">
        <v>537</v>
      </c>
      <c r="B21" s="1202">
        <f ca="1">'预评函-2'!D7</f>
        <v>44829</v>
      </c>
    </row>
    <row r="22" spans="1:2" s="1203" customFormat="1">
      <c r="A22" s="1201" t="s">
        <v>538</v>
      </c>
      <c r="B22" s="1202" t="str">
        <f ca="1">'预评函-2'!D6</f>
        <v>叁拾亿伍仟肆佰肆拾叁万元整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305443</v>
      </c>
    </row>
    <row r="31" spans="1:2" s="1203" customFormat="1">
      <c r="A31" s="1201" t="s">
        <v>576</v>
      </c>
      <c r="B31" s="1202">
        <f ca="1">'预评函-2'!D15</f>
        <v>44829</v>
      </c>
    </row>
    <row r="32" spans="1:2" s="1203" customFormat="1">
      <c r="A32" s="1201" t="s">
        <v>543</v>
      </c>
      <c r="B32" s="1202" t="str">
        <f ca="1">'预评函-2'!D14</f>
        <v>叁拾亿伍仟肆佰肆拾叁万元整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68134.5</v>
      </c>
    </row>
    <row r="44" spans="1:2" s="1203" customFormat="1">
      <c r="A44" s="1201" t="s">
        <v>575</v>
      </c>
      <c r="B44" s="1202" t="str">
        <f>'预评函-3'!C2</f>
        <v>(分摊)土地面积</v>
      </c>
    </row>
    <row r="45" spans="1:2" s="1203" customFormat="1">
      <c r="A45" s="1201" t="s">
        <v>547</v>
      </c>
      <c r="B45" s="1202">
        <f>'预评函-3'!C4</f>
        <v>35234.239999999998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45106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13.48</v>
      </c>
      <c r="D6" s="3025">
        <f>IF(ISERROR(ROUND(POWER(1+E6,A6-C6)*(POWER(1+E6,C6)-1)/(POWER(1+E6,A6)-1),3)),0,ROUND(POWER(1+E6,A6-C6)*(POWER(1+E6,C6)-1)/(POWER(1+E6,A6)-1),4))</f>
        <v>0.47789999999999999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49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52558</v>
      </c>
      <c r="E13" s="856"/>
      <c r="F13" s="856">
        <v>56211</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20.41</v>
      </c>
      <c r="E15" s="2410" t="str">
        <f>IF(A13="出让",IF(E13="","",ROUNDDOWN(MIN((E13-$D$3)/365,E14),2)),E14)</f>
        <v/>
      </c>
      <c r="F15" s="2410">
        <f>IF(A13="出让",IF(F13="","",ROUNDDOWN(MIN((F13-$D$3)/365,F14),2)),F14)</f>
        <v>30.42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68134.5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35234.239999999998</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K13" activePane="bottomRight" state="frozen"/>
      <selection activeCell="C50" sqref="C50"/>
      <selection pane="topRight" activeCell="C50" sqref="C50"/>
      <selection pane="bottomLeft" activeCell="C50" sqref="C50"/>
      <selection pane="bottomRight" activeCell="N13" sqref="N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35234.239999999998</v>
      </c>
      <c r="B3" s="11">
        <f>IF(C3="否",G5-AT5,G5)</f>
        <v>68134.5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68134.5</v>
      </c>
      <c r="H5" s="13">
        <f t="shared" ref="H5:AT5" si="0">SUM(H13:H656)</f>
        <v>68134.5</v>
      </c>
      <c r="I5" s="13">
        <f t="shared" si="0"/>
        <v>15780.14</v>
      </c>
      <c r="J5" s="13">
        <f t="shared" si="0"/>
        <v>0</v>
      </c>
      <c r="K5" s="13">
        <f t="shared" si="0"/>
        <v>33150.509999999995</v>
      </c>
      <c r="L5" s="13">
        <f t="shared" si="0"/>
        <v>0</v>
      </c>
      <c r="M5" s="13">
        <f t="shared" si="0"/>
        <v>19203.849999999999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68134.5</v>
      </c>
      <c r="BA5" s="15">
        <f t="shared" si="1"/>
        <v>68134.5</v>
      </c>
      <c r="BB5" s="15">
        <f t="shared" si="1"/>
        <v>15780.14</v>
      </c>
      <c r="BC5" s="15">
        <f t="shared" si="1"/>
        <v>33150.509999999995</v>
      </c>
      <c r="BD5" s="15">
        <f t="shared" si="1"/>
        <v>19203.849999999999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35234.240000000005</v>
      </c>
      <c r="F6" s="13" t="s">
        <v>0</v>
      </c>
      <c r="G6" s="13" t="s">
        <v>1</v>
      </c>
      <c r="H6" s="17">
        <f>SUMIF(I$12:AB$12,"总值",I6:AB6)</f>
        <v>35234.240000000005</v>
      </c>
      <c r="I6" s="13">
        <f t="shared" ref="I6:AB6" si="2">ROUND($A$3*I5/$B$3,2)</f>
        <v>8160.35</v>
      </c>
      <c r="J6" s="13">
        <f t="shared" si="2"/>
        <v>0</v>
      </c>
      <c r="K6" s="13">
        <f t="shared" si="2"/>
        <v>17143.05</v>
      </c>
      <c r="L6" s="13">
        <f t="shared" si="2"/>
        <v>0</v>
      </c>
      <c r="M6" s="13">
        <f t="shared" si="2"/>
        <v>9930.84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35234.239999999998</v>
      </c>
      <c r="AZ6" s="13" t="s">
        <v>2</v>
      </c>
      <c r="BA6" s="13">
        <f>ROUND($AY$6*BA5/$AZ$5,2)</f>
        <v>35234.239999999998</v>
      </c>
      <c r="BB6" s="13">
        <f>ROUND($AY$6*BB5/$AZ$5,2)</f>
        <v>8160.35</v>
      </c>
      <c r="BC6" s="13">
        <f t="shared" ref="BC6:BH6" si="4">ROUND($AY$6*BC5/$AZ$5,2)</f>
        <v>17143.05</v>
      </c>
      <c r="BD6" s="13">
        <f t="shared" si="4"/>
        <v>9930.84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t="s">
        <v>3395</v>
      </c>
      <c r="L9" s="809"/>
      <c r="M9" s="1603" t="s">
        <v>3395</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3396</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35234.239999999998</v>
      </c>
      <c r="F13" s="29"/>
      <c r="G13" s="30">
        <f>H13+AC13+AT13</f>
        <v>68134.5</v>
      </c>
      <c r="H13" s="17">
        <f>SUMIF(I$12:AB$12,"总值",I13:AB13)</f>
        <v>68134.5</v>
      </c>
      <c r="I13" s="1626">
        <f>面积清单!D12</f>
        <v>15780.14</v>
      </c>
      <c r="J13" s="1626"/>
      <c r="K13" s="1626">
        <f>面积清单!D13</f>
        <v>33150.509999999995</v>
      </c>
      <c r="L13" s="1626"/>
      <c r="M13" s="1626">
        <f>面积清单!D14</f>
        <v>19203.849999999999</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35234.239999999998</v>
      </c>
      <c r="AZ13" s="13">
        <f>BA13+BL13</f>
        <v>68134.5</v>
      </c>
      <c r="BA13" s="13">
        <f>SUM(BB13:BK13)</f>
        <v>68134.5</v>
      </c>
      <c r="BB13" s="13">
        <f>IF($D13="是",I13-J13,0)</f>
        <v>15780.14</v>
      </c>
      <c r="BC13" s="13">
        <f>IF($D13="是",K13-L13,0)</f>
        <v>33150.509999999995</v>
      </c>
      <c r="BD13" s="13">
        <f>IF($D13="是",M13-N13,0)</f>
        <v>19203.849999999999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14"/>
  <sheetViews>
    <sheetView workbookViewId="0">
      <selection activeCell="E5" sqref="E5"/>
    </sheetView>
  </sheetViews>
  <sheetFormatPr defaultRowHeight="13.5"/>
  <cols>
    <col min="4" max="4" width="10" customWidth="1"/>
    <col min="5" max="5" width="9.75" customWidth="1"/>
  </cols>
  <sheetData>
    <row r="3" spans="3:6">
      <c r="C3" s="3791"/>
      <c r="D3" s="3791" t="s">
        <v>2596</v>
      </c>
      <c r="E3" s="3791" t="s">
        <v>3388</v>
      </c>
      <c r="F3" s="3791" t="s">
        <v>3389</v>
      </c>
    </row>
    <row r="4" spans="3:6">
      <c r="C4" s="3791" t="s">
        <v>3383</v>
      </c>
      <c r="D4" s="3791">
        <f>E4+F4</f>
        <v>25667.82</v>
      </c>
      <c r="E4" s="3791">
        <v>19088.8</v>
      </c>
      <c r="F4" s="3791">
        <v>6579.02</v>
      </c>
    </row>
    <row r="5" spans="3:6">
      <c r="C5" s="3791" t="s">
        <v>3384</v>
      </c>
      <c r="D5" s="3791">
        <f t="shared" ref="D5:D9" si="0">E5+F5</f>
        <v>6894.2199999999993</v>
      </c>
      <c r="E5" s="3791">
        <v>283.77999999999997</v>
      </c>
      <c r="F5" s="3791">
        <v>6610.44</v>
      </c>
    </row>
    <row r="6" spans="3:6">
      <c r="C6" s="3791" t="s">
        <v>3390</v>
      </c>
      <c r="D6" s="3791">
        <f t="shared" si="0"/>
        <v>19792.32</v>
      </c>
      <c r="E6" s="3791">
        <v>13777.93</v>
      </c>
      <c r="F6" s="3791">
        <v>6014.39</v>
      </c>
    </row>
    <row r="7" spans="3:6">
      <c r="C7" s="3791" t="s">
        <v>3385</v>
      </c>
      <c r="D7" s="3791">
        <f t="shared" si="0"/>
        <v>11962.71</v>
      </c>
      <c r="E7" s="3791">
        <v>11962.71</v>
      </c>
      <c r="F7" s="3791"/>
    </row>
    <row r="8" spans="3:6">
      <c r="C8" s="3791" t="s">
        <v>3386</v>
      </c>
      <c r="D8" s="3791">
        <f t="shared" si="0"/>
        <v>3633.91</v>
      </c>
      <c r="E8" s="3791">
        <v>3633.91</v>
      </c>
      <c r="F8" s="3791"/>
    </row>
    <row r="9" spans="3:6">
      <c r="C9" s="3791" t="s">
        <v>3387</v>
      </c>
      <c r="D9" s="3791">
        <f t="shared" si="0"/>
        <v>183.52</v>
      </c>
      <c r="E9" s="3791">
        <v>183.52</v>
      </c>
      <c r="F9" s="3791"/>
    </row>
    <row r="10" spans="3:6">
      <c r="C10" s="3791" t="s">
        <v>2596</v>
      </c>
      <c r="D10" s="3791">
        <f>SUM(D4:D9)</f>
        <v>68134.5</v>
      </c>
      <c r="E10" s="3791">
        <f t="shared" ref="E10:F10" si="1">SUM(E4:E9)</f>
        <v>48930.649999999987</v>
      </c>
      <c r="F10" s="3791">
        <f t="shared" si="1"/>
        <v>19203.849999999999</v>
      </c>
    </row>
    <row r="12" spans="3:6">
      <c r="C12" s="3792" t="s">
        <v>3391</v>
      </c>
      <c r="D12">
        <f>E7+E8+E9</f>
        <v>15780.14</v>
      </c>
    </row>
    <row r="13" spans="3:6">
      <c r="C13" s="3792" t="s">
        <v>3392</v>
      </c>
      <c r="D13">
        <f>E4+E5+E6</f>
        <v>33150.509999999995</v>
      </c>
    </row>
    <row r="14" spans="3:6">
      <c r="C14" s="3792" t="s">
        <v>3393</v>
      </c>
      <c r="D14">
        <f>F4+F5+F6</f>
        <v>19203.849999999999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35234.239999999998</v>
      </c>
      <c r="E3" s="43">
        <f>'数据-基础表'!AZ5</f>
        <v>68134.5</v>
      </c>
      <c r="F3" s="2659"/>
      <c r="G3" s="1145"/>
      <c r="H3" s="1026" t="s">
        <v>1106</v>
      </c>
      <c r="I3" s="855">
        <f>ROUND('数据-基础表'!B3/'数据-基础表'!A3,2)</f>
        <v>1.93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0.45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1.93</v>
      </c>
      <c r="J5" s="2659"/>
      <c r="K5" s="2659"/>
      <c r="L5" s="2659"/>
      <c r="M5" s="2659"/>
      <c r="N5" s="2659"/>
      <c r="O5" s="2659"/>
      <c r="P5" s="2659"/>
    </row>
    <row r="6" spans="1:16" ht="15" thickBot="1">
      <c r="A6" s="1644"/>
      <c r="B6" s="3536" t="s">
        <v>1111</v>
      </c>
      <c r="C6" s="3536"/>
      <c r="D6" s="45">
        <f>ROUND($D$3*E6/$E$3,2)</f>
        <v>35234.239999999998</v>
      </c>
      <c r="E6" s="46">
        <f>E3-E5</f>
        <v>68134.5</v>
      </c>
      <c r="F6" s="2659"/>
      <c r="G6" s="2653" t="s">
        <v>1112</v>
      </c>
      <c r="H6" s="1146" t="s">
        <v>1113</v>
      </c>
      <c r="I6" s="2654">
        <f>ROUND(F31/D31,2)</f>
        <v>0.45</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8160.35</v>
      </c>
      <c r="E8" s="48">
        <f>SUMIF('数据-基础表'!BB10:BK10,"地上",'数据-基础表'!BB5:BK5)</f>
        <v>15780.14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17143.05</v>
      </c>
      <c r="E10" s="48">
        <f>SUMPRODUCT(('数据-基础表'!BB10:BK10="地下")*('数据-基础表'!BB11:BK11="商业")*('数据-基础表'!BB5:BK5))</f>
        <v>33150.509999999995</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9930.84</v>
      </c>
      <c r="E14" s="48">
        <f>SUMPRODUCT(('数据-基础表'!BB10:BK10="地下")*('数据-基础表'!BB11:BK11="车库—商业")*('数据-基础表'!BB5:BK5))</f>
        <v>19203.849999999999</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35234.240000000005</v>
      </c>
      <c r="E16" s="50">
        <f>SUM(E8:E15)</f>
        <v>68134.5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3398</v>
      </c>
      <c r="D19" s="45">
        <f>ROUND($D$3*E19/$E$3,2)</f>
        <v>35234.239999999998</v>
      </c>
      <c r="E19" s="53">
        <f t="shared" ref="E19:E26" si="1">SUM(F19:G19)</f>
        <v>68134.5</v>
      </c>
      <c r="F19" s="2795">
        <f>'数据-基础表'!I13</f>
        <v>15780.14</v>
      </c>
      <c r="G19" s="2796">
        <f>'数据-基础表'!K13+'数据-基础表'!M13</f>
        <v>52354.359999999993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35234.239999999998</v>
      </c>
      <c r="S19" s="1027">
        <f t="shared" si="5"/>
        <v>68134.5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35234.239999999998</v>
      </c>
      <c r="E27" s="1141">
        <f>IF(SUM(E19:E26)='数据-基础表'!BA5,SUM(E19:E26),IF(F27="地上面积有误","面积有误","地下面积有误"))</f>
        <v>68134.5</v>
      </c>
      <c r="F27" s="1140">
        <f>IF(SUM(F19:F26)=E8,SUM(F19:F26),"地上面积有误")</f>
        <v>15780.14</v>
      </c>
      <c r="G27" s="1142">
        <f>SUM(G19:G26)</f>
        <v>52354.359999999993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35234.239999999998</v>
      </c>
      <c r="S27" s="1026">
        <f>IF(SUM(S19:S26)=$E$3,SUM(S19:S26),SUM(S19:S26)&amp;"误差"&amp;ROUND(SUM(S19:S26)-E3,2))</f>
        <v>68134.5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35234.239999999998</v>
      </c>
      <c r="E31" s="676">
        <f>E27+E30</f>
        <v>68134.5</v>
      </c>
      <c r="F31" s="677">
        <f>F27+F30</f>
        <v>15780.14</v>
      </c>
      <c r="G31" s="678">
        <f>G27+G30</f>
        <v>52354.359999999993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row r="37" spans="4:4">
      <c r="D37" s="1638">
        <v>32.200000000000003</v>
      </c>
    </row>
    <row r="38" spans="4:4">
      <c r="D38" s="1638">
        <f>D37*10000/E3</f>
        <v>4.7259464735192891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O6" activePane="bottomRight" state="frozen"/>
      <selection activeCell="C50" sqref="C50"/>
      <selection pane="topRight" activeCell="C50" sqref="C50"/>
      <selection pane="bottomLeft" activeCell="C50" sqref="C50"/>
      <selection pane="bottomRight" activeCell="T36" sqref="T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52558</v>
      </c>
      <c r="F6" s="64">
        <f>SUMIF(项目基本情况!C$12:I$12,C6,项目基本情况!C$15:I$15)</f>
        <v>20.41</v>
      </c>
      <c r="G6" s="65">
        <f>IF(ISERROR(ROUND(POWER(1+H6,D6-F6)*(POWER(1+H6,F6)-1)/(POWER(1+H6,D6)-1),3)),0,ROUND(POWER(1+H6,D6-F6)*(POWER(1+H6,F6)-1)/(POWER(1+H6,D6)-1),3))</f>
        <v>0.73499999999999999</v>
      </c>
      <c r="H6" s="732">
        <v>0.05</v>
      </c>
      <c r="I6" s="732">
        <v>5.5E-2</v>
      </c>
      <c r="J6" s="66">
        <v>7.0000000000000007E-2</v>
      </c>
      <c r="K6" s="1030">
        <f>SUMIF('数据-汇总表'!C$19:C$33,A6,'数据-汇总表'!E$19:E$33)</f>
        <v>68134.5</v>
      </c>
      <c r="L6" s="733">
        <v>10000</v>
      </c>
      <c r="M6" s="67">
        <f t="shared" ref="M6:M14" si="0">ROUND(K6*L6/10000,0)</f>
        <v>68135</v>
      </c>
      <c r="N6" s="731">
        <f>N23</f>
        <v>0.81</v>
      </c>
      <c r="O6" s="67" t="str">
        <f>IF($N$5="成新度","——",ROUND(M6*N6,0))</f>
        <v>——</v>
      </c>
      <c r="P6" s="68" t="str">
        <f>IF($N$5="成新度","——",M6-O6)</f>
        <v>——</v>
      </c>
      <c r="Q6" s="734">
        <v>0.3</v>
      </c>
      <c r="R6" s="69">
        <f ca="1">SUMIF('数据-汇总表'!C$19:C$33,A6,'数据-汇总表'!R$19:R$27)</f>
        <v>35234.239999999998</v>
      </c>
      <c r="S6" s="51">
        <f>IF('数据-汇总表'!$I$17="按面积比例",SUMIF('数据-汇总表'!C$19:C$33,A6,'数据-汇总表'!K$19:K$33),SUMIF('数据-汇总表'!C$19:C$33,A6,'数据-汇总表'!N$19:N$33))</f>
        <v>0</v>
      </c>
      <c r="T6" s="1172">
        <f>ROUND($L$14*S6/10000,0)</f>
        <v>0</v>
      </c>
      <c r="U6" s="3428">
        <f>U19*100000000</f>
        <v>310000000</v>
      </c>
      <c r="V6" s="70">
        <v>0.03</v>
      </c>
      <c r="W6" s="70">
        <v>0.1</v>
      </c>
      <c r="X6" s="1040"/>
      <c r="Y6" s="71">
        <f>N6</f>
        <v>0.81</v>
      </c>
      <c r="Z6" s="72"/>
      <c r="AA6" s="66"/>
      <c r="AB6" s="66"/>
      <c r="AC6" s="1040"/>
      <c r="AD6" s="73"/>
      <c r="AE6" s="1041">
        <f ca="1">IF(AN6="",0,SUMIF(INDIRECT("'"&amp;AN6&amp;"'"&amp;"!E:E"),$AE$5,INDIRECT("'"&amp;AN6&amp;"'"&amp;"!F:F")))</f>
        <v>20.41</v>
      </c>
      <c r="AF6" s="1348"/>
      <c r="AG6" s="138">
        <f>IF(AF6="",0,AE6-AF6)</f>
        <v>0</v>
      </c>
      <c r="AH6" s="74">
        <v>1</v>
      </c>
      <c r="AI6" s="76">
        <v>1</v>
      </c>
      <c r="AJ6" s="77"/>
      <c r="AK6" s="78">
        <v>0.01</v>
      </c>
      <c r="AL6" s="79">
        <v>1E-3</v>
      </c>
      <c r="AM6" s="80">
        <v>0.01</v>
      </c>
      <c r="AN6" s="1715" t="s">
        <v>3400</v>
      </c>
      <c r="AO6" s="52">
        <f ca="1">SUMIF(INDIRECT("'"&amp;AN6&amp;"'"&amp;"!A:A"),"总价",INDIRECT("'"&amp;AN6&amp;"'"&amp;"!B:B"))</f>
        <v>346343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0.73499999999999999</v>
      </c>
      <c r="H16" s="90">
        <f>ROUND(SUMPRODUCT(H6:H13,K6:K13)/SUMPRODUCT((H6:H13&gt;0)*(K6:K13)),3)</f>
        <v>0.05</v>
      </c>
      <c r="I16" s="91"/>
      <c r="J16" s="91"/>
      <c r="K16" s="92">
        <f>SUM(K6:K15)</f>
        <v>68134.5</v>
      </c>
      <c r="L16" s="93">
        <f>ROUND(M16*10000/SUM(K6:K14),0)</f>
        <v>10000</v>
      </c>
      <c r="M16" s="93">
        <f>SUM(M6:M14)</f>
        <v>68135</v>
      </c>
      <c r="N16" s="94">
        <f>ROUND(SUMPRODUCT(M6:M14,N6:N14)/M16,3)</f>
        <v>0.81</v>
      </c>
      <c r="O16" s="93">
        <f>SUM(O6:O14)</f>
        <v>0</v>
      </c>
      <c r="P16" s="93">
        <f>SUM(P6:P14)</f>
        <v>0</v>
      </c>
      <c r="Q16" s="95">
        <f>ROUND(SUMPRODUCT(Q6:Q13,K6:K13)/SUMPRODUCT((Q6:Q13&gt;0)*(K6:K13)),2)</f>
        <v>0.3</v>
      </c>
      <c r="R16" s="1034">
        <f ca="1">SUM(R6:R13)</f>
        <v>35234.239999999998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826" t="s">
        <v>3711</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3.1</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f>N21*0.5+N22*0.5</f>
        <v>0.81</v>
      </c>
      <c r="O23" s="2671"/>
      <c r="P23" s="2671"/>
      <c r="Q23" s="2671"/>
      <c r="R23" s="2671"/>
      <c r="S23" s="2671"/>
      <c r="T23" s="2671"/>
      <c r="U23" s="2671">
        <f>U6/(面积清单!E10+面积清单!F5)/365</f>
        <v>15.291652873451905</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826" t="s">
        <v>3717</v>
      </c>
      <c r="V26" s="3826" t="s">
        <v>3718</v>
      </c>
      <c r="W26" s="3826" t="s">
        <v>3719</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v>1</v>
      </c>
      <c r="U27" s="2671">
        <f>面积清单!E7</f>
        <v>11962.71</v>
      </c>
      <c r="V27" s="2671">
        <v>1</v>
      </c>
      <c r="W27" s="2671">
        <v>22</v>
      </c>
      <c r="X27" s="2671">
        <f>U27*W27</f>
        <v>263179.62</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v>2</v>
      </c>
      <c r="U28" s="2671">
        <f>面积清单!E8</f>
        <v>3633.91</v>
      </c>
      <c r="V28" s="2671">
        <v>0.7</v>
      </c>
      <c r="W28" s="2671">
        <f>V28*$W$27</f>
        <v>15.399999999999999</v>
      </c>
      <c r="X28" s="2671">
        <f t="shared" ref="X28:X32" si="12">U28*W28</f>
        <v>55962.213999999993</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1363</v>
      </c>
      <c r="C29" s="2802" t="s">
        <v>2294</v>
      </c>
      <c r="D29" s="2679"/>
      <c r="E29" s="2661"/>
      <c r="F29" s="2661"/>
      <c r="G29" s="2673"/>
      <c r="H29" s="2673"/>
      <c r="I29" s="2673"/>
      <c r="J29" s="2673"/>
      <c r="K29" s="2672"/>
      <c r="L29" s="2672"/>
      <c r="M29" s="2671"/>
      <c r="N29" s="2671"/>
      <c r="O29" s="2671"/>
      <c r="P29" s="2671"/>
      <c r="Q29" s="2671"/>
      <c r="R29" s="2671"/>
      <c r="S29" s="2671"/>
      <c r="T29" s="2671">
        <v>3</v>
      </c>
      <c r="U29" s="2671">
        <f>面积清单!E9</f>
        <v>183.52</v>
      </c>
      <c r="V29" s="2671">
        <v>0.6</v>
      </c>
      <c r="W29" s="2671">
        <f t="shared" ref="W29:W32" si="13">V29*$W$27</f>
        <v>13.2</v>
      </c>
      <c r="X29" s="2671">
        <f t="shared" si="12"/>
        <v>2422.4639999999999</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305443</v>
      </c>
      <c r="O30" s="2671"/>
      <c r="P30" s="2671"/>
      <c r="Q30" s="2671"/>
      <c r="R30" s="2671"/>
      <c r="S30" s="2671"/>
      <c r="T30" s="2671" t="s">
        <v>3714</v>
      </c>
      <c r="U30" s="2671">
        <f>面积清单!E6</f>
        <v>13777.93</v>
      </c>
      <c r="V30" s="2671">
        <v>0.6</v>
      </c>
      <c r="W30" s="2671">
        <f t="shared" si="13"/>
        <v>13.2</v>
      </c>
      <c r="X30" s="2671">
        <f t="shared" si="12"/>
        <v>181868.67600000001</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826" t="s">
        <v>3715</v>
      </c>
      <c r="U31" s="2671">
        <f>面积清单!E5+面积清单!F5</f>
        <v>6894.2199999999993</v>
      </c>
      <c r="V31" s="2671">
        <v>0.6</v>
      </c>
      <c r="W31" s="2671">
        <f t="shared" si="13"/>
        <v>13.2</v>
      </c>
      <c r="X31" s="2671">
        <f t="shared" si="12"/>
        <v>91003.703999999983</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t="s">
        <v>3716</v>
      </c>
      <c r="U32" s="2671">
        <f>面积清单!E4</f>
        <v>19088.8</v>
      </c>
      <c r="V32" s="2671">
        <v>0.6</v>
      </c>
      <c r="W32" s="2671">
        <f t="shared" si="13"/>
        <v>13.2</v>
      </c>
      <c r="X32" s="2671">
        <f t="shared" si="12"/>
        <v>251972.15999999997</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f>SUM(U27:U32)</f>
        <v>55541.09</v>
      </c>
      <c r="V33" s="2671"/>
      <c r="W33" s="2671">
        <f>X33/U33</f>
        <v>15.239327099990296</v>
      </c>
      <c r="X33" s="2671">
        <f t="shared" ref="V33:X33" si="14">SUM(X27:X32)</f>
        <v>846408.83799999999</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68134.5</v>
      </c>
      <c r="C1" s="2686"/>
      <c r="D1" s="2686"/>
      <c r="E1" s="2686"/>
      <c r="F1" s="2686"/>
      <c r="G1" s="2687"/>
      <c r="H1" s="2688"/>
      <c r="I1" s="2688"/>
      <c r="J1" s="2688"/>
      <c r="K1" s="2688"/>
    </row>
    <row r="2" spans="1:11" ht="16.5">
      <c r="A2" s="2512" t="s">
        <v>653</v>
      </c>
      <c r="B2" s="2512">
        <f>SUM(C14:C23)</f>
        <v>35234.239999999998</v>
      </c>
      <c r="C2" s="2686"/>
      <c r="D2" s="2686"/>
      <c r="E2" s="2686"/>
      <c r="F2" s="2686"/>
      <c r="G2" s="2687"/>
      <c r="H2" s="2688"/>
      <c r="I2" s="2688"/>
      <c r="J2" s="2688"/>
      <c r="K2" s="2688"/>
    </row>
    <row r="3" spans="1:11" ht="16.5">
      <c r="A3" s="2512" t="s">
        <v>662</v>
      </c>
      <c r="B3" s="2514">
        <f>项目基本情况!D3</f>
        <v>45106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305443</v>
      </c>
      <c r="C5" s="2512">
        <f ca="1">IF(B5=D14,结果表!H102,ROUND(B5*10000/$B$1,0))</f>
        <v>44829</v>
      </c>
      <c r="D5" s="2512">
        <f ca="1">ROUND(B5*10000/$B$2,0)</f>
        <v>86689</v>
      </c>
      <c r="E5" s="2686"/>
      <c r="F5" s="2687"/>
      <c r="G5" s="2687"/>
      <c r="H5" s="2688"/>
      <c r="I5" s="2688"/>
      <c r="J5" s="2688"/>
      <c r="K5" s="2688"/>
    </row>
    <row r="6" spans="1:11" ht="16.5">
      <c r="A6" s="2512" t="s">
        <v>656</v>
      </c>
      <c r="B6" s="2512">
        <f>SUM(G14:G23)</f>
        <v>0</v>
      </c>
      <c r="C6" s="2512">
        <f ca="1">IF(B6=G14,结果表!H108,ROUND(B6*10000/$B$1,0))</f>
        <v>44829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68134.5</v>
      </c>
      <c r="C14" s="2518">
        <f>结果表!C118</f>
        <v>35234.239999999998</v>
      </c>
      <c r="D14" s="2518">
        <f ca="1">结果表!H118</f>
        <v>305443</v>
      </c>
      <c r="E14" s="2518">
        <f ca="1">ROUND(D14*10000/B14,0)</f>
        <v>44829</v>
      </c>
      <c r="F14" s="2518">
        <f ca="1">ROUND(D14*10000/C14,0)</f>
        <v>86689</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7" zoomScaleNormal="100" zoomScaleSheetLayoutView="87"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3710</v>
      </c>
      <c r="D4" s="1756" t="s">
        <v>3400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68134.5</v>
      </c>
      <c r="M18" s="302">
        <f>IF(C1="",'数据-汇总表'!E3,SUMIF(项目类型,C1,'数据-汇总表'!E17:E26))</f>
        <v>68134.5</v>
      </c>
    </row>
    <row r="19" spans="1:36" ht="15">
      <c r="A19" s="1761" t="s">
        <v>1290</v>
      </c>
      <c r="B19" s="1762" t="s">
        <v>1291</v>
      </c>
      <c r="C19" s="134">
        <f ca="1">SUMIF(INDIRECT("'"&amp;C4&amp;"'"&amp;"!A:A"),结果表!B19,INDIRECT("'"&amp;C4&amp;"'"&amp;"!B:B"))</f>
        <v>244093</v>
      </c>
      <c r="D19" s="135">
        <f ca="1">SUMIF(INDIRECT("'"&amp;D4&amp;"'"&amp;"!A:A"),结果表!B19,INDIRECT("'"&amp;D4&amp;"'"&amp;"!B:B"))</f>
        <v>346343</v>
      </c>
      <c r="E19" s="1761" t="s">
        <v>1292</v>
      </c>
      <c r="F19" s="1762" t="s">
        <v>1291</v>
      </c>
      <c r="G19" s="136">
        <f ca="1">ROUND(C19*$C$18+D19*$D$18,0)</f>
        <v>305443</v>
      </c>
      <c r="H19" s="1763" t="s">
        <v>1293</v>
      </c>
      <c r="I19" s="129"/>
      <c r="K19" s="302" t="s">
        <v>1294</v>
      </c>
      <c r="L19" s="302">
        <f>IF(C1="",'数据-汇总表'!D3,SUMIF(项目类型,C1,'数据-汇总表'!D17:D26)+SUMIF(项目类型,C1,'数据-汇总表'!H17:H27))</f>
        <v>35234.239999999998</v>
      </c>
      <c r="M19" s="302">
        <f>IF(C1="",'数据-汇总表'!D3,SUMIF(项目类型,C1,'数据-汇总表'!D17:D26))</f>
        <v>35234.239999999998</v>
      </c>
    </row>
    <row r="20" spans="1:36" ht="15">
      <c r="A20" s="1764"/>
      <c r="B20" s="1026" t="s">
        <v>1295</v>
      </c>
      <c r="C20" s="137">
        <f ca="1">SUMIF(INDIRECT("'"&amp;C4&amp;"'"&amp;"!A:A"),结果表!B20,INDIRECT("'"&amp;C4&amp;"'"&amp;"!B:B"))</f>
        <v>35825</v>
      </c>
      <c r="D20" s="138">
        <f ca="1">SUMIF(INDIRECT("'"&amp;D4&amp;"'"&amp;"!A:A"),结果表!B20,INDIRECT("'"&amp;D4&amp;"'"&amp;"!B:B"))</f>
        <v>50832</v>
      </c>
      <c r="E20" s="1764"/>
      <c r="F20" s="1026" t="s">
        <v>1295</v>
      </c>
      <c r="G20" s="139">
        <f ca="1">ROUND(C20*$C$18+D20*$D$18,0)</f>
        <v>44829</v>
      </c>
      <c r="H20" s="808" t="s">
        <v>1296</v>
      </c>
      <c r="I20" s="129"/>
    </row>
    <row r="21" spans="1:36" ht="15" customHeight="1" thickBot="1">
      <c r="A21" s="828"/>
      <c r="B21" s="1765" t="s">
        <v>1297</v>
      </c>
      <c r="C21" s="719">
        <f ca="1">ROUND(C19*10000/L19,0)</f>
        <v>69277</v>
      </c>
      <c r="D21" s="720">
        <f ca="1">ROUND(D19*10000/L19,0)</f>
        <v>98297</v>
      </c>
      <c r="E21" s="828"/>
      <c r="F21" s="1765" t="s">
        <v>1297</v>
      </c>
      <c r="G21" s="140">
        <f ca="1">ROUND(G19*10000/L19,0)</f>
        <v>86689</v>
      </c>
      <c r="H21" s="1766" t="s">
        <v>1296</v>
      </c>
      <c r="I21" s="129"/>
    </row>
    <row r="22" spans="1:36" ht="15" thickBot="1">
      <c r="A22" s="1688" t="s">
        <v>1298</v>
      </c>
      <c r="B22" s="1767"/>
      <c r="C22" s="1768"/>
      <c r="D22" s="721">
        <f ca="1">IF(C19&lt;D19,D19/C19-1,C19/D19-1)</f>
        <v>0.41889771521510255</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305443</v>
      </c>
      <c r="D32" s="1775" t="s">
        <v>3720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305443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45106</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305443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16290</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16290</v>
      </c>
      <c r="E53" s="2334" t="s">
        <v>1354</v>
      </c>
      <c r="F53" s="2554">
        <f>'数据-取费表'!B41</f>
        <v>5.6000000000000001E-2</v>
      </c>
      <c r="G53" s="2555"/>
      <c r="H53" s="2544"/>
      <c r="I53" s="1807"/>
      <c r="J53" s="2523">
        <v>2</v>
      </c>
      <c r="K53" s="3567" t="s">
        <v>1357</v>
      </c>
      <c r="L53" s="3567"/>
      <c r="M53" s="2525">
        <f t="shared" ref="M53:O54" ca="1" si="0">D55</f>
        <v>153</v>
      </c>
      <c r="N53" s="2523" t="str">
        <f t="shared" si="0"/>
        <v>销售额×税（费）率</v>
      </c>
      <c r="O53" s="2526" t="str">
        <f t="shared" si="0"/>
        <v>免征</v>
      </c>
    </row>
    <row r="54" spans="1:35" ht="12" customHeight="1">
      <c r="A54" s="2335" t="s">
        <v>1358</v>
      </c>
      <c r="B54" s="3591" t="s">
        <v>2292</v>
      </c>
      <c r="C54" s="3592"/>
      <c r="D54" s="1087">
        <f ca="1">C68</f>
        <v>16290</v>
      </c>
      <c r="E54" s="327" t="s">
        <v>1359</v>
      </c>
      <c r="F54" s="2554">
        <f>'数据-取费表'!B41</f>
        <v>5.6000000000000001E-2</v>
      </c>
      <c r="G54" s="2555"/>
      <c r="H54" s="2556"/>
      <c r="I54" s="1807"/>
      <c r="J54" s="2523">
        <v>3</v>
      </c>
      <c r="K54" s="3567" t="s">
        <v>1360</v>
      </c>
      <c r="L54" s="3567"/>
      <c r="M54" s="2525">
        <f t="shared" ca="1" si="0"/>
        <v>172881</v>
      </c>
      <c r="N54" s="2523" t="str">
        <f t="shared" si="0"/>
        <v>增值额×税（费）率</v>
      </c>
      <c r="O54" s="2527" t="str">
        <f t="shared" si="0"/>
        <v>免征</v>
      </c>
    </row>
    <row r="55" spans="1:35" ht="24" customHeight="1">
      <c r="A55" s="3627" t="s">
        <v>1361</v>
      </c>
      <c r="B55" s="3605"/>
      <c r="C55" s="3605"/>
      <c r="D55" s="2324">
        <f ca="1">IF(H55="个人住宅",0,ROUND(D45*I55,0))</f>
        <v>153</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2909</v>
      </c>
      <c r="N55" s="2040" t="str">
        <f>E59</f>
        <v>差额计税</v>
      </c>
      <c r="O55" s="2529">
        <f>F59</f>
        <v>0.01</v>
      </c>
    </row>
    <row r="56" spans="1:35" ht="24.75">
      <c r="A56" s="3627" t="s">
        <v>1363</v>
      </c>
      <c r="B56" s="3605"/>
      <c r="C56" s="3605"/>
      <c r="D56" s="2324">
        <f ca="1">IF(H56="个人住宅",D57,D58)</f>
        <v>172881</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175943</v>
      </c>
      <c r="O57" s="2533"/>
      <c r="P57" s="2690" t="e">
        <f ca="1">N57/M49</f>
        <v>#VALUE!</v>
      </c>
    </row>
    <row r="58" spans="1:35" ht="24.75">
      <c r="A58" s="2335" t="s">
        <v>1352</v>
      </c>
      <c r="B58" s="3591" t="s">
        <v>1369</v>
      </c>
      <c r="C58" s="3590"/>
      <c r="D58" s="2324">
        <f ca="1">IF(H58="转让取得",C81,C97)</f>
        <v>172881</v>
      </c>
      <c r="E58" s="2334" t="s">
        <v>1364</v>
      </c>
      <c r="F58" s="302" t="s">
        <v>28</v>
      </c>
      <c r="G58" s="2555"/>
      <c r="H58" s="2558"/>
      <c r="I58" s="1808"/>
      <c r="J58" s="3567"/>
      <c r="K58" s="3567"/>
      <c r="L58" s="2530" t="s">
        <v>1370</v>
      </c>
      <c r="M58" s="2534"/>
      <c r="N58" s="2535" t="str">
        <f ca="1">NUMBERSTRING(INT(N57*10000),2)&amp;"元整"</f>
        <v>壹拾柒亿伍仟玖佰肆拾叁万元整</v>
      </c>
      <c r="O58" s="2536"/>
    </row>
    <row r="59" spans="1:35" ht="24.75" thickBot="1">
      <c r="A59" s="3571" t="s">
        <v>1371</v>
      </c>
      <c r="B59" s="3572"/>
      <c r="C59" s="3572"/>
      <c r="D59" s="2560">
        <f ca="1">IF(H59="非个人房产","——",IF(H59="个人住宅（满五唯一有凭证）",0,IF(H59="个人其他（无凭证）",ROUND(D45*F59,0),ROUND(C67*F59,0))))</f>
        <v>2909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290898</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305443</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f ca="1">C63-C66</f>
        <v>290898</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16290</v>
      </c>
      <c r="D68" s="2570">
        <f>'数据-取费表'!B41</f>
        <v>5.6000000000000001E-2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290898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1745</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289153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165.70372492836677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172881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290898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1745</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289153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165.70372492836677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172881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305443</v>
      </c>
      <c r="I101" s="129"/>
    </row>
    <row r="102" spans="1:35" ht="18.75" customHeight="1">
      <c r="A102" s="3578" t="s">
        <v>1433</v>
      </c>
      <c r="B102" s="2584" t="s">
        <v>1432</v>
      </c>
      <c r="C102" s="2585">
        <f ca="1">IF(D32="楼面单价",ROUND(C19,0),C19)</f>
        <v>244093</v>
      </c>
      <c r="D102" s="2586">
        <f ca="1">IF(D32="楼面单价",ROUND(D19,0),D19)</f>
        <v>346343</v>
      </c>
      <c r="E102" s="3546"/>
      <c r="F102" s="3547"/>
      <c r="G102" s="1827" t="s">
        <v>1434</v>
      </c>
      <c r="H102" s="2555">
        <f ca="1">I118</f>
        <v>44829</v>
      </c>
      <c r="I102" s="129"/>
    </row>
    <row r="103" spans="1:35" ht="42.75" customHeight="1">
      <c r="A103" s="3578"/>
      <c r="B103" s="2584" t="s">
        <v>1434</v>
      </c>
      <c r="C103" s="2587">
        <f ca="1">C20</f>
        <v>35825</v>
      </c>
      <c r="D103" s="2588">
        <f ca="1">D20</f>
        <v>50832</v>
      </c>
      <c r="E103" s="3539" t="s">
        <v>1435</v>
      </c>
      <c r="F103" s="3540"/>
      <c r="G103" s="1828" t="s">
        <v>1436</v>
      </c>
      <c r="H103" s="2595">
        <f>IF(D36="正常操作",H104+H105+H106,H105+H106)</f>
        <v>0</v>
      </c>
      <c r="I103" s="129"/>
    </row>
    <row r="104" spans="1:35" ht="18.75" customHeight="1">
      <c r="A104" s="3578" t="s">
        <v>1437</v>
      </c>
      <c r="B104" s="2589" t="s">
        <v>1432</v>
      </c>
      <c r="C104" s="2590">
        <f ca="1">H118</f>
        <v>305443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44829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305443</v>
      </c>
      <c r="I107" s="129"/>
    </row>
    <row r="108" spans="1:35" ht="18.75" customHeight="1">
      <c r="A108" s="129"/>
      <c r="B108" s="129"/>
      <c r="C108" s="129"/>
      <c r="D108" s="129"/>
      <c r="E108" s="3579"/>
      <c r="F108" s="3547"/>
      <c r="G108" s="1827" t="s">
        <v>1434</v>
      </c>
      <c r="H108" s="2555">
        <f ca="1">IF(H107=H101,H102,ROUND(H107*10000/'数据-汇总表'!E3,0))</f>
        <v>44829</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68134.5</v>
      </c>
      <c r="C118" s="2329">
        <f>M19</f>
        <v>35234.239999999998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305443</v>
      </c>
      <c r="I118" s="2329">
        <f ca="1">ROUND(IF(D32="楼面单价",C32,H118*10000/B118),0)</f>
        <v>44829</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叁拾亿伍仟肆佰肆拾叁万元整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305443</v>
      </c>
      <c r="E122" s="3556"/>
      <c r="F122" s="3556"/>
      <c r="G122" s="3556"/>
      <c r="H122" s="3556"/>
      <c r="I122" s="3557"/>
      <c r="AA122" s="725"/>
    </row>
    <row r="123" spans="1:27" ht="18.75" customHeight="1">
      <c r="A123" s="3554" t="s">
        <v>1452</v>
      </c>
      <c r="B123" s="3554"/>
      <c r="C123" s="3554"/>
      <c r="D123" s="3560" t="str">
        <f ca="1">NUMBERSTRING(INT(D122*10000),2)&amp;"元整"</f>
        <v>叁拾亿伍仟肆佰肆拾叁万元整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5" sqref="J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244093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35825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94889</v>
      </c>
      <c r="D5" s="211" t="s">
        <v>1469</v>
      </c>
      <c r="E5" s="212" t="s">
        <v>1470</v>
      </c>
      <c r="F5" s="212" t="s">
        <v>1471</v>
      </c>
      <c r="G5" s="213"/>
    </row>
    <row r="6" spans="1:9" s="214" customFormat="1" ht="13.5" customHeight="1">
      <c r="A6" s="778" t="s">
        <v>1472</v>
      </c>
      <c r="B6" s="215" t="s">
        <v>1473</v>
      </c>
      <c r="C6" s="216">
        <f>基准地价修正!B2</f>
        <v>90758</v>
      </c>
      <c r="D6" s="217"/>
      <c r="E6" s="218"/>
      <c r="F6" s="218"/>
      <c r="G6" s="219"/>
    </row>
    <row r="7" spans="1:9" s="214" customFormat="1" ht="13.5" customHeight="1">
      <c r="A7" s="778" t="s">
        <v>1474</v>
      </c>
      <c r="B7" s="215" t="s">
        <v>1475</v>
      </c>
      <c r="C7" s="220">
        <f>ROUND(C6*F7,0)</f>
        <v>2768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1363</v>
      </c>
      <c r="D8" s="222"/>
      <c r="E8" s="220"/>
      <c r="F8" s="221"/>
      <c r="G8" s="1856" t="s">
        <v>3707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3708</v>
      </c>
      <c r="H9" s="1137"/>
      <c r="I9" s="1858" t="s">
        <v>1479</v>
      </c>
    </row>
    <row r="10" spans="1:9" s="214" customFormat="1" ht="13.5" customHeight="1">
      <c r="A10" s="779" t="s">
        <v>356</v>
      </c>
      <c r="B10" s="224" t="s">
        <v>1480</v>
      </c>
      <c r="C10" s="225">
        <f ca="1">ROUND(D10*E10/10000,0)</f>
        <v>1363</v>
      </c>
      <c r="D10" s="845">
        <f ca="1">IF(B1="",'数据-汇总表'!E6,IF(INDIRECT("'数据-取费表'!c"&amp;$G$1)="住宅",INDIRECT("'数据-取费表'!s"&amp;$G$1),INDIRECT("'数据-取费表'!k"&amp;$G$1)+INDIRECT("'数据-取费表'!s"&amp;$G$1)))</f>
        <v>68134.5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68134.5</v>
      </c>
      <c r="E19" s="211">
        <f>'数据-取费表'!B31</f>
        <v>200</v>
      </c>
      <c r="F19" s="231"/>
      <c r="G19" s="1856" t="s">
        <v>3709</v>
      </c>
    </row>
    <row r="20" spans="1:7" s="214" customFormat="1" ht="13.5" customHeight="1">
      <c r="A20" s="255" t="s">
        <v>1493</v>
      </c>
      <c r="B20" s="210" t="s">
        <v>1494</v>
      </c>
      <c r="C20" s="232">
        <f ca="1">ROUND((C5+C19)*F20,0)</f>
        <v>2847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10622</v>
      </c>
      <c r="D22" s="235">
        <f ca="1">C26</f>
        <v>1.6000000000000001E-3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10469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153</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29321</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29321</v>
      </c>
      <c r="D28" s="235"/>
      <c r="E28" s="236"/>
      <c r="F28" s="246"/>
      <c r="G28" s="247"/>
    </row>
    <row r="29" spans="1:7" s="214" customFormat="1" ht="13.5" customHeight="1">
      <c r="A29" s="780" t="s">
        <v>347</v>
      </c>
      <c r="B29" s="248" t="s">
        <v>1517</v>
      </c>
      <c r="C29" s="238">
        <f ca="1">ROUND(C21*F27*'数据-取费表'!B21/'数据-取费表'!B20,4)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151947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73927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68135</v>
      </c>
      <c r="D34" s="217"/>
      <c r="E34" s="220"/>
      <c r="F34" s="257">
        <f ca="1">IF('数据-取费表'!B24=0,1,IF(B1="",'数据-取费表'!N16,INDIRECT("'数据-取费表'!n"&amp;$G$1)))</f>
        <v>1</v>
      </c>
      <c r="G34" s="219" t="s">
        <v>1526</v>
      </c>
    </row>
    <row r="35" spans="1:7" ht="13.5" customHeight="1">
      <c r="A35" s="780" t="s">
        <v>351</v>
      </c>
      <c r="B35" s="215" t="s">
        <v>1527</v>
      </c>
      <c r="C35" s="220">
        <f ca="1">ROUND(C34*F35,0)</f>
        <v>3407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1363</v>
      </c>
      <c r="D37" s="217">
        <f ca="1">D19</f>
        <v>68134.5</v>
      </c>
      <c r="E37" s="249">
        <f>'数据-取费表'!B35</f>
        <v>200</v>
      </c>
      <c r="F37" s="259"/>
      <c r="G37" s="261" t="s">
        <v>1532</v>
      </c>
    </row>
    <row r="38" spans="1:7" ht="13.5" customHeight="1">
      <c r="A38" s="780" t="s">
        <v>354</v>
      </c>
      <c r="B38" s="215" t="s">
        <v>1533</v>
      </c>
      <c r="C38" s="220">
        <f ca="1">ROUND(C34*F38,0)</f>
        <v>1022</v>
      </c>
      <c r="D38" s="220"/>
      <c r="E38" s="220"/>
      <c r="F38" s="259">
        <f>'数据-取费表'!B36</f>
        <v>1.4999999999999999E-2</v>
      </c>
      <c r="G38" s="219" t="s">
        <v>1528</v>
      </c>
    </row>
    <row r="39" spans="1:7" s="214" customFormat="1" ht="13.5" customHeight="1">
      <c r="A39" s="255" t="s">
        <v>1534</v>
      </c>
      <c r="B39" s="210" t="s">
        <v>1535</v>
      </c>
      <c r="C39" s="232">
        <f ca="1">ROUND(C33*F20,0)</f>
        <v>2218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4090</v>
      </c>
      <c r="D41" s="235">
        <f ca="1">C44</f>
        <v>1.6000000000000001E-3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3971</v>
      </c>
      <c r="D42" s="238"/>
      <c r="E42" s="238"/>
      <c r="F42" s="239"/>
      <c r="G42" s="3633" t="s">
        <v>1544</v>
      </c>
    </row>
    <row r="43" spans="1:7" ht="13.5" customHeight="1">
      <c r="A43" s="780" t="s">
        <v>347</v>
      </c>
      <c r="B43" s="215" t="s">
        <v>1545</v>
      </c>
      <c r="C43" s="238">
        <f ca="1">ROUND(IF('数据-取费表'!B22&lt;=1,C39*F22*'数据-取费表'!B21/2,C39*(POWER((1+F22),'数据-取费表'!B21/2)-1)),0)</f>
        <v>119</v>
      </c>
      <c r="D43" s="238"/>
      <c r="E43" s="238"/>
      <c r="F43" s="239"/>
      <c r="G43" s="3634"/>
    </row>
    <row r="44" spans="1:7" ht="13.5" customHeight="1">
      <c r="A44" s="780" t="s">
        <v>348</v>
      </c>
      <c r="B44" s="215" t="s">
        <v>1546</v>
      </c>
      <c r="C44" s="238">
        <f ca="1">ROUND(IF('数据-取费表'!B22&lt;=1,C40*F22*'数据-取费表'!B21/2,C40*(POWER((1+F22),'数据-取费表'!B21/2)-1)),4)</f>
        <v>1.6000000000000001E-3</v>
      </c>
      <c r="D44" s="238"/>
      <c r="E44" s="238"/>
      <c r="F44" s="239"/>
      <c r="G44" s="3635"/>
    </row>
    <row r="45" spans="1:7" s="214" customFormat="1" ht="13.5" customHeight="1">
      <c r="A45" s="255" t="s">
        <v>1547</v>
      </c>
      <c r="B45" s="244" t="s">
        <v>1513</v>
      </c>
      <c r="C45" s="245">
        <f ca="1">C46</f>
        <v>22844</v>
      </c>
      <c r="D45" s="235">
        <f ca="1">C47</f>
        <v>8.9999999999999993E-3</v>
      </c>
      <c r="E45" s="236" t="s">
        <v>1539</v>
      </c>
      <c r="F45" s="246">
        <f ca="1">F27</f>
        <v>0.3</v>
      </c>
      <c r="G45" s="247" t="s">
        <v>1548</v>
      </c>
    </row>
    <row r="46" spans="1:7" s="214" customFormat="1" ht="13.5" customHeight="1">
      <c r="A46" s="780" t="s">
        <v>346</v>
      </c>
      <c r="B46" s="248" t="s">
        <v>1549</v>
      </c>
      <c r="C46" s="249">
        <f ca="1">ROUND((C33+C39)*F27,0)</f>
        <v>22844</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113761</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92146</v>
      </c>
      <c r="D51" s="232"/>
      <c r="E51" s="232"/>
      <c r="F51" s="264"/>
      <c r="G51" s="234" t="s">
        <v>1560</v>
      </c>
    </row>
    <row r="52" spans="1:7" s="208" customFormat="1" ht="16.5" thickBot="1">
      <c r="A52" s="265" t="s">
        <v>1561</v>
      </c>
      <c r="B52" s="266"/>
      <c r="C52" s="267">
        <f ca="1">C31+C51</f>
        <v>244093</v>
      </c>
      <c r="D52" s="266"/>
      <c r="E52" s="266"/>
      <c r="F52" s="266"/>
      <c r="G52" s="268"/>
    </row>
    <row r="55" spans="1:7" ht="15">
      <c r="B55" s="270" t="s">
        <v>1562</v>
      </c>
      <c r="C55" s="271"/>
    </row>
    <row r="56" spans="1:7">
      <c r="B56" s="273" t="s">
        <v>802</v>
      </c>
      <c r="C56" s="275">
        <f ca="1">1-C57</f>
        <v>0.622</v>
      </c>
    </row>
    <row r="57" spans="1:7">
      <c r="B57" s="273" t="s">
        <v>803</v>
      </c>
      <c r="C57" s="274">
        <f ca="1">ROUND(C51/C52,3)</f>
        <v>0.378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96509.136100000003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14165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13626900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13626900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13626900</v>
      </c>
      <c r="D10" s="845">
        <f ca="1">IF(B1="",'数据-汇总表'!E6,IF(INDIRECT("'数据-取费表'!c"&amp;$G$1)="住宅",INDIRECT("'数据-取费表'!s"&amp;$G$1),INDIRECT("'数据-取费表'!k"&amp;$G$1)+INDIRECT("'数据-取费表'!s"&amp;$G$1)))</f>
        <v>68134.5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13626900</v>
      </c>
      <c r="D19" s="849">
        <f ca="1">D9+D10</f>
        <v>68134.5</v>
      </c>
      <c r="E19" s="211">
        <f>'数据-取费表'!B31</f>
        <v>200</v>
      </c>
      <c r="F19" s="231"/>
      <c r="G19" s="1856"/>
    </row>
    <row r="20" spans="1:7" s="214" customFormat="1" ht="13.5" customHeight="1">
      <c r="A20" s="255" t="s">
        <v>1574</v>
      </c>
      <c r="B20" s="210" t="s">
        <v>1575</v>
      </c>
      <c r="C20" s="232">
        <f ca="1">ROUND((C5+C19)*F20,0)</f>
        <v>817614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3050710</v>
      </c>
      <c r="D22" s="235">
        <f ca="1">C26</f>
        <v>1.6000000000000001E-3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1503394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1503394</v>
      </c>
      <c r="D24" s="238"/>
      <c r="E24" s="238"/>
      <c r="F24" s="239"/>
      <c r="G24" s="240" t="s">
        <v>1586</v>
      </c>
    </row>
    <row r="25" spans="1:7" s="214" customFormat="1" ht="24">
      <c r="A25" s="780" t="s">
        <v>1476</v>
      </c>
      <c r="B25" s="215" t="s">
        <v>1587</v>
      </c>
      <c r="C25" s="1128">
        <f ca="1">ROUND(IF('数据-取费表'!B22&lt;=1,C20*F22*'数据-取费表'!B22/2,C20*(POWER((1+F22),'数据-取费表'!B22/2)-1)),0)</f>
        <v>43922</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8421424</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ROUND((C5+C19+C20)*F27,0)</f>
        <v>8421424</v>
      </c>
      <c r="D28" s="235"/>
      <c r="E28" s="236"/>
      <c r="F28" s="246"/>
      <c r="G28" s="247"/>
    </row>
    <row r="29" spans="1:7" s="214" customFormat="1" ht="13.5" customHeight="1">
      <c r="A29" s="780" t="s">
        <v>347</v>
      </c>
      <c r="B29" s="248" t="s">
        <v>1517</v>
      </c>
      <c r="C29" s="238">
        <f ca="1">ROUND(C21*F27,4)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43641483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739259325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681345000</v>
      </c>
      <c r="D34" s="217"/>
      <c r="E34" s="220"/>
      <c r="F34" s="257"/>
      <c r="G34" s="219"/>
    </row>
    <row r="35" spans="1:7" ht="13.5" customHeight="1">
      <c r="A35" s="780" t="s">
        <v>351</v>
      </c>
      <c r="B35" s="215" t="s">
        <v>1527</v>
      </c>
      <c r="C35" s="220">
        <f ca="1">ROUND(C34*F35,0)</f>
        <v>34067250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13626900</v>
      </c>
      <c r="D37" s="217">
        <f ca="1">D19</f>
        <v>68134.5</v>
      </c>
      <c r="E37" s="249">
        <f>'数据-取费表'!B35</f>
        <v>200</v>
      </c>
      <c r="F37" s="259"/>
      <c r="G37" s="261"/>
    </row>
    <row r="38" spans="1:7" ht="13.5" customHeight="1">
      <c r="A38" s="780" t="s">
        <v>354</v>
      </c>
      <c r="B38" s="215" t="s">
        <v>1533</v>
      </c>
      <c r="C38" s="220">
        <f ca="1">ROUND(C34*F38,0)</f>
        <v>10220175</v>
      </c>
      <c r="D38" s="220"/>
      <c r="E38" s="220"/>
      <c r="F38" s="259">
        <f>'数据-取费表'!B36</f>
        <v>1.4999999999999999E-2</v>
      </c>
      <c r="G38" s="219" t="s">
        <v>1528</v>
      </c>
    </row>
    <row r="39" spans="1:7" s="214" customFormat="1" ht="13.5" customHeight="1">
      <c r="A39" s="255" t="s">
        <v>1534</v>
      </c>
      <c r="B39" s="210" t="s">
        <v>1535</v>
      </c>
      <c r="C39" s="232">
        <f ca="1">ROUND(C33*F20,0)</f>
        <v>22177780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40904275</v>
      </c>
      <c r="D41" s="235">
        <f ca="1">C44</f>
        <v>1.6000000000000001E-3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39712888</v>
      </c>
      <c r="D42" s="238"/>
      <c r="E42" s="238"/>
      <c r="F42" s="239"/>
      <c r="G42" s="3633" t="s">
        <v>1591</v>
      </c>
    </row>
    <row r="43" spans="1:7" ht="13.5" customHeight="1">
      <c r="A43" s="780" t="s">
        <v>347</v>
      </c>
      <c r="B43" s="215" t="s">
        <v>1545</v>
      </c>
      <c r="C43" s="238">
        <f ca="1">ROUND(IF('数据-取费表'!B22&lt;=1,C39*F22*'数据-取费表'!B20/2,C39*(POWER((1+F22),'数据-取费表'!B20/2)-1)),0)</f>
        <v>1191387</v>
      </c>
      <c r="D43" s="238"/>
      <c r="E43" s="238"/>
      <c r="F43" s="239"/>
      <c r="G43" s="3634"/>
    </row>
    <row r="44" spans="1:7" ht="13.5" customHeight="1">
      <c r="A44" s="780" t="s">
        <v>348</v>
      </c>
      <c r="B44" s="215" t="s">
        <v>1546</v>
      </c>
      <c r="C44" s="238">
        <f ca="1">ROUND(IF('数据-取费表'!B22&lt;=1,C40*F22*'数据-取费表'!B20/2,C40*(POWER((1+F22),'数据-取费表'!B20/2)-1)),4)</f>
        <v>1.6000000000000001E-3</v>
      </c>
      <c r="D44" s="238"/>
      <c r="E44" s="238"/>
      <c r="F44" s="239"/>
      <c r="G44" s="3635"/>
    </row>
    <row r="45" spans="1:7" s="214" customFormat="1" ht="13.5" customHeight="1">
      <c r="A45" s="255" t="s">
        <v>1547</v>
      </c>
      <c r="B45" s="244" t="s">
        <v>1513</v>
      </c>
      <c r="C45" s="245">
        <f ca="1">C46</f>
        <v>228431132</v>
      </c>
      <c r="D45" s="235">
        <f ca="1">C47</f>
        <v>8.9999999999999993E-3</v>
      </c>
      <c r="E45" s="236" t="s">
        <v>1539</v>
      </c>
      <c r="F45" s="246">
        <f ca="1">F27</f>
        <v>0.3</v>
      </c>
      <c r="G45" s="247" t="s">
        <v>1548</v>
      </c>
    </row>
    <row r="46" spans="1:7" s="214" customFormat="1" ht="13.5" customHeight="1">
      <c r="A46" s="780" t="s">
        <v>346</v>
      </c>
      <c r="B46" s="248" t="s">
        <v>1549</v>
      </c>
      <c r="C46" s="249">
        <f ca="1">ROUND((C33+C39)*F27,0)</f>
        <v>228431132</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1137592442</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921449878</v>
      </c>
      <c r="D51" s="232"/>
      <c r="E51" s="232"/>
      <c r="F51" s="264"/>
      <c r="G51" s="234" t="s">
        <v>1560</v>
      </c>
    </row>
    <row r="52" spans="1:7" s="208" customFormat="1" ht="16.5" thickBot="1">
      <c r="A52" s="265" t="s">
        <v>1561</v>
      </c>
      <c r="B52" s="266"/>
      <c r="C52" s="267">
        <f ca="1">C31+C51</f>
        <v>965091361</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68134.5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68134.5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1363</v>
      </c>
      <c r="D20" s="846">
        <f ca="1">IF(C1="",'数据-汇总表'!E6,IF(INDIRECT("'数据-取费表'!c"&amp;$K$1)="住宅",INDIRECT("'数据-取费表'!s"&amp;$K$1),INDIRECT("'数据-取费表'!k"&amp;$K$1)+INDIRECT("'数据-取费表'!s"&amp;$K$1)))</f>
        <v>68134.5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3397</v>
      </c>
      <c r="D1" s="1362" t="s">
        <v>43</v>
      </c>
      <c r="E1" s="1363" t="s">
        <v>678</v>
      </c>
      <c r="F1" s="1062">
        <f ca="1">J53</f>
        <v>20.41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346343</v>
      </c>
      <c r="C2" s="1387" t="s">
        <v>805</v>
      </c>
      <c r="D2" s="1387"/>
      <c r="E2" s="1388"/>
      <c r="F2" s="1389"/>
      <c r="G2" s="2706"/>
      <c r="H2" s="2695"/>
      <c r="I2" s="2695"/>
      <c r="J2" s="2695"/>
      <c r="K2" s="2696"/>
      <c r="L2" s="2695"/>
      <c r="M2" s="2695"/>
    </row>
    <row r="3" spans="1:37" ht="18" customHeight="1" thickBot="1">
      <c r="A3" s="1390" t="s">
        <v>806</v>
      </c>
      <c r="B3" s="1391">
        <f ca="1">IF(ISERROR(B2*10000/F43),0,ROUND(B2*10000/F43,0))</f>
        <v>50832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27970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27900</v>
      </c>
      <c r="D6" s="155" t="s">
        <v>2109</v>
      </c>
      <c r="E6" s="302" t="s">
        <v>696</v>
      </c>
      <c r="F6" s="303">
        <f ca="1">INDIRECT("'数据-取费表'!u"&amp;$G$1)</f>
        <v>310000000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v>
      </c>
      <c r="G8" s="1384"/>
      <c r="H8" s="304"/>
      <c r="I8" s="3639"/>
      <c r="J8" s="306"/>
      <c r="K8" s="307"/>
      <c r="L8" s="302" t="s">
        <v>698</v>
      </c>
      <c r="M8" s="303">
        <f ca="1">INDIRECT("'数据-取费表'!ai"&amp;$G$1)</f>
        <v>1</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70</v>
      </c>
      <c r="D10" s="1366" t="s">
        <v>2117</v>
      </c>
      <c r="E10" s="313" t="s">
        <v>701</v>
      </c>
      <c r="F10" s="1116" t="s">
        <v>3694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92146</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68135</v>
      </c>
      <c r="D14" s="1345" t="s">
        <v>708</v>
      </c>
      <c r="E14" s="1342"/>
      <c r="F14" s="319"/>
      <c r="G14" s="1384"/>
      <c r="H14" s="982" t="s">
        <v>398</v>
      </c>
      <c r="I14" s="302" t="s">
        <v>709</v>
      </c>
      <c r="J14" s="21">
        <f ca="1">C29</f>
        <v>113761</v>
      </c>
      <c r="K14" s="12"/>
      <c r="L14" s="807"/>
      <c r="M14" s="808"/>
    </row>
    <row r="15" spans="1:37" s="1397" customFormat="1" ht="18" customHeight="1" thickBot="1">
      <c r="A15" s="982" t="s">
        <v>399</v>
      </c>
      <c r="B15" s="302" t="s">
        <v>710</v>
      </c>
      <c r="C15" s="21">
        <f ca="1">ROUND(C14*F15,0)</f>
        <v>3407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1222</v>
      </c>
      <c r="K16" s="1087" t="s">
        <v>715</v>
      </c>
      <c r="L16" s="1088"/>
      <c r="M16" s="1072"/>
    </row>
    <row r="17" spans="1:37" s="1397" customFormat="1" ht="18" customHeight="1">
      <c r="A17" s="982" t="s">
        <v>681</v>
      </c>
      <c r="B17" s="302" t="s">
        <v>716</v>
      </c>
      <c r="C17" s="21">
        <f ca="1">ROUND(F17*(F43+INDIRECT("'数据-取费表'!S"&amp;$G$1))/10000,0)</f>
        <v>1363</v>
      </c>
      <c r="D17" s="302" t="s">
        <v>717</v>
      </c>
      <c r="E17" s="302" t="s">
        <v>718</v>
      </c>
      <c r="F17" s="23">
        <f>'数据-取费表'!B35</f>
        <v>200</v>
      </c>
      <c r="G17" s="1396"/>
      <c r="H17" s="982" t="s">
        <v>398</v>
      </c>
      <c r="I17" s="302" t="s">
        <v>719</v>
      </c>
      <c r="J17" s="2316">
        <f ca="1">ROUND(IF(AND(项目基本情况!B11="自然人",项目基本情况!B10="北京市"),J6*M17/(1+'数据-取费表'!C42),J18+J19+J20),2)</f>
        <v>84.56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73927</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2218</v>
      </c>
      <c r="D20" s="323" t="s">
        <v>729</v>
      </c>
      <c r="E20" s="302" t="s">
        <v>712</v>
      </c>
      <c r="F20" s="322">
        <f>'数据-取费表'!B37</f>
        <v>0.03</v>
      </c>
      <c r="G20" s="1396"/>
      <c r="H20" s="982" t="s">
        <v>680</v>
      </c>
      <c r="I20" s="155" t="s">
        <v>730</v>
      </c>
      <c r="J20" s="22">
        <f ca="1">ROUND(M20*M21/10000,2)</f>
        <v>84.56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35234.239999999998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1137.6099999999999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4090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-1222</v>
      </c>
      <c r="K25" s="1095" t="s">
        <v>753</v>
      </c>
      <c r="L25" s="1096"/>
      <c r="M25" s="1097"/>
    </row>
    <row r="26" spans="1:37">
      <c r="A26" s="982" t="s">
        <v>397</v>
      </c>
      <c r="B26" s="302" t="s">
        <v>754</v>
      </c>
      <c r="C26" s="21">
        <f ca="1">ROUND((C19+C20)*F26,0)</f>
        <v>22844</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8.9999999999999993E-3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113761</v>
      </c>
      <c r="D29" s="1092"/>
      <c r="E29" s="1090"/>
      <c r="F29" s="1093"/>
      <c r="G29" s="1396"/>
      <c r="H29" s="334" t="s">
        <v>396</v>
      </c>
      <c r="I29" s="335" t="s">
        <v>768</v>
      </c>
      <c r="J29" s="336">
        <f ca="1">ROUND(J26/(1+F40)^F41,0)</f>
        <v>0</v>
      </c>
      <c r="K29" s="337" t="s">
        <v>769</v>
      </c>
      <c r="L29" s="338"/>
      <c r="M29" s="339">
        <f ca="1">INDIRECT("'数据-取费表'!k"&amp;$G$1)</f>
        <v>68134.5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4761.13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1488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3188.57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84.56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35234.239999999998</v>
      </c>
      <c r="G35" s="1384"/>
      <c r="H35" s="2697"/>
      <c r="I35" s="1398"/>
      <c r="J35" s="1399"/>
      <c r="K35" s="2701"/>
      <c r="L35" s="2700"/>
      <c r="M35" s="2700"/>
    </row>
    <row r="36" spans="1:18" ht="18" customHeight="1">
      <c r="A36" s="1102" t="s">
        <v>402</v>
      </c>
      <c r="B36" s="302" t="s">
        <v>738</v>
      </c>
      <c r="C36" s="21">
        <f ca="1">ROUND(C29*F36,2)</f>
        <v>1137.6099999999999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92.15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279.7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21699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335944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20.41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49306</v>
      </c>
      <c r="D43" s="337" t="s">
        <v>777</v>
      </c>
      <c r="E43" s="338" t="s">
        <v>778</v>
      </c>
      <c r="F43" s="339">
        <f ca="1">INDIRECT("'数据-取费表'!k"&amp;$G$1)</f>
        <v>68134.5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-351837</v>
      </c>
      <c r="D46" s="1406" t="str">
        <f>C2</f>
        <v>万元</v>
      </c>
      <c r="E46" s="1400"/>
      <c r="F46" s="1400"/>
      <c r="I46" s="1407" t="s">
        <v>810</v>
      </c>
      <c r="J46" s="1408"/>
      <c r="K46" s="1409"/>
      <c r="L46" s="1410">
        <f ca="1">IF(M47="住宅",0,IF(L48&gt;J51,L60,J60))</f>
        <v>10399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3691</v>
      </c>
      <c r="K47" s="1416" t="s">
        <v>816</v>
      </c>
      <c r="L47" s="1417">
        <f ca="1">INDIRECT("'数据-取费表'!d"&amp;$G$1)</f>
        <v>40</v>
      </c>
      <c r="M47" s="1380" t="str">
        <f>IF(ISNUMBER(FIND("住宅",C1)),"住宅","非住宅")</f>
        <v>非住宅</v>
      </c>
      <c r="O47" s="1418" t="s">
        <v>403</v>
      </c>
      <c r="P47" s="1419" t="s">
        <v>817</v>
      </c>
      <c r="Q47" s="1420">
        <f ca="1">C40+J29</f>
        <v>335944</v>
      </c>
      <c r="R47" s="1420" t="s">
        <v>818</v>
      </c>
    </row>
    <row r="48" spans="1:18" s="1384" customFormat="1" ht="28.5" thickBot="1">
      <c r="A48" s="1110" t="s">
        <v>438</v>
      </c>
      <c r="B48" s="300" t="s">
        <v>692</v>
      </c>
      <c r="C48" s="1359">
        <f ca="1">C49+C53+C55</f>
        <v>0</v>
      </c>
      <c r="D48" s="1112"/>
      <c r="E48" s="1113"/>
      <c r="F48" s="962"/>
      <c r="G48" s="722"/>
      <c r="H48" s="723"/>
      <c r="I48" s="1421" t="s">
        <v>819</v>
      </c>
      <c r="J48" s="1422" t="s">
        <v>3692</v>
      </c>
      <c r="K48" s="1423" t="s">
        <v>820</v>
      </c>
      <c r="L48" s="1424">
        <f ca="1">INDIRECT("'数据-取费表'!f"&amp;$G$1)</f>
        <v>20.41</v>
      </c>
      <c r="O48" s="1418" t="s">
        <v>404</v>
      </c>
      <c r="P48" s="1419" t="s">
        <v>821</v>
      </c>
      <c r="Q48" s="1420">
        <f ca="1">J60</f>
        <v>10399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113761</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267554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20.41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20.41</v>
      </c>
      <c r="K53" s="3636" t="s">
        <v>837</v>
      </c>
      <c r="L53" s="3637"/>
      <c r="O53" s="1418" t="s">
        <v>409</v>
      </c>
      <c r="P53" s="1419" t="s">
        <v>838</v>
      </c>
      <c r="Q53" s="1420">
        <f ca="1">Q47+Q48</f>
        <v>346343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0.377</v>
      </c>
      <c r="K55" s="1445" t="s">
        <v>841</v>
      </c>
      <c r="L55" s="1446"/>
      <c r="O55" s="1411" t="s">
        <v>811</v>
      </c>
      <c r="P55" s="1412" t="s">
        <v>812</v>
      </c>
      <c r="Q55" s="1413" t="s">
        <v>813</v>
      </c>
      <c r="R55" s="1413" t="s">
        <v>814</v>
      </c>
    </row>
    <row r="56" spans="1:18" s="1384" customFormat="1" ht="25.5" thickTop="1" thickBot="1">
      <c r="A56" s="957">
        <v>2</v>
      </c>
      <c r="B56" s="958" t="s">
        <v>704</v>
      </c>
      <c r="C56" s="232">
        <f ca="1">C13</f>
        <v>92146</v>
      </c>
      <c r="D56" s="1447"/>
      <c r="E56" s="1448"/>
      <c r="F56" s="1440"/>
      <c r="I56" s="1449" t="s">
        <v>842</v>
      </c>
      <c r="J56" s="1450" t="s">
        <v>3693</v>
      </c>
      <c r="K56" s="1421" t="s">
        <v>843</v>
      </c>
      <c r="L56" s="1424" t="str">
        <f ca="1">IF(L48&lt;J51,"——",L48-J53)</f>
        <v>——</v>
      </c>
      <c r="O56" s="1418" t="s">
        <v>403</v>
      </c>
      <c r="P56" s="1419" t="s">
        <v>817</v>
      </c>
      <c r="Q56" s="1420">
        <f ca="1">C40+J29</f>
        <v>335944</v>
      </c>
      <c r="R56" s="1420" t="s">
        <v>818</v>
      </c>
    </row>
    <row r="57" spans="1:18" s="1384" customFormat="1" ht="24.75" thickBot="1">
      <c r="A57" s="1451"/>
      <c r="B57" s="950" t="s">
        <v>767</v>
      </c>
      <c r="C57" s="238">
        <f ca="1">C29</f>
        <v>113761</v>
      </c>
      <c r="D57" s="1452"/>
      <c r="E57" s="1453"/>
      <c r="F57" s="1454"/>
      <c r="I57" s="1455" t="s">
        <v>844</v>
      </c>
      <c r="J57" s="1456">
        <f ca="1">IF(OR(M47="住宅",J51&lt;L48,J56="是"),"——",J51-L48)</f>
        <v>22.59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45504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84.56</v>
      </c>
      <c r="D62" s="965" t="s">
        <v>786</v>
      </c>
      <c r="E62" s="950" t="s">
        <v>787</v>
      </c>
      <c r="F62" s="325">
        <f t="shared" si="0"/>
        <v>24</v>
      </c>
      <c r="I62" s="1462" t="s">
        <v>858</v>
      </c>
      <c r="J62" s="1463" t="s">
        <v>859</v>
      </c>
      <c r="K62" s="1463" t="s">
        <v>860</v>
      </c>
      <c r="L62" s="1463" t="s">
        <v>861</v>
      </c>
      <c r="M62" s="1464" t="s">
        <v>862</v>
      </c>
      <c r="O62" s="1418" t="s">
        <v>409</v>
      </c>
      <c r="P62" s="1419" t="s">
        <v>863</v>
      </c>
      <c r="Q62" s="1420">
        <f ca="1">Q56+Q57</f>
        <v>335944</v>
      </c>
      <c r="R62" s="1420" t="s">
        <v>410</v>
      </c>
    </row>
    <row r="63" spans="1:18" s="1384" customFormat="1" ht="13.5" thickBot="1">
      <c r="A63" s="326"/>
      <c r="B63" s="956"/>
      <c r="C63" s="26"/>
      <c r="D63" s="966"/>
      <c r="E63" s="950" t="s">
        <v>788</v>
      </c>
      <c r="F63" s="303">
        <f t="shared" ca="1" si="0"/>
        <v>35234.239999999998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1137.6099999999999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92.15</v>
      </c>
      <c r="D65" s="964" t="s">
        <v>743</v>
      </c>
      <c r="E65" s="950" t="s">
        <v>744</v>
      </c>
      <c r="F65" s="330">
        <f t="shared" ca="1" si="0"/>
        <v>1E-3</v>
      </c>
      <c r="I65" s="1462" t="s">
        <v>867</v>
      </c>
      <c r="J65" s="1463">
        <v>40</v>
      </c>
      <c r="K65" s="1463">
        <v>30</v>
      </c>
      <c r="L65" s="1463">
        <v>50</v>
      </c>
      <c r="M65" s="1465">
        <v>0.02</v>
      </c>
      <c r="O65" s="1418" t="s">
        <v>403</v>
      </c>
      <c r="P65" s="1419" t="s">
        <v>868</v>
      </c>
      <c r="Q65" s="1420">
        <f ca="1">C40+J29</f>
        <v>335944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-1315</v>
      </c>
      <c r="D67" s="963" t="s">
        <v>753</v>
      </c>
      <c r="E67" s="968"/>
      <c r="F67" s="969"/>
      <c r="O67" s="1428" t="s">
        <v>405</v>
      </c>
      <c r="P67" s="1419" t="s">
        <v>850</v>
      </c>
      <c r="Q67" s="1466">
        <f ca="1">L51</f>
        <v>267554</v>
      </c>
      <c r="R67" s="1420" t="s">
        <v>870</v>
      </c>
    </row>
    <row r="68" spans="1:18" s="1384" customFormat="1" ht="16.5" thickBot="1">
      <c r="A68" s="947" t="s">
        <v>395</v>
      </c>
      <c r="B68" s="948" t="s">
        <v>774</v>
      </c>
      <c r="C68" s="301">
        <f ca="1">ROUND(C67*(1-((1+F70)/(1+F68))^F69)/(F68-F70),0)</f>
        <v>-15893</v>
      </c>
      <c r="D68" s="965" t="s">
        <v>758</v>
      </c>
      <c r="E68" s="950" t="s">
        <v>759</v>
      </c>
      <c r="F68" s="312">
        <f ca="1">F40</f>
        <v>5.5E-2</v>
      </c>
      <c r="O68" s="1428" t="s">
        <v>406</v>
      </c>
      <c r="P68" s="1467" t="s">
        <v>871</v>
      </c>
      <c r="Q68" s="1420">
        <f ca="1">ROUND(Q69-Q70*Q71,0)</f>
        <v>15249</v>
      </c>
      <c r="R68" s="1420" t="s">
        <v>414</v>
      </c>
    </row>
    <row r="69" spans="1:18" s="1384" customFormat="1" ht="13.5" thickBot="1">
      <c r="A69" s="951"/>
      <c r="B69" s="952"/>
      <c r="C69" s="306"/>
      <c r="D69" s="970" t="s">
        <v>762</v>
      </c>
      <c r="E69" s="950" t="s">
        <v>763</v>
      </c>
      <c r="F69" s="333">
        <f ca="1">F41</f>
        <v>20.41</v>
      </c>
      <c r="O69" s="1428" t="s">
        <v>411</v>
      </c>
      <c r="P69" s="1467" t="s">
        <v>872</v>
      </c>
      <c r="Q69" s="1420">
        <f ca="1">C39</f>
        <v>21699</v>
      </c>
      <c r="R69" s="1420" t="s">
        <v>818</v>
      </c>
    </row>
    <row r="70" spans="1:18" s="1384" customFormat="1" ht="13.5" thickBot="1">
      <c r="A70" s="954"/>
      <c r="B70" s="955"/>
      <c r="C70" s="310"/>
      <c r="D70" s="966"/>
      <c r="E70" s="950" t="s">
        <v>766</v>
      </c>
      <c r="F70" s="1054"/>
      <c r="O70" s="1428" t="s">
        <v>412</v>
      </c>
      <c r="P70" s="1467" t="s">
        <v>873</v>
      </c>
      <c r="Q70" s="1420">
        <f ca="1">C13</f>
        <v>92146</v>
      </c>
      <c r="R70" s="1420" t="s">
        <v>818</v>
      </c>
    </row>
    <row r="71" spans="1:18" s="1384" customFormat="1" ht="13.5" thickBot="1">
      <c r="A71" s="971" t="s">
        <v>396</v>
      </c>
      <c r="B71" s="972" t="s">
        <v>776</v>
      </c>
      <c r="C71" s="336">
        <f ca="1">ROUND(C68*10000/F71,0)</f>
        <v>-2333</v>
      </c>
      <c r="D71" s="973" t="s">
        <v>777</v>
      </c>
      <c r="E71" s="974" t="s">
        <v>778</v>
      </c>
      <c r="F71" s="339">
        <f ca="1">F43</f>
        <v>68134.5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6450</v>
      </c>
      <c r="D75" s="1384"/>
      <c r="E75" s="1384"/>
      <c r="F75" s="1384"/>
      <c r="K75" s="1402"/>
      <c r="L75" s="1384"/>
      <c r="O75" s="1418" t="s">
        <v>409</v>
      </c>
      <c r="P75" s="1419" t="s">
        <v>838</v>
      </c>
      <c r="Q75" s="1420">
        <f ca="1">Q65+Q66</f>
        <v>335944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0.70300000000000007</v>
      </c>
    </row>
    <row r="80" spans="1:18">
      <c r="B80" s="340" t="s">
        <v>800</v>
      </c>
      <c r="C80" s="274">
        <f ca="1">ROUND(C75/C39,3)</f>
        <v>0.29699999999999999</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80" zoomScaleNormal="80" workbookViewId="0">
      <selection activeCell="F45" sqref="F4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333560</v>
      </c>
      <c r="C2" s="2844" t="s">
        <v>2320</v>
      </c>
      <c r="D2" s="3443" t="s">
        <v>3364</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48956</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f>'数据-汇总表'!E3</f>
        <v>68134.5</v>
      </c>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f>'数据-汇总表'!D3</f>
        <v>35234.239999999998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f>'数据-取费表'!U6/10000</f>
        <v>31000</v>
      </c>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7905</v>
      </c>
      <c r="E7" s="2880">
        <f>E9+E10+E11+E17</f>
        <v>0.255</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3100</v>
      </c>
      <c r="E9" s="2893">
        <v>0.1</v>
      </c>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1550</v>
      </c>
      <c r="E10" s="2893">
        <v>0.05</v>
      </c>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1705</v>
      </c>
      <c r="E11" s="2895">
        <f>D11/D6</f>
        <v>5.5E-2</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1705</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1550</v>
      </c>
      <c r="E17" s="2912">
        <v>0.05</v>
      </c>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1550</v>
      </c>
      <c r="E18" s="2915">
        <v>0.05</v>
      </c>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31000</v>
      </c>
      <c r="D23" s="2934">
        <f>C23*(1+D24)</f>
        <v>31000</v>
      </c>
      <c r="E23" s="2935">
        <f>D23*(1+E24)</f>
        <v>31000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7905</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E7</f>
        <v>0.255</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1550</v>
      </c>
      <c r="D29" s="2934">
        <f>D23*C30</f>
        <v>1550</v>
      </c>
      <c r="E29" s="2935">
        <f>E23*C30</f>
        <v>1550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21545</v>
      </c>
      <c r="D32" s="2934">
        <f>D23-D26-D29</f>
        <v>29450</v>
      </c>
      <c r="E32" s="2935">
        <f>E23-E26-E29</f>
        <v>29450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f ca="1">收益法!F40</f>
        <v>5.5E-2</v>
      </c>
      <c r="D34" s="2978">
        <v>0.06</v>
      </c>
      <c r="E34" s="2979">
        <v>0.06</v>
      </c>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0.03</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20.41</v>
      </c>
      <c r="D36" s="2988">
        <v>0</v>
      </c>
      <c r="E36" s="2989">
        <v>0</v>
      </c>
      <c r="F36" s="2990">
        <f ca="1">C36+D36+E36</f>
        <v>20.41</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333560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333560</v>
      </c>
      <c r="D39" s="2932">
        <f ca="1">D38/(1+D34)^C36</f>
        <v>0</v>
      </c>
      <c r="E39" s="2932">
        <f ca="1">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333560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48956</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346343</v>
      </c>
      <c r="C2" s="1872" t="s">
        <v>1651</v>
      </c>
      <c r="D2" s="1873" t="s">
        <v>1652</v>
      </c>
      <c r="E2" s="2607">
        <f>SUM(E6:E13)</f>
        <v>68134.5</v>
      </c>
      <c r="F2" s="2707"/>
      <c r="G2" s="1489"/>
      <c r="H2" s="1489"/>
      <c r="I2" s="1489"/>
      <c r="J2" s="1489"/>
      <c r="K2" s="1489"/>
      <c r="L2" s="1489"/>
      <c r="M2" s="1489"/>
      <c r="N2" s="1489"/>
      <c r="O2" s="1489"/>
      <c r="P2" s="1489"/>
      <c r="Q2" s="1489"/>
      <c r="R2" s="1489"/>
      <c r="S2" s="1489"/>
    </row>
    <row r="3" spans="1:22" ht="15.75">
      <c r="A3" s="1870" t="s">
        <v>686</v>
      </c>
      <c r="B3" s="2601">
        <f ca="1">ROUND(B2*10000/E2,0)</f>
        <v>50832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346343</v>
      </c>
      <c r="C6" s="1872" t="s">
        <v>1651</v>
      </c>
      <c r="D6" s="2709"/>
      <c r="E6" s="2606">
        <f>IF(OR(A6=0,F6="否"),0,'数据-取费表'!K6+'数据-取费表'!S6)</f>
        <v>68134.5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68134.5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68134.5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68134.5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估价对象为北京市房地产，为所有。根据《国有土地使用证》[]，估价对象（分摊）出让国有建设用地使用权面积为35234.24平方米，建筑面积为68134.5平方米。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估价对象为北京市房地产,属开发建设的，该项目尚在开发建设中。根据《国有土地使用证》[]，估价对象（分摊）出让国有建设用地使用权面积为35234.24平方米，规划建筑面积为68134.5平方米。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68134.5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15780.14</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19203.849999999999</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34983.99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15780.14</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19203.849999999999</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35234.239999999998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90758</v>
      </c>
      <c r="C2" s="2145" t="s">
        <v>2074</v>
      </c>
      <c r="D2" s="2145" t="s">
        <v>2075</v>
      </c>
      <c r="E2" s="2612">
        <f ca="1">SUMIF(E6:E13,"&lt;&gt;#ref!",E6:E13)</f>
        <v>52354.359999999993</v>
      </c>
      <c r="F2" s="2793"/>
      <c r="G2" s="2793"/>
      <c r="H2" s="2793"/>
      <c r="I2" s="2793"/>
      <c r="J2" s="2793"/>
      <c r="K2" s="2793"/>
      <c r="L2" s="2793"/>
      <c r="M2" s="2793"/>
      <c r="N2" s="2793"/>
      <c r="O2" s="2793"/>
      <c r="P2" s="2793"/>
    </row>
    <row r="3" spans="1:16" ht="15.75">
      <c r="A3" s="2145" t="s">
        <v>2076</v>
      </c>
      <c r="B3" s="2602">
        <f ca="1">ROUND(B2*10000/E2,0)</f>
        <v>17335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90758</v>
      </c>
      <c r="C6" s="2145" t="s">
        <v>2074</v>
      </c>
      <c r="D6" s="2793"/>
      <c r="E6" s="2612">
        <f ca="1">SUMIF(INDIRECT("'"&amp;A6&amp;"'"&amp;"!C:C"),"建筑面积",INDIRECT("'"&amp;A6&amp;"'"&amp;"!D:D"))</f>
        <v>52354.359999999993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52354.359999999993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90758</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34392</v>
      </c>
      <c r="U2" s="1213">
        <f>面积清单!D7</f>
        <v>11962.71</v>
      </c>
      <c r="V2" s="3361">
        <f>ROUND(T2*U2/10000,0)</f>
        <v>41142</v>
      </c>
      <c r="W2" s="1216"/>
      <c r="X2" s="1216"/>
      <c r="Y2" s="1216"/>
      <c r="Z2" s="1216"/>
      <c r="AA2" s="1216"/>
      <c r="AB2" s="1216"/>
      <c r="AC2" s="1217"/>
      <c r="AD2" s="1218"/>
      <c r="AE2" s="1218"/>
      <c r="AF2" s="1218"/>
      <c r="AG2" s="1218"/>
      <c r="AH2" s="1218"/>
      <c r="AI2" s="1218"/>
      <c r="AJ2" s="1219"/>
    </row>
    <row r="3" spans="1:36" ht="15.75">
      <c r="A3" s="203" t="s">
        <v>1940</v>
      </c>
      <c r="B3" s="204">
        <f>ROUND(B2*10000/D1,0)</f>
        <v>17335</v>
      </c>
      <c r="C3" s="1999" t="s">
        <v>1941</v>
      </c>
      <c r="D3" s="2000" t="s">
        <v>1942</v>
      </c>
      <c r="E3" s="3420" t="s">
        <v>2443</v>
      </c>
      <c r="F3" s="2004" t="s">
        <v>3695</v>
      </c>
      <c r="G3" s="752">
        <f>IF(F3="宗地容积率",'数据-汇总表'!I4,IF(F3="估价对象容积率",'数据-汇总表'!I6,'数据-汇总表'!I7))</f>
        <v>0.45</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27108</v>
      </c>
      <c r="U3" s="1213">
        <f>面积清单!E8</f>
        <v>3633.91</v>
      </c>
      <c r="V3" s="3361">
        <f t="shared" ref="V3:V16" si="1">ROUND(T3*U3/10000,0)</f>
        <v>9851</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22910</v>
      </c>
      <c r="U4" s="1213">
        <f>面积清单!E9</f>
        <v>183.52</v>
      </c>
      <c r="V4" s="3361">
        <f t="shared" si="1"/>
        <v>420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27578</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1.0115000000000001</v>
      </c>
      <c r="D7" s="2022" t="s">
        <v>1953</v>
      </c>
      <c r="E7" s="776">
        <v>130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0.45</v>
      </c>
      <c r="AA7" s="1216"/>
      <c r="AB7" s="1216"/>
      <c r="AC7" s="1217"/>
      <c r="AD7" s="1218"/>
      <c r="AE7" s="1218"/>
      <c r="AF7" s="1218"/>
      <c r="AG7" s="1218"/>
      <c r="AH7" s="1218"/>
      <c r="AI7" s="1218"/>
      <c r="AJ7" s="1219"/>
    </row>
    <row r="8" spans="1:36" ht="15">
      <c r="A8" s="3299"/>
      <c r="B8" s="170" t="s">
        <v>1957</v>
      </c>
      <c r="C8" s="2026" t="s">
        <v>3697</v>
      </c>
      <c r="D8" s="756" t="s">
        <v>112</v>
      </c>
      <c r="E8" s="757">
        <f>ROUND(C11/E7,4)</f>
        <v>2.8799999999999999E-2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2.8799999999999999E-2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2.8799999999999999E-2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2.8799999999999999E-2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3699</v>
      </c>
      <c r="I20" s="3326" t="s">
        <v>3700</v>
      </c>
      <c r="J20" s="3327" t="s">
        <v>3701</v>
      </c>
      <c r="K20" s="2047" t="s">
        <v>3702</v>
      </c>
      <c r="L20" s="2047" t="s">
        <v>3703</v>
      </c>
      <c r="M20" s="2047" t="s">
        <v>3704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3698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45106</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0.75319999999999998</v>
      </c>
      <c r="D24" s="2060" t="s">
        <v>2007</v>
      </c>
      <c r="E24" s="1335">
        <f>存贷款利率!E23/100</f>
        <v>4.3499999999999997E-2</v>
      </c>
      <c r="F24" s="2060" t="s">
        <v>1999</v>
      </c>
      <c r="G24" s="768">
        <f>SUMIF(M30:Q30,E2,M33:Q33)</f>
        <v>5.5E-2</v>
      </c>
      <c r="H24" s="2060" t="s">
        <v>2008</v>
      </c>
      <c r="I24" s="769">
        <f>SUMIF('数据-取费表'!C6:C15,E2,'数据-取费表'!F6:F15)/COUNTIF('数据-取费表'!C6:C15,E2)</f>
        <v>20.41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3696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90758</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9837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13583</v>
      </c>
      <c r="D37" s="2098">
        <f>面积清单!E6</f>
        <v>13777.93</v>
      </c>
      <c r="E37" s="171">
        <f>ROUND(C37*D37/10000,0)</f>
        <v>18715</v>
      </c>
      <c r="F37" s="171">
        <f>SUMIF(修正!A57:A68,G2,修正!B57:B68)</f>
        <v>0.6</v>
      </c>
      <c r="G37" s="171">
        <f>ROUND(IF(E2="工业",C37*$M$42,C37*$M$41),0)</f>
        <v>3396</v>
      </c>
      <c r="H37" s="171">
        <f>D37</f>
        <v>13777.93</v>
      </c>
      <c r="I37" s="171">
        <f>ROUND(G37*H37/10000,0)</f>
        <v>4679</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6791</v>
      </c>
      <c r="D38" s="2098">
        <f>面积清单!E4+面积清单!E5</f>
        <v>19372.579999999998</v>
      </c>
      <c r="E38" s="171">
        <f t="shared" ref="E38:E42" si="4">ROUND(C38*D38/10000,0)</f>
        <v>13156</v>
      </c>
      <c r="F38" s="171">
        <f>SUMIF(修正!A57:A68,G2,修正!C57:C68)</f>
        <v>0.3</v>
      </c>
      <c r="G38" s="171">
        <f>ROUND(IF(E2="工业",C38*$M$42,C38*$M$41),0)</f>
        <v>1698</v>
      </c>
      <c r="H38" s="171">
        <f t="shared" ref="H38:H42" si="5">D38</f>
        <v>19372.579999999998</v>
      </c>
      <c r="I38" s="171">
        <f t="shared" ref="I38:I42" si="6">ROUND(G38*H38/10000,0)</f>
        <v>3289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5660</v>
      </c>
      <c r="D39" s="2098"/>
      <c r="E39" s="171">
        <f t="shared" si="4"/>
        <v>0</v>
      </c>
      <c r="F39" s="171">
        <f>SUMIF(修正!A57:A68,G2,修正!D57:D68)</f>
        <v>0.25</v>
      </c>
      <c r="G39" s="171">
        <f>ROUND(IF(E2="工业",C39*$M$42,C39*$M$41),0)</f>
        <v>1415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5660</v>
      </c>
      <c r="D40" s="2098"/>
      <c r="E40" s="171">
        <f t="shared" si="4"/>
        <v>0</v>
      </c>
      <c r="F40" s="175">
        <f>SUMIF(修正!A57:A68,G2,修正!E57:E68)</f>
        <v>0.25</v>
      </c>
      <c r="G40" s="171">
        <f>ROUND(IF(E2="工业",C40*$M$42,C40*$M$41),0)</f>
        <v>1415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6486</v>
      </c>
      <c r="D41" s="2098"/>
      <c r="E41" s="171">
        <f t="shared" si="4"/>
        <v>0</v>
      </c>
      <c r="F41" s="175">
        <f>SUMIF(修正!A57:A68,G2,修正!F57:F68)</f>
        <v>0.25</v>
      </c>
      <c r="G41" s="171">
        <f>ROUND(IF(E2="工业",C41*$M$42,C41*$M$41),0)</f>
        <v>1622</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3892</v>
      </c>
      <c r="D42" s="2103">
        <f>面积清单!F4+面积清单!F5+面积清单!F6</f>
        <v>19203.849999999999</v>
      </c>
      <c r="E42" s="187">
        <f t="shared" si="4"/>
        <v>7474</v>
      </c>
      <c r="F42" s="767">
        <f>SUMIF(修正!A57:A68,G2,修正!G57:G68)</f>
        <v>0.15</v>
      </c>
      <c r="G42" s="187">
        <f>ROUND(IF(E2="工业",C42*$M$42,C42*$M$41),0)</f>
        <v>973</v>
      </c>
      <c r="H42" s="187">
        <f t="shared" si="5"/>
        <v>19203.849999999999</v>
      </c>
      <c r="I42" s="187">
        <f t="shared" si="6"/>
        <v>1869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0.86319999999999997</v>
      </c>
      <c r="D44" s="171" t="s">
        <v>1999</v>
      </c>
      <c r="E44" s="2153">
        <f>G24</f>
        <v>5.5E-2</v>
      </c>
      <c r="F44" s="171" t="s">
        <v>2008</v>
      </c>
      <c r="G44" s="183">
        <f>项目基本情况!F15</f>
        <v>30.42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3705</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3706</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3706</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3706</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3706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3706</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3706</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3705</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3706</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0.45</v>
      </c>
      <c r="C116" s="3400" t="s">
        <v>3319</v>
      </c>
      <c r="D116" s="3401">
        <f>SUMPRODUCT((A118:A122=F116)*(B117:M117=H116)*B118:M122)</f>
        <v>0.94269999999999998</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0.9919</v>
      </c>
      <c r="C118" s="3388">
        <f>B118</f>
        <v>0.9919</v>
      </c>
      <c r="D118" s="3388">
        <f>ROUND(0.949-0.014*B116,4)</f>
        <v>0.94269999999999998</v>
      </c>
      <c r="E118" s="3388">
        <f>D118</f>
        <v>0.94269999999999998</v>
      </c>
      <c r="F118" s="3388">
        <f>E118</f>
        <v>0.94269999999999998</v>
      </c>
      <c r="G118" s="3388">
        <f>F118</f>
        <v>0.94269999999999998</v>
      </c>
      <c r="H118" s="3388">
        <f>G118</f>
        <v>0.94269999999999998</v>
      </c>
      <c r="I118" s="3388">
        <f>ROUND(0.8486-0.018*B116,4)</f>
        <v>0.84050000000000002</v>
      </c>
      <c r="J118" s="3388">
        <f t="shared" ref="J118:M122" si="36">I118</f>
        <v>0.84050000000000002</v>
      </c>
      <c r="K118" s="3388">
        <f t="shared" si="36"/>
        <v>0.84050000000000002</v>
      </c>
      <c r="L118" s="3388">
        <f t="shared" si="36"/>
        <v>0.84050000000000002</v>
      </c>
      <c r="M118" s="3411">
        <f t="shared" si="36"/>
        <v>0.84050000000000002</v>
      </c>
      <c r="N118" s="3398"/>
    </row>
    <row r="119" spans="1:14">
      <c r="A119" s="3410" t="s">
        <v>3335</v>
      </c>
      <c r="B119" s="3388">
        <f>ROUND(0.993-0.0112*B116,4)</f>
        <v>0.98799999999999999</v>
      </c>
      <c r="C119" s="3388">
        <f>B119</f>
        <v>0.98799999999999999</v>
      </c>
      <c r="D119" s="3388">
        <f>ROUND(0.9415-0.0142*B116,4)</f>
        <v>0.93510000000000004</v>
      </c>
      <c r="E119" s="3388">
        <f t="shared" ref="E119:H120" si="37">D119</f>
        <v>0.93510000000000004</v>
      </c>
      <c r="F119" s="3388">
        <f t="shared" si="37"/>
        <v>0.93510000000000004</v>
      </c>
      <c r="G119" s="3388">
        <f t="shared" si="37"/>
        <v>0.93510000000000004</v>
      </c>
      <c r="H119" s="3388">
        <f t="shared" si="37"/>
        <v>0.93510000000000004</v>
      </c>
      <c r="I119" s="3388">
        <f>ROUND(0.838-0.0182*B116,4)</f>
        <v>0.82979999999999998</v>
      </c>
      <c r="J119" s="3388">
        <f t="shared" si="36"/>
        <v>0.82979999999999998</v>
      </c>
      <c r="K119" s="3388">
        <f t="shared" si="36"/>
        <v>0.82979999999999998</v>
      </c>
      <c r="L119" s="3388">
        <f t="shared" si="36"/>
        <v>0.82979999999999998</v>
      </c>
      <c r="M119" s="3411">
        <f t="shared" si="36"/>
        <v>0.82979999999999998</v>
      </c>
      <c r="N119" s="3398"/>
    </row>
    <row r="120" spans="1:14">
      <c r="A120" s="3410" t="s">
        <v>3336</v>
      </c>
      <c r="B120" s="3388">
        <f>ROUND(0.9448-0.0115*B116,4)</f>
        <v>0.93959999999999999</v>
      </c>
      <c r="C120" s="3388">
        <f>B120</f>
        <v>0.93959999999999999</v>
      </c>
      <c r="D120" s="3388">
        <f>ROUND(0.937-0.0145*B116,4)</f>
        <v>0.93049999999999999</v>
      </c>
      <c r="E120" s="3388">
        <f t="shared" si="37"/>
        <v>0.93049999999999999</v>
      </c>
      <c r="F120" s="3388">
        <f t="shared" si="37"/>
        <v>0.93049999999999999</v>
      </c>
      <c r="G120" s="3388">
        <f t="shared" si="37"/>
        <v>0.93049999999999999</v>
      </c>
      <c r="H120" s="3388">
        <f t="shared" si="37"/>
        <v>0.93049999999999999</v>
      </c>
      <c r="I120" s="3388">
        <f>ROUND(0.7965-0.0185*B116,4)</f>
        <v>0.78820000000000001</v>
      </c>
      <c r="J120" s="3388">
        <f t="shared" si="36"/>
        <v>0.78820000000000001</v>
      </c>
      <c r="K120" s="3388">
        <f t="shared" si="36"/>
        <v>0.78820000000000001</v>
      </c>
      <c r="L120" s="3388">
        <f t="shared" si="36"/>
        <v>0.78820000000000001</v>
      </c>
      <c r="M120" s="3411">
        <f t="shared" si="36"/>
        <v>0.78820000000000001</v>
      </c>
      <c r="N120" s="3398"/>
    </row>
    <row r="121" spans="1:14" ht="13.5" thickBot="1">
      <c r="A121" s="3412" t="s">
        <v>3337</v>
      </c>
      <c r="B121" s="3413">
        <f>ROUND(0.7836-0.012*B116,4)</f>
        <v>0.7782</v>
      </c>
      <c r="C121" s="3413">
        <f>B121</f>
        <v>0.7782</v>
      </c>
      <c r="D121" s="3413">
        <f>ROUND(0.753-0.015*B116,4)</f>
        <v>0.74629999999999996</v>
      </c>
      <c r="E121" s="3413">
        <f>D121</f>
        <v>0.74629999999999996</v>
      </c>
      <c r="F121" s="3413">
        <f>E121</f>
        <v>0.74629999999999996</v>
      </c>
      <c r="G121" s="3413">
        <f>ROUND(0.6612-0.018*B116,4)</f>
        <v>0.65310000000000001</v>
      </c>
      <c r="H121" s="3413">
        <f>G121</f>
        <v>0.65310000000000001</v>
      </c>
      <c r="I121" s="3413">
        <f>ROUND(0.5905-0.019*B116,4)</f>
        <v>0.58199999999999996</v>
      </c>
      <c r="J121" s="3413">
        <f t="shared" si="36"/>
        <v>0.58199999999999996</v>
      </c>
      <c r="K121" s="3413">
        <f t="shared" si="36"/>
        <v>0.58199999999999996</v>
      </c>
      <c r="L121" s="3413">
        <f t="shared" si="36"/>
        <v>0.58199999999999996</v>
      </c>
      <c r="M121" s="3414">
        <f t="shared" si="36"/>
        <v>0.58199999999999996</v>
      </c>
      <c r="N121" s="3398"/>
    </row>
    <row r="122" spans="1:14">
      <c r="A122" s="3415" t="s">
        <v>2616</v>
      </c>
      <c r="B122" s="3388">
        <f>ROUND(0.9404-0.0106*B116,4)</f>
        <v>0.93559999999999999</v>
      </c>
      <c r="C122" s="3388">
        <f>B122</f>
        <v>0.93559999999999999</v>
      </c>
      <c r="D122" s="3388">
        <f>ROUND(0.8955-0.0135*B116,4)</f>
        <v>0.88939999999999997</v>
      </c>
      <c r="E122" s="3388">
        <f t="shared" ref="E122:H122" si="38">D122</f>
        <v>0.88939999999999997</v>
      </c>
      <c r="F122" s="3388">
        <f t="shared" si="38"/>
        <v>0.88939999999999997</v>
      </c>
      <c r="G122" s="3388">
        <f t="shared" si="38"/>
        <v>0.88939999999999997</v>
      </c>
      <c r="H122" s="3388">
        <f t="shared" si="38"/>
        <v>0.88939999999999997</v>
      </c>
      <c r="I122" s="3388">
        <f>ROUND(0.7632-0.0166*B116,4)</f>
        <v>0.75570000000000004</v>
      </c>
      <c r="J122" s="3388">
        <f t="shared" si="36"/>
        <v>0.75570000000000004</v>
      </c>
      <c r="K122" s="3388">
        <f t="shared" si="36"/>
        <v>0.75570000000000004</v>
      </c>
      <c r="L122" s="3388">
        <f t="shared" si="36"/>
        <v>0.75570000000000004</v>
      </c>
      <c r="M122" s="3411">
        <f t="shared" si="36"/>
        <v>0.75570000000000004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305443</v>
      </c>
      <c r="E5" s="1491"/>
    </row>
    <row r="6" spans="1:5" ht="15.75">
      <c r="A6" s="1491"/>
      <c r="B6" s="3452"/>
      <c r="C6" s="1494" t="s">
        <v>911</v>
      </c>
      <c r="D6" s="850" t="str">
        <f ca="1">NUMBERSTRING(INT(D5*10000),2)&amp;"元整"</f>
        <v>叁拾亿伍仟肆佰肆拾叁万元整</v>
      </c>
      <c r="E6" s="1491"/>
    </row>
    <row r="7" spans="1:5" ht="15.75">
      <c r="A7" s="1491"/>
      <c r="B7" s="3457"/>
      <c r="C7" s="1495" t="s">
        <v>912</v>
      </c>
      <c r="D7" s="851">
        <f ca="1">结果表!H102</f>
        <v>44829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305443</v>
      </c>
      <c r="E13" s="1491"/>
    </row>
    <row r="14" spans="1:5" ht="15.75">
      <c r="A14" s="1491"/>
      <c r="B14" s="3452"/>
      <c r="C14" s="1494" t="s">
        <v>911</v>
      </c>
      <c r="D14" s="850" t="str">
        <f ca="1">NUMBERSTRING(INT(D13*10000),2)&amp;"元整"</f>
        <v>叁拾亿伍仟肆佰肆拾叁万元整</v>
      </c>
      <c r="E14" s="1491"/>
    </row>
    <row r="15" spans="1:5" ht="15">
      <c r="A15" s="1491"/>
      <c r="B15" s="3457"/>
      <c r="C15" s="1495" t="s">
        <v>921</v>
      </c>
      <c r="D15" s="859">
        <f ca="1">结果表!H108</f>
        <v>44829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127336</v>
      </c>
      <c r="C2" s="2" t="s">
        <v>106</v>
      </c>
      <c r="D2" s="199"/>
      <c r="E2" s="199"/>
      <c r="F2" s="199"/>
      <c r="G2" s="199"/>
    </row>
    <row r="3" spans="1:7" s="200" customFormat="1" ht="18" customHeight="1" thickBot="1">
      <c r="A3" s="203" t="s">
        <v>58</v>
      </c>
      <c r="B3" s="204">
        <f ca="1">ROUND(B2*10000/'数据-汇总表'!E3,0)</f>
        <v>18689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1363</v>
      </c>
      <c r="D10" s="845">
        <f>'数据-汇总表'!E6</f>
        <v>68134.5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1363</v>
      </c>
      <c r="D19" s="849">
        <f>'数据-汇总表'!E3</f>
        <v>68134.5</v>
      </c>
      <c r="E19" s="211">
        <f>'数据-取费表'!B31</f>
        <v>200</v>
      </c>
      <c r="F19" s="231"/>
      <c r="G19" s="1" t="s">
        <v>436</v>
      </c>
    </row>
    <row r="20" spans="1:7" s="214" customFormat="1" ht="13.5" customHeight="1">
      <c r="A20" s="777" t="s">
        <v>419</v>
      </c>
      <c r="B20" s="210" t="s">
        <v>77</v>
      </c>
      <c r="C20" s="232">
        <f>ROUND((C5+C19)*F20,0)</f>
        <v>659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2459</v>
      </c>
      <c r="D22" s="235">
        <f ca="1">C26</f>
        <v>1.6000000000000001E-3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150</v>
      </c>
      <c r="D24" s="238"/>
      <c r="E24" s="238"/>
      <c r="F24" s="239"/>
      <c r="G24" s="240" t="s">
        <v>82</v>
      </c>
    </row>
    <row r="25" spans="1:7" s="214" customFormat="1" ht="24">
      <c r="A25" s="780" t="s">
        <v>348</v>
      </c>
      <c r="B25" s="215" t="s">
        <v>420</v>
      </c>
      <c r="C25" s="1105">
        <f ca="1">ROUND(IF('数据-取费表'!B22&lt;=1,C20*F22*'数据-取费表'!B23/2,C20*(POWER((1+F22),'数据-取费表'!B23/2)-1)),0)</f>
        <v>35</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6790</v>
      </c>
      <c r="D27" s="235">
        <f>C29</f>
        <v>8.9999999999999993E-3</v>
      </c>
      <c r="E27" s="236" t="s">
        <v>99</v>
      </c>
      <c r="F27" s="246">
        <f>'数据-取费表'!Q16</f>
        <v>0.3</v>
      </c>
      <c r="G27" s="247" t="s">
        <v>431</v>
      </c>
    </row>
    <row r="28" spans="1:7" s="214" customFormat="1" ht="13.5" customHeight="1">
      <c r="A28" s="780" t="s">
        <v>349</v>
      </c>
      <c r="B28" s="248" t="s">
        <v>424</v>
      </c>
      <c r="C28" s="249">
        <f>ROUND((C5+C19+C20)*F27*'数据-取费表'!B21/'数据-取费表'!B20,0)</f>
        <v>6790</v>
      </c>
      <c r="D28" s="235"/>
      <c r="E28" s="236"/>
      <c r="F28" s="246"/>
      <c r="G28" s="247"/>
    </row>
    <row r="29" spans="1:7" s="214" customFormat="1" ht="13.5" customHeight="1">
      <c r="A29" s="780" t="s">
        <v>347</v>
      </c>
      <c r="B29" s="248" t="s">
        <v>425</v>
      </c>
      <c r="C29" s="238">
        <f>ROUND(C21*F27*'数据-取费表'!B21/'数据-取费表'!B20,4)</f>
        <v>8.9999999999999993E-3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35186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73927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68135</v>
      </c>
      <c r="D34" s="217"/>
      <c r="E34" s="220"/>
      <c r="F34" s="257">
        <f>IF('数据-取费表'!B24=0,1,'数据-取费表'!N16)</f>
        <v>1</v>
      </c>
      <c r="G34" s="219" t="s">
        <v>89</v>
      </c>
    </row>
    <row r="35" spans="1:7" ht="13.5" customHeight="1">
      <c r="A35" s="780" t="s">
        <v>351</v>
      </c>
      <c r="B35" s="215" t="s">
        <v>33</v>
      </c>
      <c r="C35" s="220">
        <f>ROUND(C34*F35,0)</f>
        <v>3407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1363</v>
      </c>
      <c r="D37" s="217">
        <f>'数据-汇总表'!E3</f>
        <v>68134.5</v>
      </c>
      <c r="E37" s="249">
        <f>'数据-取费表'!B35</f>
        <v>200</v>
      </c>
      <c r="F37" s="259"/>
      <c r="G37" s="261" t="s">
        <v>92</v>
      </c>
    </row>
    <row r="38" spans="1:7" ht="13.5" customHeight="1">
      <c r="A38" s="780" t="s">
        <v>354</v>
      </c>
      <c r="B38" s="215" t="s">
        <v>36</v>
      </c>
      <c r="C38" s="220">
        <f>ROUND(C34*F38,0)</f>
        <v>1022</v>
      </c>
      <c r="D38" s="220"/>
      <c r="E38" s="220"/>
      <c r="F38" s="259">
        <f>'数据-取费表'!B36</f>
        <v>1.4999999999999999E-2</v>
      </c>
      <c r="G38" s="219" t="s">
        <v>90</v>
      </c>
    </row>
    <row r="39" spans="1:7" s="214" customFormat="1" ht="13.5" customHeight="1">
      <c r="A39" s="777" t="s">
        <v>338</v>
      </c>
      <c r="B39" s="210" t="s">
        <v>77</v>
      </c>
      <c r="C39" s="232">
        <f>ROUND(C33*F20,0)</f>
        <v>2218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4090</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3971</v>
      </c>
      <c r="D42" s="238"/>
      <c r="E42" s="238"/>
      <c r="F42" s="239"/>
      <c r="G42" s="3633" t="s">
        <v>94</v>
      </c>
    </row>
    <row r="43" spans="1:7" ht="13.5" customHeight="1">
      <c r="A43" s="780" t="s">
        <v>347</v>
      </c>
      <c r="B43" s="215" t="s">
        <v>426</v>
      </c>
      <c r="C43" s="238">
        <f ca="1">ROUND(IF('数据-取费表'!B22&lt;=1,C39*F22*'数据-取费表'!B21/2,C39*(POWER((1+F22),'数据-取费表'!B21/2)-1)),0)</f>
        <v>119</v>
      </c>
      <c r="D43" s="238"/>
      <c r="E43" s="238"/>
      <c r="F43" s="239"/>
      <c r="G43" s="3634"/>
    </row>
    <row r="44" spans="1:7" ht="13.5" customHeight="1">
      <c r="A44" s="780" t="s">
        <v>348</v>
      </c>
      <c r="B44" s="215" t="s">
        <v>428</v>
      </c>
      <c r="C44" s="238">
        <f ca="1">ROUND(IF('数据-取费表'!B22&lt;=1,C40*F22*'数据-取费表'!B21/2,C40*(POWER((1+F22),'数据-取费表'!B21/2)-1)),4)</f>
        <v>1.6000000000000001E-3</v>
      </c>
      <c r="D44" s="238"/>
      <c r="E44" s="238"/>
      <c r="F44" s="239"/>
      <c r="G44" s="3635"/>
    </row>
    <row r="45" spans="1:7" s="214" customFormat="1" ht="13.5" customHeight="1">
      <c r="A45" s="777" t="s">
        <v>341</v>
      </c>
      <c r="B45" s="244" t="s">
        <v>85</v>
      </c>
      <c r="C45" s="245">
        <f>C46</f>
        <v>22844</v>
      </c>
      <c r="D45" s="235">
        <f>C47</f>
        <v>8.9999999999999993E-3</v>
      </c>
      <c r="E45" s="236" t="s">
        <v>102</v>
      </c>
      <c r="F45" s="246"/>
      <c r="G45" s="247" t="s">
        <v>434</v>
      </c>
    </row>
    <row r="46" spans="1:7" s="214" customFormat="1" ht="13.5" customHeight="1">
      <c r="A46" s="780" t="s">
        <v>349</v>
      </c>
      <c r="B46" s="248" t="s">
        <v>427</v>
      </c>
      <c r="C46" s="249">
        <f>ROUND((C33+C39)*F27,0)</f>
        <v>22844</v>
      </c>
      <c r="D46" s="263"/>
      <c r="E46" s="236"/>
      <c r="F46" s="246"/>
      <c r="G46" s="247"/>
    </row>
    <row r="47" spans="1:7" s="214" customFormat="1" ht="13.5" customHeight="1">
      <c r="A47" s="780" t="s">
        <v>347</v>
      </c>
      <c r="B47" s="248" t="s">
        <v>429</v>
      </c>
      <c r="C47" s="238">
        <f>ROUND(C40*F27,4)</f>
        <v>8.9999999999999993E-3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113765</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92150</v>
      </c>
      <c r="D51" s="232"/>
      <c r="E51" s="232"/>
      <c r="F51" s="264"/>
      <c r="G51" s="234" t="s">
        <v>37</v>
      </c>
    </row>
    <row r="52" spans="1:7" s="208" customFormat="1" ht="16.5" thickBot="1">
      <c r="A52" s="265" t="s">
        <v>38</v>
      </c>
      <c r="B52" s="266"/>
      <c r="C52" s="267">
        <f ca="1">C31+C51</f>
        <v>127336</v>
      </c>
      <c r="D52" s="266"/>
      <c r="E52" s="266"/>
      <c r="F52" s="266"/>
      <c r="G52" s="268"/>
    </row>
    <row r="55" spans="1:7" ht="15">
      <c r="B55" s="270" t="s">
        <v>39</v>
      </c>
      <c r="C55" s="271"/>
    </row>
    <row r="56" spans="1:7">
      <c r="B56" s="273" t="s">
        <v>40</v>
      </c>
      <c r="C56" s="274">
        <f ca="1">ROUND(C51/C52,3)</f>
        <v>0.72399999999999998</v>
      </c>
    </row>
    <row r="57" spans="1:7">
      <c r="B57" s="273" t="s">
        <v>41</v>
      </c>
      <c r="C57" s="275">
        <f ca="1">1-C56</f>
        <v>0.27600000000000002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45106</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3</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2:L122"/>
  <sheetViews>
    <sheetView topLeftCell="A98" workbookViewId="0">
      <selection activeCell="G125" sqref="G125"/>
    </sheetView>
  </sheetViews>
  <sheetFormatPr defaultRowHeight="12"/>
  <cols>
    <col min="1" max="2" width="9" style="3790"/>
    <col min="3" max="3" width="23.75" style="3790" customWidth="1"/>
    <col min="4" max="5" width="9" style="3790"/>
    <col min="6" max="6" width="11.625" style="3790" bestFit="1" customWidth="1"/>
    <col min="7" max="7" width="9" style="3790"/>
    <col min="8" max="8" width="22.875" style="3790" customWidth="1"/>
    <col min="9" max="9" width="11.625" style="3790" customWidth="1"/>
    <col min="10" max="10" width="9.75" style="3790" customWidth="1"/>
    <col min="11" max="11" width="9" style="3790"/>
    <col min="12" max="12" width="9.375" style="3790" bestFit="1" customWidth="1"/>
    <col min="13" max="16384" width="9" style="3790"/>
  </cols>
  <sheetData>
    <row r="2" spans="3:12">
      <c r="H2" s="3790" t="s">
        <v>3684</v>
      </c>
      <c r="I2" s="3790" t="s">
        <v>3685</v>
      </c>
      <c r="J2" s="3790" t="s">
        <v>3686</v>
      </c>
    </row>
    <row r="3" spans="3:12" ht="36">
      <c r="C3" s="3793" t="s">
        <v>3401</v>
      </c>
      <c r="D3" s="3794" t="s">
        <v>3402</v>
      </c>
      <c r="E3" s="3793"/>
      <c r="F3" s="3795">
        <v>784</v>
      </c>
      <c r="G3" s="3794" t="s">
        <v>3403</v>
      </c>
      <c r="H3" s="3813" t="s">
        <v>3620</v>
      </c>
      <c r="I3" s="3814">
        <v>43252</v>
      </c>
      <c r="J3" s="3814">
        <v>44347</v>
      </c>
      <c r="K3" s="3790">
        <v>15</v>
      </c>
      <c r="L3" s="3790">
        <f>K3*F3*365</f>
        <v>4292400</v>
      </c>
    </row>
    <row r="4" spans="3:12">
      <c r="C4" s="3796"/>
      <c r="D4" s="3797"/>
      <c r="E4" s="3796"/>
      <c r="F4" s="3798"/>
      <c r="G4" s="3797"/>
      <c r="H4" s="3815"/>
      <c r="I4" s="3816"/>
      <c r="J4" s="3816"/>
      <c r="L4" s="3790">
        <f t="shared" ref="L4:L67" si="0">K4*F4*365</f>
        <v>0</v>
      </c>
    </row>
    <row r="5" spans="3:12" ht="180.75" customHeight="1">
      <c r="C5" s="3799" t="s">
        <v>3404</v>
      </c>
      <c r="D5" s="3800" t="s">
        <v>3405</v>
      </c>
      <c r="E5" s="3799"/>
      <c r="F5" s="3801">
        <v>32731</v>
      </c>
      <c r="G5" s="3800" t="s">
        <v>3406</v>
      </c>
      <c r="H5" s="3817" t="s">
        <v>3690</v>
      </c>
      <c r="I5" s="3818">
        <v>38025</v>
      </c>
      <c r="J5" s="3819">
        <v>44651</v>
      </c>
      <c r="K5" s="3790">
        <v>4</v>
      </c>
      <c r="L5" s="3790">
        <f t="shared" si="0"/>
        <v>47787260</v>
      </c>
    </row>
    <row r="6" spans="3:12" ht="48">
      <c r="C6" s="3799" t="s">
        <v>3404</v>
      </c>
      <c r="D6" s="3800" t="s">
        <v>3407</v>
      </c>
      <c r="E6" s="3799"/>
      <c r="F6" s="3801">
        <v>19100</v>
      </c>
      <c r="G6" s="3800" t="s">
        <v>3408</v>
      </c>
      <c r="H6" s="3817" t="s">
        <v>3689</v>
      </c>
      <c r="I6" s="3818">
        <v>38025</v>
      </c>
      <c r="J6" s="3819">
        <v>44651</v>
      </c>
      <c r="K6" s="3790">
        <v>0.28999999999999998</v>
      </c>
      <c r="L6" s="3790">
        <f t="shared" si="0"/>
        <v>2021735</v>
      </c>
    </row>
    <row r="7" spans="3:12" ht="84">
      <c r="C7" s="3802" t="s">
        <v>3409</v>
      </c>
      <c r="D7" s="3803" t="s">
        <v>3410</v>
      </c>
      <c r="E7" s="3802"/>
      <c r="F7" s="3804">
        <v>207</v>
      </c>
      <c r="G7" s="3803" t="s">
        <v>3411</v>
      </c>
      <c r="H7" s="3820" t="s">
        <v>3621</v>
      </c>
      <c r="I7" s="3821">
        <v>44287</v>
      </c>
      <c r="J7" s="3821">
        <v>44620</v>
      </c>
      <c r="K7" s="3790">
        <v>12</v>
      </c>
      <c r="L7" s="3790">
        <f t="shared" si="0"/>
        <v>906660</v>
      </c>
    </row>
    <row r="8" spans="3:12" ht="108">
      <c r="C8" s="3802" t="s">
        <v>3412</v>
      </c>
      <c r="D8" s="3805" t="s">
        <v>3413</v>
      </c>
      <c r="E8" s="3806"/>
      <c r="F8" s="3807">
        <v>74.209999999999994</v>
      </c>
      <c r="G8" s="3803" t="s">
        <v>3414</v>
      </c>
      <c r="H8" s="3820" t="s">
        <v>3622</v>
      </c>
      <c r="I8" s="3821">
        <v>44287</v>
      </c>
      <c r="J8" s="3821">
        <v>44681</v>
      </c>
      <c r="K8" s="3790">
        <v>45</v>
      </c>
      <c r="L8" s="3790">
        <f t="shared" si="0"/>
        <v>1218899.25</v>
      </c>
    </row>
    <row r="9" spans="3:12" ht="84">
      <c r="C9" s="3802" t="s">
        <v>3415</v>
      </c>
      <c r="D9" s="3803" t="s">
        <v>3416</v>
      </c>
      <c r="E9" s="3802"/>
      <c r="F9" s="3804">
        <v>137.04</v>
      </c>
      <c r="G9" s="3803" t="s">
        <v>3417</v>
      </c>
      <c r="H9" s="3820" t="s">
        <v>3623</v>
      </c>
      <c r="I9" s="3821">
        <v>42779</v>
      </c>
      <c r="J9" s="3821">
        <v>44604</v>
      </c>
      <c r="K9" s="3790">
        <v>14</v>
      </c>
      <c r="L9" s="3790">
        <f t="shared" si="0"/>
        <v>700274.4</v>
      </c>
    </row>
    <row r="10" spans="3:12">
      <c r="C10" s="3802" t="s">
        <v>3418</v>
      </c>
      <c r="D10" s="3803" t="s">
        <v>3419</v>
      </c>
      <c r="E10" s="3802"/>
      <c r="F10" s="3804">
        <v>500</v>
      </c>
      <c r="G10" s="3803" t="s">
        <v>3420</v>
      </c>
      <c r="H10" s="3820" t="s">
        <v>3624</v>
      </c>
      <c r="I10" s="3821">
        <v>42826</v>
      </c>
      <c r="J10" s="3821">
        <v>47208</v>
      </c>
      <c r="K10" s="3790">
        <v>17.850000000000001</v>
      </c>
      <c r="L10" s="3790">
        <f t="shared" si="0"/>
        <v>3257625</v>
      </c>
    </row>
    <row r="11" spans="3:12" ht="132">
      <c r="C11" s="3802" t="s">
        <v>3421</v>
      </c>
      <c r="D11" s="3803" t="s">
        <v>3422</v>
      </c>
      <c r="E11" s="3802"/>
      <c r="F11" s="3804">
        <v>546.23</v>
      </c>
      <c r="G11" s="3803" t="s">
        <v>3423</v>
      </c>
      <c r="H11" s="3820" t="s">
        <v>3625</v>
      </c>
      <c r="I11" s="3821">
        <v>44287</v>
      </c>
      <c r="J11" s="3821">
        <v>44620</v>
      </c>
      <c r="K11" s="3790">
        <v>13.65</v>
      </c>
      <c r="L11" s="3790">
        <f t="shared" si="0"/>
        <v>2721454.4175000004</v>
      </c>
    </row>
    <row r="12" spans="3:12" ht="156">
      <c r="C12" s="3802" t="s">
        <v>3424</v>
      </c>
      <c r="D12" s="3803" t="s">
        <v>3425</v>
      </c>
      <c r="E12" s="3802"/>
      <c r="F12" s="3804">
        <v>801.73</v>
      </c>
      <c r="G12" s="3803" t="s">
        <v>3426</v>
      </c>
      <c r="H12" s="3820" t="s">
        <v>3687</v>
      </c>
      <c r="I12" s="3821">
        <v>42781</v>
      </c>
      <c r="J12" s="3821">
        <v>44971</v>
      </c>
      <c r="K12" s="3790">
        <v>13</v>
      </c>
      <c r="L12" s="3790">
        <f t="shared" si="0"/>
        <v>3804208.85</v>
      </c>
    </row>
    <row r="13" spans="3:12" ht="180">
      <c r="C13" s="3802" t="s">
        <v>3427</v>
      </c>
      <c r="D13" s="3803" t="s">
        <v>3428</v>
      </c>
      <c r="E13" s="3802"/>
      <c r="F13" s="3804">
        <v>43.11</v>
      </c>
      <c r="G13" s="3803" t="s">
        <v>3414</v>
      </c>
      <c r="H13" s="3820" t="s">
        <v>3626</v>
      </c>
      <c r="I13" s="3821">
        <v>44256</v>
      </c>
      <c r="J13" s="3822">
        <v>44620</v>
      </c>
      <c r="K13" s="3790">
        <v>40</v>
      </c>
      <c r="L13" s="3790">
        <f t="shared" si="0"/>
        <v>629406</v>
      </c>
    </row>
    <row r="14" spans="3:12" ht="84">
      <c r="C14" s="3802" t="s">
        <v>3427</v>
      </c>
      <c r="D14" s="3803" t="s">
        <v>3429</v>
      </c>
      <c r="E14" s="3802" t="s">
        <v>3430</v>
      </c>
      <c r="F14" s="3804">
        <f>16.88*2</f>
        <v>33.76</v>
      </c>
      <c r="G14" s="3803" t="s">
        <v>3414</v>
      </c>
      <c r="H14" s="3820" t="s">
        <v>3627</v>
      </c>
      <c r="I14" s="3821">
        <v>44256</v>
      </c>
      <c r="J14" s="3822">
        <v>44620</v>
      </c>
      <c r="K14" s="3790">
        <v>40</v>
      </c>
      <c r="L14" s="3790">
        <f t="shared" si="0"/>
        <v>492895.99999999994</v>
      </c>
    </row>
    <row r="15" spans="3:12" ht="60">
      <c r="C15" s="3802" t="s">
        <v>3431</v>
      </c>
      <c r="D15" s="3803" t="s">
        <v>3432</v>
      </c>
      <c r="E15" s="3802"/>
      <c r="F15" s="3804">
        <v>446.6</v>
      </c>
      <c r="G15" s="3803" t="s">
        <v>3423</v>
      </c>
      <c r="H15" s="3820" t="s">
        <v>3628</v>
      </c>
      <c r="I15" s="3821">
        <v>44287</v>
      </c>
      <c r="J15" s="3821">
        <v>44620</v>
      </c>
      <c r="K15" s="3790">
        <v>10</v>
      </c>
      <c r="L15" s="3790">
        <f t="shared" si="0"/>
        <v>1630090</v>
      </c>
    </row>
    <row r="16" spans="3:12" ht="48">
      <c r="C16" s="3802" t="s">
        <v>3431</v>
      </c>
      <c r="D16" s="3803" t="s">
        <v>3433</v>
      </c>
      <c r="E16" s="3802"/>
      <c r="F16" s="3804">
        <v>135</v>
      </c>
      <c r="G16" s="3803" t="s">
        <v>3423</v>
      </c>
      <c r="H16" s="3820" t="s">
        <v>3629</v>
      </c>
      <c r="I16" s="3821">
        <v>44287</v>
      </c>
      <c r="J16" s="3821">
        <v>44620</v>
      </c>
      <c r="K16" s="3790">
        <v>10</v>
      </c>
      <c r="L16" s="3790">
        <f t="shared" si="0"/>
        <v>492750</v>
      </c>
    </row>
    <row r="17" spans="3:12" ht="84">
      <c r="C17" s="3802" t="s">
        <v>3434</v>
      </c>
      <c r="D17" s="3803" t="s">
        <v>3435</v>
      </c>
      <c r="E17" s="3802"/>
      <c r="F17" s="3804">
        <v>42.13</v>
      </c>
      <c r="G17" s="3803" t="s">
        <v>3423</v>
      </c>
      <c r="H17" s="3820" t="s">
        <v>3630</v>
      </c>
      <c r="I17" s="3821">
        <v>44287</v>
      </c>
      <c r="J17" s="3821">
        <v>44620</v>
      </c>
      <c r="K17" s="3790">
        <v>35</v>
      </c>
      <c r="L17" s="3790">
        <f t="shared" si="0"/>
        <v>538210.75000000012</v>
      </c>
    </row>
    <row r="18" spans="3:12" ht="144">
      <c r="C18" s="3802" t="s">
        <v>3436</v>
      </c>
      <c r="D18" s="3805" t="s">
        <v>3437</v>
      </c>
      <c r="E18" s="3806"/>
      <c r="F18" s="3807">
        <v>124.4</v>
      </c>
      <c r="G18" s="3803" t="s">
        <v>3423</v>
      </c>
      <c r="H18" s="3820" t="s">
        <v>3631</v>
      </c>
      <c r="I18" s="3821">
        <v>42734</v>
      </c>
      <c r="J18" s="3821">
        <v>44834</v>
      </c>
      <c r="K18" s="3790">
        <v>11.9</v>
      </c>
      <c r="L18" s="3790">
        <f t="shared" si="0"/>
        <v>540331.4</v>
      </c>
    </row>
    <row r="19" spans="3:12" ht="144">
      <c r="C19" s="3802" t="s">
        <v>3438</v>
      </c>
      <c r="D19" s="3803" t="s">
        <v>3439</v>
      </c>
      <c r="E19" s="3802"/>
      <c r="F19" s="3804">
        <v>245.72</v>
      </c>
      <c r="G19" s="3803" t="s">
        <v>3440</v>
      </c>
      <c r="H19" s="3820" t="s">
        <v>3632</v>
      </c>
      <c r="I19" s="3821">
        <v>42734</v>
      </c>
      <c r="J19" s="3821">
        <v>44651</v>
      </c>
      <c r="K19" s="3790">
        <v>11.45</v>
      </c>
      <c r="L19" s="3790">
        <f t="shared" si="0"/>
        <v>1026925.3099999999</v>
      </c>
    </row>
    <row r="20" spans="3:12" ht="72">
      <c r="C20" s="3802" t="s">
        <v>3441</v>
      </c>
      <c r="D20" s="3803" t="s">
        <v>3442</v>
      </c>
      <c r="E20" s="3802"/>
      <c r="F20" s="3804">
        <v>18.399999999999999</v>
      </c>
      <c r="G20" s="3803" t="s">
        <v>3414</v>
      </c>
      <c r="H20" s="3820" t="s">
        <v>3633</v>
      </c>
      <c r="I20" s="3821">
        <v>44287</v>
      </c>
      <c r="J20" s="3822">
        <v>44620</v>
      </c>
      <c r="K20" s="3790">
        <v>80</v>
      </c>
      <c r="L20" s="3790">
        <f t="shared" si="0"/>
        <v>537280</v>
      </c>
    </row>
    <row r="21" spans="3:12" ht="84">
      <c r="C21" s="3802" t="s">
        <v>3443</v>
      </c>
      <c r="D21" s="3803" t="s">
        <v>3444</v>
      </c>
      <c r="E21" s="3802"/>
      <c r="F21" s="3804">
        <v>186.03</v>
      </c>
      <c r="G21" s="3803" t="s">
        <v>3423</v>
      </c>
      <c r="H21" s="3820" t="s">
        <v>3634</v>
      </c>
      <c r="I21" s="3821">
        <v>44287</v>
      </c>
      <c r="J21" s="3822">
        <v>44620</v>
      </c>
      <c r="K21" s="3790">
        <v>15</v>
      </c>
      <c r="L21" s="3790">
        <f t="shared" si="0"/>
        <v>1018514.2499999999</v>
      </c>
    </row>
    <row r="22" spans="3:12" ht="96">
      <c r="C22" s="3802" t="s">
        <v>3445</v>
      </c>
      <c r="D22" s="3803" t="s">
        <v>3446</v>
      </c>
      <c r="E22" s="3802"/>
      <c r="F22" s="3804">
        <v>16.88</v>
      </c>
      <c r="G22" s="3803" t="s">
        <v>3414</v>
      </c>
      <c r="H22" s="3820" t="s">
        <v>3635</v>
      </c>
      <c r="I22" s="3821">
        <v>44287</v>
      </c>
      <c r="J22" s="3822">
        <v>44620</v>
      </c>
      <c r="K22" s="3790">
        <v>60</v>
      </c>
      <c r="L22" s="3790">
        <f t="shared" si="0"/>
        <v>369672</v>
      </c>
    </row>
    <row r="23" spans="3:12" ht="276">
      <c r="C23" s="3802" t="s">
        <v>3447</v>
      </c>
      <c r="D23" s="3803" t="s">
        <v>3448</v>
      </c>
      <c r="E23" s="3802"/>
      <c r="F23" s="3804">
        <v>332.67</v>
      </c>
      <c r="G23" s="3803" t="s">
        <v>3440</v>
      </c>
      <c r="H23" s="3820" t="s">
        <v>3636</v>
      </c>
      <c r="I23" s="3821">
        <v>42809</v>
      </c>
      <c r="J23" s="3821">
        <v>46460</v>
      </c>
      <c r="K23" s="3790">
        <v>13.6</v>
      </c>
      <c r="L23" s="3790">
        <f t="shared" si="0"/>
        <v>1651373.88</v>
      </c>
    </row>
    <row r="24" spans="3:12" ht="108">
      <c r="C24" s="3802" t="s">
        <v>3449</v>
      </c>
      <c r="D24" s="3803" t="s">
        <v>3450</v>
      </c>
      <c r="E24" s="3802"/>
      <c r="F24" s="3804">
        <v>699.63</v>
      </c>
      <c r="G24" s="3803" t="s">
        <v>3423</v>
      </c>
      <c r="H24" s="3820" t="s">
        <v>3637</v>
      </c>
      <c r="I24" s="3821">
        <v>42759</v>
      </c>
      <c r="J24" s="3821">
        <v>44949</v>
      </c>
      <c r="K24" s="3790">
        <v>5.93</v>
      </c>
      <c r="L24" s="3790">
        <f t="shared" si="0"/>
        <v>1514314.1534999998</v>
      </c>
    </row>
    <row r="25" spans="3:12" ht="216">
      <c r="C25" s="3802" t="s">
        <v>3451</v>
      </c>
      <c r="D25" s="3803" t="s">
        <v>3452</v>
      </c>
      <c r="E25" s="3802"/>
      <c r="F25" s="3804">
        <v>46.6</v>
      </c>
      <c r="G25" s="3803" t="s">
        <v>3453</v>
      </c>
      <c r="H25" s="3820" t="s">
        <v>3638</v>
      </c>
      <c r="I25" s="3821">
        <v>44287</v>
      </c>
      <c r="J25" s="3822">
        <v>44620</v>
      </c>
      <c r="K25" s="3790">
        <v>10</v>
      </c>
      <c r="L25" s="3790">
        <f t="shared" si="0"/>
        <v>170090</v>
      </c>
    </row>
    <row r="26" spans="3:12">
      <c r="C26" s="3802" t="s">
        <v>3454</v>
      </c>
      <c r="D26" s="3805" t="s">
        <v>3455</v>
      </c>
      <c r="E26" s="3806"/>
      <c r="F26" s="3807">
        <v>272.95999999999998</v>
      </c>
      <c r="G26" s="3803" t="s">
        <v>3417</v>
      </c>
      <c r="H26" s="3820" t="s">
        <v>3639</v>
      </c>
      <c r="I26" s="3821">
        <v>42663</v>
      </c>
      <c r="J26" s="3821">
        <v>44834</v>
      </c>
      <c r="K26" s="3790">
        <v>24.15</v>
      </c>
      <c r="L26" s="3790">
        <f t="shared" si="0"/>
        <v>2406074.1599999997</v>
      </c>
    </row>
    <row r="27" spans="3:12" ht="96">
      <c r="C27" s="3802" t="s">
        <v>3456</v>
      </c>
      <c r="D27" s="3803" t="s">
        <v>3457</v>
      </c>
      <c r="E27" s="3802"/>
      <c r="F27" s="3804">
        <v>842.81</v>
      </c>
      <c r="G27" s="3803" t="s">
        <v>3423</v>
      </c>
      <c r="H27" s="3820" t="s">
        <v>3640</v>
      </c>
      <c r="I27" s="3821">
        <v>42684</v>
      </c>
      <c r="J27" s="3821">
        <v>44874</v>
      </c>
      <c r="K27" s="3790">
        <v>3.42</v>
      </c>
      <c r="L27" s="3790">
        <f t="shared" si="0"/>
        <v>1052079.723</v>
      </c>
    </row>
    <row r="28" spans="3:12" ht="228">
      <c r="C28" s="3802" t="s">
        <v>3458</v>
      </c>
      <c r="D28" s="3803" t="s">
        <v>3459</v>
      </c>
      <c r="E28" s="3802"/>
      <c r="F28" s="3804">
        <v>326.89</v>
      </c>
      <c r="G28" s="3803" t="s">
        <v>3440</v>
      </c>
      <c r="H28" s="3820" t="s">
        <v>3641</v>
      </c>
      <c r="I28" s="3821">
        <v>44545</v>
      </c>
      <c r="J28" s="3821">
        <v>44712</v>
      </c>
      <c r="K28" s="3790">
        <v>15.16</v>
      </c>
      <c r="L28" s="3790">
        <f t="shared" si="0"/>
        <v>1808813.1259999999</v>
      </c>
    </row>
    <row r="29" spans="3:12" ht="264">
      <c r="C29" s="3802" t="s">
        <v>3460</v>
      </c>
      <c r="D29" s="3803" t="s">
        <v>3461</v>
      </c>
      <c r="E29" s="3802"/>
      <c r="F29" s="3804">
        <v>588.09</v>
      </c>
      <c r="G29" s="3803" t="s">
        <v>3426</v>
      </c>
      <c r="H29" s="3820" t="s">
        <v>3642</v>
      </c>
      <c r="I29" s="3821">
        <v>42772</v>
      </c>
      <c r="J29" s="3821">
        <v>44962</v>
      </c>
      <c r="K29" s="3790">
        <v>10</v>
      </c>
      <c r="L29" s="3790">
        <f t="shared" si="0"/>
        <v>2146528.5</v>
      </c>
    </row>
    <row r="30" spans="3:12" ht="252">
      <c r="C30" s="3802" t="s">
        <v>3462</v>
      </c>
      <c r="D30" s="3803" t="s">
        <v>3463</v>
      </c>
      <c r="E30" s="3802"/>
      <c r="F30" s="3804">
        <v>511.33</v>
      </c>
      <c r="G30" s="3803" t="s">
        <v>3440</v>
      </c>
      <c r="H30" s="3820" t="s">
        <v>3643</v>
      </c>
      <c r="I30" s="3821">
        <v>42901</v>
      </c>
      <c r="J30" s="3819">
        <v>44712</v>
      </c>
      <c r="K30" s="3790">
        <v>12.54</v>
      </c>
      <c r="L30" s="3790">
        <f t="shared" si="0"/>
        <v>2340408.5429999996</v>
      </c>
    </row>
    <row r="31" spans="3:12" ht="180">
      <c r="C31" s="3802" t="s">
        <v>3464</v>
      </c>
      <c r="D31" s="3803" t="s">
        <v>3465</v>
      </c>
      <c r="E31" s="3802"/>
      <c r="F31" s="3804">
        <v>905.96</v>
      </c>
      <c r="G31" s="3803" t="s">
        <v>3423</v>
      </c>
      <c r="H31" s="3820" t="s">
        <v>3644</v>
      </c>
      <c r="I31" s="3821">
        <v>42835</v>
      </c>
      <c r="J31" s="3821">
        <v>44660</v>
      </c>
      <c r="K31" s="3790">
        <v>10</v>
      </c>
      <c r="L31" s="3790">
        <f t="shared" si="0"/>
        <v>3306754</v>
      </c>
    </row>
    <row r="32" spans="3:12" ht="192">
      <c r="C32" s="3802" t="s">
        <v>3466</v>
      </c>
      <c r="D32" s="3803" t="s">
        <v>3467</v>
      </c>
      <c r="E32" s="3802"/>
      <c r="F32" s="3804">
        <v>36.78</v>
      </c>
      <c r="G32" s="3803" t="s">
        <v>3414</v>
      </c>
      <c r="H32" s="3820" t="s">
        <v>3645</v>
      </c>
      <c r="I32" s="3821">
        <v>44287</v>
      </c>
      <c r="J32" s="3822">
        <v>44620</v>
      </c>
      <c r="K32" s="3790">
        <v>47.5</v>
      </c>
      <c r="L32" s="3790">
        <f t="shared" si="0"/>
        <v>637673.25</v>
      </c>
    </row>
    <row r="33" spans="3:12" ht="192">
      <c r="C33" s="3802" t="s">
        <v>3468</v>
      </c>
      <c r="D33" s="3803" t="s">
        <v>3469</v>
      </c>
      <c r="E33" s="3802"/>
      <c r="F33" s="3804">
        <v>26.14</v>
      </c>
      <c r="G33" s="3803" t="s">
        <v>3414</v>
      </c>
      <c r="H33" s="3820" t="s">
        <v>3646</v>
      </c>
      <c r="I33" s="3821">
        <v>44287</v>
      </c>
      <c r="J33" s="3822">
        <v>44620</v>
      </c>
      <c r="K33" s="3790">
        <v>50</v>
      </c>
      <c r="L33" s="3790">
        <f t="shared" si="0"/>
        <v>477055</v>
      </c>
    </row>
    <row r="34" spans="3:12" ht="192">
      <c r="C34" s="3802" t="s">
        <v>3470</v>
      </c>
      <c r="D34" s="3803" t="s">
        <v>3471</v>
      </c>
      <c r="E34" s="3802"/>
      <c r="F34" s="3804">
        <v>39.96</v>
      </c>
      <c r="G34" s="3803" t="s">
        <v>3414</v>
      </c>
      <c r="H34" s="3820" t="s">
        <v>3647</v>
      </c>
      <c r="I34" s="3821">
        <v>44287</v>
      </c>
      <c r="J34" s="3822">
        <v>44620</v>
      </c>
      <c r="K34" s="3790">
        <v>42.5</v>
      </c>
      <c r="L34" s="3790">
        <f t="shared" si="0"/>
        <v>619879.5</v>
      </c>
    </row>
    <row r="35" spans="3:12" ht="180">
      <c r="C35" s="3802" t="s">
        <v>3472</v>
      </c>
      <c r="D35" s="3805" t="s">
        <v>3473</v>
      </c>
      <c r="E35" s="3806"/>
      <c r="F35" s="3807">
        <v>19.47</v>
      </c>
      <c r="G35" s="3803" t="s">
        <v>3414</v>
      </c>
      <c r="H35" s="3820" t="s">
        <v>3648</v>
      </c>
      <c r="I35" s="3821">
        <v>44287</v>
      </c>
      <c r="J35" s="3821">
        <v>44834</v>
      </c>
      <c r="K35" s="3790">
        <v>47.5</v>
      </c>
      <c r="L35" s="3790">
        <f t="shared" si="0"/>
        <v>337561.125</v>
      </c>
    </row>
    <row r="36" spans="3:12" ht="180">
      <c r="C36" s="3802" t="s">
        <v>3474</v>
      </c>
      <c r="D36" s="3803" t="s">
        <v>3475</v>
      </c>
      <c r="E36" s="3802"/>
      <c r="F36" s="3804">
        <v>25.14</v>
      </c>
      <c r="G36" s="3803" t="s">
        <v>3414</v>
      </c>
      <c r="H36" s="3820" t="s">
        <v>3649</v>
      </c>
      <c r="I36" s="3821">
        <v>44287</v>
      </c>
      <c r="J36" s="3822">
        <v>44620</v>
      </c>
      <c r="K36" s="3790">
        <v>50</v>
      </c>
      <c r="L36" s="3790">
        <f t="shared" si="0"/>
        <v>458805</v>
      </c>
    </row>
    <row r="37" spans="3:12" ht="84">
      <c r="C37" s="3802" t="s">
        <v>3476</v>
      </c>
      <c r="D37" s="3803" t="s">
        <v>3477</v>
      </c>
      <c r="E37" s="3802"/>
      <c r="F37" s="3804">
        <v>18.72</v>
      </c>
      <c r="G37" s="3803" t="s">
        <v>3414</v>
      </c>
      <c r="H37" s="3820" t="s">
        <v>3650</v>
      </c>
      <c r="I37" s="3821">
        <v>44287</v>
      </c>
      <c r="J37" s="3822">
        <v>44620</v>
      </c>
      <c r="K37" s="3790">
        <v>50</v>
      </c>
      <c r="L37" s="3790">
        <f t="shared" si="0"/>
        <v>341640</v>
      </c>
    </row>
    <row r="38" spans="3:12" ht="96">
      <c r="C38" s="3802" t="s">
        <v>3478</v>
      </c>
      <c r="D38" s="3803" t="s">
        <v>3479</v>
      </c>
      <c r="E38" s="3802"/>
      <c r="F38" s="3804">
        <v>32.6</v>
      </c>
      <c r="G38" s="3803" t="s">
        <v>3414</v>
      </c>
      <c r="H38" s="3820" t="s">
        <v>3651</v>
      </c>
      <c r="I38" s="3821">
        <v>44287</v>
      </c>
      <c r="J38" s="3822">
        <v>44620</v>
      </c>
      <c r="K38" s="3790">
        <v>40</v>
      </c>
      <c r="L38" s="3790">
        <f t="shared" si="0"/>
        <v>475960</v>
      </c>
    </row>
    <row r="39" spans="3:12" ht="84">
      <c r="C39" s="3802" t="s">
        <v>3480</v>
      </c>
      <c r="D39" s="3803" t="s">
        <v>3481</v>
      </c>
      <c r="E39" s="3802"/>
      <c r="F39" s="3804">
        <v>15.79</v>
      </c>
      <c r="G39" s="3803" t="s">
        <v>3403</v>
      </c>
      <c r="H39" s="3820" t="s">
        <v>3652</v>
      </c>
      <c r="I39" s="3821">
        <v>44287</v>
      </c>
      <c r="J39" s="3822">
        <v>44620</v>
      </c>
      <c r="K39" s="3790">
        <v>40</v>
      </c>
      <c r="L39" s="3790">
        <f t="shared" si="0"/>
        <v>230533.99999999997</v>
      </c>
    </row>
    <row r="40" spans="3:12" ht="84">
      <c r="C40" s="3802" t="s">
        <v>3482</v>
      </c>
      <c r="D40" s="3803" t="s">
        <v>3483</v>
      </c>
      <c r="E40" s="3802"/>
      <c r="F40" s="3804">
        <v>68.81</v>
      </c>
      <c r="G40" s="3803" t="s">
        <v>3484</v>
      </c>
      <c r="H40" s="3820" t="s">
        <v>3653</v>
      </c>
      <c r="I40" s="3823">
        <v>44287</v>
      </c>
      <c r="J40" s="3823">
        <v>44712</v>
      </c>
      <c r="K40" s="3790">
        <v>35</v>
      </c>
      <c r="L40" s="3790">
        <f t="shared" si="0"/>
        <v>879047.75</v>
      </c>
    </row>
    <row r="41" spans="3:12" ht="84">
      <c r="C41" s="3802" t="s">
        <v>3485</v>
      </c>
      <c r="D41" s="3803" t="s">
        <v>3486</v>
      </c>
      <c r="E41" s="3802"/>
      <c r="F41" s="3804">
        <v>19.98</v>
      </c>
      <c r="G41" s="3803" t="s">
        <v>3487</v>
      </c>
      <c r="H41" s="3820" t="s">
        <v>3654</v>
      </c>
      <c r="I41" s="3821">
        <v>44287</v>
      </c>
      <c r="J41" s="3822">
        <v>44620</v>
      </c>
      <c r="K41" s="3790">
        <v>60</v>
      </c>
      <c r="L41" s="3790">
        <f t="shared" si="0"/>
        <v>437562</v>
      </c>
    </row>
    <row r="42" spans="3:12" ht="48">
      <c r="C42" s="3802" t="s">
        <v>3488</v>
      </c>
      <c r="D42" s="3803" t="s">
        <v>3489</v>
      </c>
      <c r="E42" s="3802"/>
      <c r="F42" s="3804">
        <v>40.1</v>
      </c>
      <c r="G42" s="3803" t="s">
        <v>3420</v>
      </c>
      <c r="H42" s="3820" t="s">
        <v>3655</v>
      </c>
      <c r="I42" s="3821">
        <v>44287</v>
      </c>
      <c r="J42" s="3822">
        <v>44620</v>
      </c>
      <c r="K42" s="3790">
        <v>30</v>
      </c>
      <c r="L42" s="3790">
        <f t="shared" si="0"/>
        <v>439095</v>
      </c>
    </row>
    <row r="43" spans="3:12" ht="60">
      <c r="C43" s="3802" t="s">
        <v>3490</v>
      </c>
      <c r="D43" s="3803" t="s">
        <v>3491</v>
      </c>
      <c r="E43" s="3802"/>
      <c r="F43" s="3804">
        <v>23.3</v>
      </c>
      <c r="G43" s="3803" t="s">
        <v>3417</v>
      </c>
      <c r="H43" s="3820" t="s">
        <v>3656</v>
      </c>
      <c r="I43" s="3821">
        <v>44287</v>
      </c>
      <c r="J43" s="3822">
        <v>44620</v>
      </c>
      <c r="K43" s="3790">
        <v>60</v>
      </c>
      <c r="L43" s="3790">
        <f t="shared" si="0"/>
        <v>510270</v>
      </c>
    </row>
    <row r="44" spans="3:12" ht="48">
      <c r="C44" s="3802" t="s">
        <v>3492</v>
      </c>
      <c r="D44" s="3803" t="s">
        <v>3688</v>
      </c>
      <c r="E44" s="3802"/>
      <c r="F44" s="3804">
        <v>274.44</v>
      </c>
      <c r="G44" s="3803" t="s">
        <v>3411</v>
      </c>
      <c r="H44" s="3820" t="s">
        <v>3657</v>
      </c>
      <c r="I44" s="3821">
        <v>44287</v>
      </c>
      <c r="J44" s="3821">
        <v>44620</v>
      </c>
      <c r="K44" s="3790">
        <v>10</v>
      </c>
      <c r="L44" s="3790">
        <f t="shared" si="0"/>
        <v>1001706</v>
      </c>
    </row>
    <row r="45" spans="3:12" ht="60">
      <c r="C45" s="3802" t="s">
        <v>3493</v>
      </c>
      <c r="D45" s="3803" t="s">
        <v>3494</v>
      </c>
      <c r="E45" s="3802"/>
      <c r="F45" s="3804">
        <v>97.54</v>
      </c>
      <c r="G45" s="3803" t="s">
        <v>3440</v>
      </c>
      <c r="H45" s="3820" t="s">
        <v>3658</v>
      </c>
      <c r="I45" s="3821">
        <v>44287</v>
      </c>
      <c r="J45" s="3822">
        <v>44620</v>
      </c>
      <c r="K45" s="3790">
        <v>10</v>
      </c>
      <c r="L45" s="3790">
        <f t="shared" si="0"/>
        <v>356021.00000000006</v>
      </c>
    </row>
    <row r="46" spans="3:12" ht="60">
      <c r="C46" s="3802" t="s">
        <v>3495</v>
      </c>
      <c r="D46" s="3803" t="s">
        <v>3496</v>
      </c>
      <c r="E46" s="3802"/>
      <c r="F46" s="3804">
        <v>17.29</v>
      </c>
      <c r="G46" s="3803" t="s">
        <v>3420</v>
      </c>
      <c r="H46" s="3820" t="s">
        <v>3659</v>
      </c>
      <c r="I46" s="3821">
        <v>44287</v>
      </c>
      <c r="J46" s="3822">
        <v>44620</v>
      </c>
      <c r="K46" s="3790">
        <v>60</v>
      </c>
      <c r="L46" s="3790">
        <f t="shared" si="0"/>
        <v>378650.99999999994</v>
      </c>
    </row>
    <row r="47" spans="3:12" ht="24">
      <c r="C47" s="3802" t="s">
        <v>3497</v>
      </c>
      <c r="D47" s="3803" t="s">
        <v>3498</v>
      </c>
      <c r="E47" s="3802" t="s">
        <v>3499</v>
      </c>
      <c r="F47" s="3804">
        <v>19.98</v>
      </c>
      <c r="G47" s="3803" t="s">
        <v>3414</v>
      </c>
      <c r="H47" s="3820" t="s">
        <v>3660</v>
      </c>
      <c r="I47" s="3821">
        <v>44317</v>
      </c>
      <c r="J47" s="3822">
        <v>44620</v>
      </c>
      <c r="K47" s="3790">
        <v>45</v>
      </c>
      <c r="L47" s="3790">
        <f t="shared" si="0"/>
        <v>328171.5</v>
      </c>
    </row>
    <row r="48" spans="3:12" ht="48">
      <c r="C48" s="3802" t="s">
        <v>3500</v>
      </c>
      <c r="D48" s="3805" t="s">
        <v>3501</v>
      </c>
      <c r="E48" s="3806"/>
      <c r="F48" s="3807">
        <v>35.090000000000003</v>
      </c>
      <c r="G48" s="3803" t="s">
        <v>3414</v>
      </c>
      <c r="H48" s="3820" t="s">
        <v>3661</v>
      </c>
      <c r="I48" s="3821">
        <v>44378</v>
      </c>
      <c r="J48" s="3822">
        <v>44620</v>
      </c>
      <c r="K48" s="3790">
        <v>55</v>
      </c>
      <c r="L48" s="3790">
        <f t="shared" si="0"/>
        <v>704431.75000000012</v>
      </c>
    </row>
    <row r="49" spans="3:12" ht="24">
      <c r="C49" s="3802" t="s">
        <v>3502</v>
      </c>
      <c r="D49" s="3803" t="s">
        <v>3503</v>
      </c>
      <c r="E49" s="3802" t="s">
        <v>3504</v>
      </c>
      <c r="F49" s="3804">
        <v>16.88</v>
      </c>
      <c r="G49" s="3803" t="s">
        <v>3414</v>
      </c>
      <c r="H49" s="3820" t="s">
        <v>3662</v>
      </c>
      <c r="I49" s="3821">
        <v>44276</v>
      </c>
      <c r="J49" s="3822">
        <v>44620</v>
      </c>
      <c r="K49" s="3790">
        <v>50</v>
      </c>
      <c r="L49" s="3790">
        <f t="shared" si="0"/>
        <v>308060</v>
      </c>
    </row>
    <row r="50" spans="3:12" ht="60">
      <c r="C50" s="3802" t="s">
        <v>3505</v>
      </c>
      <c r="D50" s="3803" t="s">
        <v>3506</v>
      </c>
      <c r="E50" s="3802" t="s">
        <v>3507</v>
      </c>
      <c r="F50" s="3804">
        <v>235.57</v>
      </c>
      <c r="G50" s="3803" t="s">
        <v>3414</v>
      </c>
      <c r="H50" s="3820" t="s">
        <v>3663</v>
      </c>
      <c r="I50" s="3821">
        <v>44302</v>
      </c>
      <c r="J50" s="3821">
        <v>44712</v>
      </c>
      <c r="K50" s="3790">
        <v>3.5</v>
      </c>
      <c r="L50" s="3790">
        <f t="shared" si="0"/>
        <v>300940.67499999999</v>
      </c>
    </row>
    <row r="51" spans="3:12" ht="36">
      <c r="C51" s="3802" t="s">
        <v>3508</v>
      </c>
      <c r="D51" s="3803" t="s">
        <v>3509</v>
      </c>
      <c r="E51" s="3802" t="s">
        <v>3510</v>
      </c>
      <c r="F51" s="3804">
        <v>23.3</v>
      </c>
      <c r="G51" s="3803" t="s">
        <v>3414</v>
      </c>
      <c r="H51" s="3820" t="s">
        <v>3664</v>
      </c>
      <c r="I51" s="3821">
        <v>44301</v>
      </c>
      <c r="J51" s="3822">
        <v>44620</v>
      </c>
      <c r="K51" s="3790">
        <v>47.5</v>
      </c>
      <c r="L51" s="3790">
        <f t="shared" si="0"/>
        <v>403963.75</v>
      </c>
    </row>
    <row r="52" spans="3:12" ht="36">
      <c r="C52" s="3802" t="s">
        <v>3511</v>
      </c>
      <c r="D52" s="3805" t="s">
        <v>3512</v>
      </c>
      <c r="E52" s="3806" t="s">
        <v>3513</v>
      </c>
      <c r="F52" s="3807">
        <v>19.98</v>
      </c>
      <c r="G52" s="3803" t="s">
        <v>3414</v>
      </c>
      <c r="H52" s="3820" t="s">
        <v>3665</v>
      </c>
      <c r="I52" s="3821">
        <v>44305</v>
      </c>
      <c r="J52" s="3822">
        <v>44620</v>
      </c>
      <c r="K52" s="3790">
        <v>47.5</v>
      </c>
      <c r="L52" s="3790">
        <f t="shared" si="0"/>
        <v>346403.25</v>
      </c>
    </row>
    <row r="53" spans="3:12" ht="60">
      <c r="C53" s="3802" t="s">
        <v>3514</v>
      </c>
      <c r="D53" s="3805" t="s">
        <v>3515</v>
      </c>
      <c r="E53" s="3806" t="s">
        <v>3516</v>
      </c>
      <c r="F53" s="3807">
        <v>83.35</v>
      </c>
      <c r="G53" s="3803" t="s">
        <v>3414</v>
      </c>
      <c r="H53" s="3820" t="s">
        <v>3666</v>
      </c>
      <c r="I53" s="3821">
        <v>44317</v>
      </c>
      <c r="J53" s="3821">
        <v>44834</v>
      </c>
      <c r="K53" s="3790">
        <v>15.5</v>
      </c>
      <c r="L53" s="3790">
        <f t="shared" si="0"/>
        <v>471552.625</v>
      </c>
    </row>
    <row r="54" spans="3:12" ht="24">
      <c r="C54" s="3802" t="s">
        <v>3517</v>
      </c>
      <c r="D54" s="3803" t="s">
        <v>3518</v>
      </c>
      <c r="E54" s="3802" t="s">
        <v>3519</v>
      </c>
      <c r="F54" s="3804">
        <v>18.399999999999999</v>
      </c>
      <c r="G54" s="3803" t="s">
        <v>3414</v>
      </c>
      <c r="H54" s="3820" t="s">
        <v>3667</v>
      </c>
      <c r="I54" s="3821">
        <v>44306</v>
      </c>
      <c r="J54" s="3822">
        <v>44620</v>
      </c>
      <c r="K54" s="3790">
        <v>50</v>
      </c>
      <c r="L54" s="3790">
        <f t="shared" si="0"/>
        <v>335799.99999999994</v>
      </c>
    </row>
    <row r="55" spans="3:12" ht="48">
      <c r="C55" s="3802" t="s">
        <v>3520</v>
      </c>
      <c r="D55" s="3805" t="s">
        <v>3521</v>
      </c>
      <c r="E55" s="3806" t="s">
        <v>3522</v>
      </c>
      <c r="F55" s="3807">
        <v>36.799999999999997</v>
      </c>
      <c r="G55" s="3803" t="s">
        <v>3487</v>
      </c>
      <c r="H55" s="3820" t="s">
        <v>3668</v>
      </c>
      <c r="I55" s="3821">
        <v>44317</v>
      </c>
      <c r="J55" s="3821">
        <v>44681</v>
      </c>
      <c r="K55" s="3790">
        <v>33</v>
      </c>
      <c r="L55" s="3790">
        <f t="shared" si="0"/>
        <v>443255.99999999994</v>
      </c>
    </row>
    <row r="56" spans="3:12" ht="36">
      <c r="C56" s="3802" t="s">
        <v>3523</v>
      </c>
      <c r="D56" s="3803" t="s">
        <v>3524</v>
      </c>
      <c r="E56" s="3802" t="s">
        <v>3525</v>
      </c>
      <c r="F56" s="3804">
        <v>189.91</v>
      </c>
      <c r="G56" s="3803" t="s">
        <v>3414</v>
      </c>
      <c r="H56" s="3820" t="s">
        <v>3669</v>
      </c>
      <c r="I56" s="3821">
        <v>44317</v>
      </c>
      <c r="J56" s="3822">
        <v>44620</v>
      </c>
      <c r="K56" s="3790">
        <v>8.5</v>
      </c>
      <c r="L56" s="3790">
        <f t="shared" si="0"/>
        <v>589195.77499999991</v>
      </c>
    </row>
    <row r="57" spans="3:12" ht="60">
      <c r="C57" s="3802" t="s">
        <v>3526</v>
      </c>
      <c r="D57" s="3805" t="s">
        <v>3527</v>
      </c>
      <c r="E57" s="3806" t="s">
        <v>3528</v>
      </c>
      <c r="F57" s="3807">
        <v>22.42</v>
      </c>
      <c r="G57" s="3803" t="s">
        <v>3414</v>
      </c>
      <c r="H57" s="3820" t="s">
        <v>3670</v>
      </c>
      <c r="I57" s="3821">
        <v>44308</v>
      </c>
      <c r="J57" s="3821">
        <v>44834</v>
      </c>
      <c r="K57" s="3790">
        <v>36</v>
      </c>
      <c r="L57" s="3790">
        <f t="shared" si="0"/>
        <v>294598.80000000005</v>
      </c>
    </row>
    <row r="58" spans="3:12" ht="24">
      <c r="C58" s="3802" t="s">
        <v>3529</v>
      </c>
      <c r="D58" s="3803" t="s">
        <v>3530</v>
      </c>
      <c r="E58" s="3802" t="s">
        <v>3531</v>
      </c>
      <c r="F58" s="3804">
        <v>20.41</v>
      </c>
      <c r="G58" s="3803" t="s">
        <v>3414</v>
      </c>
      <c r="H58" s="3820" t="s">
        <v>3671</v>
      </c>
      <c r="I58" s="3821">
        <v>44323</v>
      </c>
      <c r="J58" s="3822">
        <v>44620</v>
      </c>
      <c r="K58" s="3790">
        <v>50</v>
      </c>
      <c r="L58" s="3790">
        <f t="shared" si="0"/>
        <v>372482.5</v>
      </c>
    </row>
    <row r="59" spans="3:12" ht="36">
      <c r="C59" s="3802" t="s">
        <v>3532</v>
      </c>
      <c r="D59" s="3803" t="s">
        <v>3533</v>
      </c>
      <c r="E59" s="3802" t="s">
        <v>3534</v>
      </c>
      <c r="F59" s="3804">
        <v>19.98</v>
      </c>
      <c r="G59" s="3803" t="s">
        <v>3414</v>
      </c>
      <c r="H59" s="3820" t="s">
        <v>3672</v>
      </c>
      <c r="I59" s="3821">
        <v>44308</v>
      </c>
      <c r="J59" s="3822">
        <v>44620</v>
      </c>
      <c r="K59" s="3790">
        <v>52.5</v>
      </c>
      <c r="L59" s="3790">
        <f t="shared" si="0"/>
        <v>382866.75</v>
      </c>
    </row>
    <row r="60" spans="3:12" ht="24">
      <c r="C60" s="3802" t="s">
        <v>3535</v>
      </c>
      <c r="D60" s="3803" t="s">
        <v>3536</v>
      </c>
      <c r="E60" s="3802" t="s">
        <v>3537</v>
      </c>
      <c r="F60" s="3804">
        <v>548</v>
      </c>
      <c r="G60" s="3803" t="s">
        <v>3487</v>
      </c>
      <c r="H60" s="3820" t="s">
        <v>3673</v>
      </c>
      <c r="I60" s="3821">
        <v>44314</v>
      </c>
      <c r="J60" s="3822">
        <v>44620</v>
      </c>
      <c r="K60" s="3790">
        <v>6.5</v>
      </c>
      <c r="L60" s="3790">
        <f t="shared" si="0"/>
        <v>1300130</v>
      </c>
    </row>
    <row r="61" spans="3:12" ht="36">
      <c r="C61" s="3802" t="s">
        <v>3538</v>
      </c>
      <c r="D61" s="3803" t="s">
        <v>3539</v>
      </c>
      <c r="E61" s="3802" t="s">
        <v>3540</v>
      </c>
      <c r="F61" s="3804">
        <v>23.3</v>
      </c>
      <c r="G61" s="3803" t="s">
        <v>3541</v>
      </c>
      <c r="H61" s="3820" t="s">
        <v>3674</v>
      </c>
      <c r="I61" s="3821">
        <v>44332</v>
      </c>
      <c r="J61" s="3822">
        <v>44620</v>
      </c>
      <c r="K61" s="3790">
        <v>48.5</v>
      </c>
      <c r="L61" s="3790">
        <f t="shared" si="0"/>
        <v>412468.25</v>
      </c>
    </row>
    <row r="62" spans="3:12" ht="36">
      <c r="C62" s="3802" t="s">
        <v>3478</v>
      </c>
      <c r="D62" s="3803" t="s">
        <v>3542</v>
      </c>
      <c r="E62" s="3802" t="s">
        <v>3543</v>
      </c>
      <c r="F62" s="3804">
        <v>23.3</v>
      </c>
      <c r="G62" s="3803" t="s">
        <v>3414</v>
      </c>
      <c r="H62" s="3820" t="s">
        <v>3675</v>
      </c>
      <c r="I62" s="3821">
        <v>44301</v>
      </c>
      <c r="J62" s="3822">
        <v>44620</v>
      </c>
      <c r="K62" s="3790">
        <v>40</v>
      </c>
      <c r="L62" s="3790">
        <f t="shared" si="0"/>
        <v>340180</v>
      </c>
    </row>
    <row r="63" spans="3:12" ht="36">
      <c r="C63" s="3802" t="s">
        <v>3544</v>
      </c>
      <c r="D63" s="3803" t="s">
        <v>3545</v>
      </c>
      <c r="E63" s="3802" t="s">
        <v>3546</v>
      </c>
      <c r="F63" s="3804">
        <v>25.14</v>
      </c>
      <c r="G63" s="3803" t="s">
        <v>3487</v>
      </c>
      <c r="H63" s="3820" t="s">
        <v>3676</v>
      </c>
      <c r="I63" s="3821">
        <v>44372</v>
      </c>
      <c r="J63" s="3822">
        <v>44620</v>
      </c>
      <c r="K63" s="3790">
        <v>50</v>
      </c>
      <c r="L63" s="3790">
        <f t="shared" si="0"/>
        <v>458805</v>
      </c>
    </row>
    <row r="64" spans="3:12" ht="36">
      <c r="C64" s="3802" t="s">
        <v>3547</v>
      </c>
      <c r="D64" s="3803" t="s">
        <v>3548</v>
      </c>
      <c r="E64" s="3802" t="s">
        <v>3549</v>
      </c>
      <c r="F64" s="3804">
        <v>127.48</v>
      </c>
      <c r="G64" s="3803" t="s">
        <v>3487</v>
      </c>
      <c r="H64" s="3820" t="s">
        <v>3677</v>
      </c>
      <c r="I64" s="3821">
        <v>44362</v>
      </c>
      <c r="J64" s="3822">
        <v>44620</v>
      </c>
      <c r="K64" s="3790">
        <v>10</v>
      </c>
      <c r="L64" s="3790">
        <f t="shared" si="0"/>
        <v>465302</v>
      </c>
    </row>
    <row r="65" spans="3:12" ht="36">
      <c r="C65" s="3802" t="s">
        <v>3550</v>
      </c>
      <c r="D65" s="3803" t="s">
        <v>3551</v>
      </c>
      <c r="E65" s="3802" t="s">
        <v>3552</v>
      </c>
      <c r="F65" s="3804">
        <v>731.74</v>
      </c>
      <c r="G65" s="3803" t="s">
        <v>3487</v>
      </c>
      <c r="H65" s="3820" t="s">
        <v>3678</v>
      </c>
      <c r="I65" s="3821">
        <v>44372</v>
      </c>
      <c r="J65" s="3822">
        <v>44620</v>
      </c>
      <c r="K65" s="3790">
        <v>3.5</v>
      </c>
      <c r="L65" s="3790">
        <f t="shared" si="0"/>
        <v>934797.85000000009</v>
      </c>
    </row>
    <row r="66" spans="3:12" ht="36">
      <c r="C66" s="3802" t="s">
        <v>3553</v>
      </c>
      <c r="D66" s="3803" t="s">
        <v>3554</v>
      </c>
      <c r="E66" s="3802" t="s">
        <v>3555</v>
      </c>
      <c r="F66" s="3804">
        <v>106.63</v>
      </c>
      <c r="G66" s="3803" t="s">
        <v>3487</v>
      </c>
      <c r="H66" s="3820" t="s">
        <v>3679</v>
      </c>
      <c r="I66" s="3821">
        <v>44423</v>
      </c>
      <c r="J66" s="3822">
        <v>44620</v>
      </c>
      <c r="K66" s="3790">
        <v>7.5</v>
      </c>
      <c r="L66" s="3790">
        <f t="shared" si="0"/>
        <v>291899.62499999994</v>
      </c>
    </row>
    <row r="67" spans="3:12" ht="36">
      <c r="C67" s="3802" t="s">
        <v>3556</v>
      </c>
      <c r="D67" s="3803" t="s">
        <v>3557</v>
      </c>
      <c r="E67" s="3802" t="s">
        <v>3558</v>
      </c>
      <c r="F67" s="3804">
        <v>133.94999999999999</v>
      </c>
      <c r="G67" s="3803" t="s">
        <v>3417</v>
      </c>
      <c r="H67" s="3820" t="s">
        <v>3680</v>
      </c>
      <c r="I67" s="3821">
        <v>44409</v>
      </c>
      <c r="J67" s="3822">
        <v>44620</v>
      </c>
      <c r="K67" s="3790">
        <v>7.5</v>
      </c>
      <c r="L67" s="3790">
        <f t="shared" si="0"/>
        <v>366688.12499999994</v>
      </c>
    </row>
    <row r="68" spans="3:12" ht="36">
      <c r="C68" s="3802" t="s">
        <v>3559</v>
      </c>
      <c r="D68" s="3803" t="s">
        <v>3560</v>
      </c>
      <c r="E68" s="3802" t="s">
        <v>3561</v>
      </c>
      <c r="F68" s="3804">
        <v>54.14</v>
      </c>
      <c r="G68" s="3803" t="s">
        <v>3562</v>
      </c>
      <c r="H68" s="3820" t="s">
        <v>3681</v>
      </c>
      <c r="I68" s="3821">
        <v>44454</v>
      </c>
      <c r="J68" s="3822">
        <v>44620</v>
      </c>
      <c r="K68" s="3790">
        <v>27.5</v>
      </c>
      <c r="L68" s="3790">
        <f t="shared" ref="L68:L112" si="1">K68*F68*365</f>
        <v>543430.25</v>
      </c>
    </row>
    <row r="69" spans="3:12" ht="36">
      <c r="C69" s="3802" t="s">
        <v>3563</v>
      </c>
      <c r="D69" s="3803" t="s">
        <v>3564</v>
      </c>
      <c r="E69" s="3802" t="s">
        <v>3565</v>
      </c>
      <c r="F69" s="3804">
        <v>37.450000000000003</v>
      </c>
      <c r="G69" s="3803" t="s">
        <v>3487</v>
      </c>
      <c r="H69" s="3820" t="s">
        <v>3682</v>
      </c>
      <c r="I69" s="3821">
        <v>44409</v>
      </c>
      <c r="J69" s="3822">
        <v>44620</v>
      </c>
      <c r="K69" s="3790">
        <v>40</v>
      </c>
      <c r="L69" s="3790">
        <f t="shared" si="1"/>
        <v>546770</v>
      </c>
    </row>
    <row r="70" spans="3:12" ht="36">
      <c r="C70" s="3802" t="s">
        <v>3566</v>
      </c>
      <c r="D70" s="3803" t="s">
        <v>3567</v>
      </c>
      <c r="E70" s="3802" t="s">
        <v>3568</v>
      </c>
      <c r="F70" s="3804">
        <v>23.3</v>
      </c>
      <c r="G70" s="3803" t="s">
        <v>3562</v>
      </c>
      <c r="H70" s="3820" t="s">
        <v>3682</v>
      </c>
      <c r="I70" s="3821">
        <v>44423</v>
      </c>
      <c r="J70" s="3822">
        <v>44620</v>
      </c>
      <c r="K70" s="3790">
        <v>40</v>
      </c>
      <c r="L70" s="3790">
        <f t="shared" si="1"/>
        <v>340180</v>
      </c>
    </row>
    <row r="71" spans="3:12" ht="36">
      <c r="C71" s="3802" t="s">
        <v>3569</v>
      </c>
      <c r="D71" s="3803" t="s">
        <v>3570</v>
      </c>
      <c r="E71" s="3802" t="s">
        <v>3571</v>
      </c>
      <c r="F71" s="3804">
        <v>18.350000000000001</v>
      </c>
      <c r="G71" s="3803" t="s">
        <v>3487</v>
      </c>
      <c r="H71" s="3820" t="s">
        <v>3683</v>
      </c>
      <c r="I71" s="3821">
        <v>44440</v>
      </c>
      <c r="J71" s="3822">
        <v>44620</v>
      </c>
      <c r="K71" s="3790">
        <v>47.5</v>
      </c>
      <c r="L71" s="3790">
        <f t="shared" si="1"/>
        <v>318143.12500000006</v>
      </c>
    </row>
    <row r="72" spans="3:12">
      <c r="C72" s="3802" t="s">
        <v>3572</v>
      </c>
      <c r="D72" s="3803" t="s">
        <v>3573</v>
      </c>
      <c r="E72" s="3802" t="s">
        <v>3574</v>
      </c>
      <c r="F72" s="3804">
        <v>724.39</v>
      </c>
      <c r="G72" s="3803" t="s">
        <v>3487</v>
      </c>
      <c r="H72" s="3820"/>
      <c r="I72" s="3821">
        <v>44409</v>
      </c>
      <c r="J72" s="3822">
        <v>44620</v>
      </c>
      <c r="L72" s="3790">
        <f t="shared" si="1"/>
        <v>0</v>
      </c>
    </row>
    <row r="73" spans="3:12">
      <c r="C73" s="3802" t="s">
        <v>3575</v>
      </c>
      <c r="D73" s="3803" t="s">
        <v>3576</v>
      </c>
      <c r="E73" s="3802" t="s">
        <v>3577</v>
      </c>
      <c r="F73" s="3804">
        <v>179.56</v>
      </c>
      <c r="G73" s="3803" t="s">
        <v>3487</v>
      </c>
      <c r="H73" s="3820"/>
      <c r="I73" s="3821">
        <v>44501</v>
      </c>
      <c r="J73" s="3822">
        <v>44620</v>
      </c>
      <c r="L73" s="3790">
        <f t="shared" si="1"/>
        <v>0</v>
      </c>
    </row>
    <row r="74" spans="3:12">
      <c r="C74" s="3802" t="s">
        <v>3578</v>
      </c>
      <c r="D74" s="3803" t="s">
        <v>3579</v>
      </c>
      <c r="E74" s="3802" t="s">
        <v>3580</v>
      </c>
      <c r="F74" s="3804">
        <v>121</v>
      </c>
      <c r="G74" s="3803" t="s">
        <v>3487</v>
      </c>
      <c r="H74" s="3820"/>
      <c r="I74" s="3821">
        <v>44501</v>
      </c>
      <c r="J74" s="3822">
        <v>44620</v>
      </c>
      <c r="L74" s="3790">
        <f t="shared" si="1"/>
        <v>0</v>
      </c>
    </row>
    <row r="75" spans="3:12">
      <c r="C75" s="3802" t="s">
        <v>3581</v>
      </c>
      <c r="D75" s="3803" t="s">
        <v>3582</v>
      </c>
      <c r="E75" s="3802" t="s">
        <v>3583</v>
      </c>
      <c r="F75" s="3804">
        <v>15</v>
      </c>
      <c r="G75" s="3803" t="s">
        <v>3487</v>
      </c>
      <c r="H75" s="3820"/>
      <c r="I75" s="3821">
        <v>44531</v>
      </c>
      <c r="J75" s="3821">
        <v>44712</v>
      </c>
      <c r="L75" s="3790">
        <f t="shared" si="1"/>
        <v>0</v>
      </c>
    </row>
    <row r="76" spans="3:12">
      <c r="C76" s="3802"/>
      <c r="D76" s="3824" t="s">
        <v>3584</v>
      </c>
      <c r="E76" s="3803" t="s">
        <v>3585</v>
      </c>
      <c r="F76" s="3804">
        <v>130.97999999999999</v>
      </c>
      <c r="G76" s="3803"/>
      <c r="L76" s="3790">
        <f t="shared" si="1"/>
        <v>0</v>
      </c>
    </row>
    <row r="77" spans="3:12">
      <c r="C77" s="3802"/>
      <c r="D77" s="3824"/>
      <c r="E77" s="3803" t="s">
        <v>3586</v>
      </c>
      <c r="F77" s="3804">
        <v>20.39</v>
      </c>
      <c r="G77" s="3803"/>
      <c r="L77" s="3790">
        <f t="shared" si="1"/>
        <v>0</v>
      </c>
    </row>
    <row r="78" spans="3:12">
      <c r="C78" s="3802"/>
      <c r="D78" s="3825"/>
      <c r="E78" s="3808" t="s">
        <v>3587</v>
      </c>
      <c r="F78" s="3804">
        <v>173.16</v>
      </c>
      <c r="G78" s="3803"/>
      <c r="L78" s="3790">
        <f t="shared" si="1"/>
        <v>0</v>
      </c>
    </row>
    <row r="79" spans="3:12">
      <c r="C79" s="3802"/>
      <c r="D79" s="3825"/>
      <c r="E79" s="3803" t="s">
        <v>3588</v>
      </c>
      <c r="F79" s="3804">
        <v>16.88</v>
      </c>
      <c r="G79" s="3803"/>
      <c r="L79" s="3790">
        <f t="shared" si="1"/>
        <v>0</v>
      </c>
    </row>
    <row r="80" spans="3:12">
      <c r="C80" s="3802"/>
      <c r="D80" s="3825"/>
      <c r="E80" s="3803" t="s">
        <v>3589</v>
      </c>
      <c r="F80" s="3804">
        <v>20.81</v>
      </c>
      <c r="G80" s="3803"/>
      <c r="L80" s="3790">
        <f t="shared" si="1"/>
        <v>0</v>
      </c>
    </row>
    <row r="81" spans="3:12">
      <c r="C81" s="3802"/>
      <c r="D81" s="3825"/>
      <c r="E81" s="3803" t="s">
        <v>3590</v>
      </c>
      <c r="F81" s="3804">
        <v>18.399999999999999</v>
      </c>
      <c r="G81" s="3803"/>
      <c r="L81" s="3790">
        <f t="shared" si="1"/>
        <v>0</v>
      </c>
    </row>
    <row r="82" spans="3:12">
      <c r="C82" s="3802"/>
      <c r="D82" s="3825"/>
      <c r="E82" s="3803" t="s">
        <v>3591</v>
      </c>
      <c r="F82" s="3804">
        <v>67.36</v>
      </c>
      <c r="G82" s="3803"/>
      <c r="L82" s="3790">
        <f t="shared" si="1"/>
        <v>0</v>
      </c>
    </row>
    <row r="83" spans="3:12">
      <c r="C83" s="3802"/>
      <c r="D83" s="3825"/>
      <c r="E83" s="3803" t="s">
        <v>3592</v>
      </c>
      <c r="F83" s="3804">
        <v>16.88</v>
      </c>
      <c r="G83" s="3803"/>
      <c r="L83" s="3790">
        <f t="shared" si="1"/>
        <v>0</v>
      </c>
    </row>
    <row r="84" spans="3:12">
      <c r="C84" s="3802"/>
      <c r="D84" s="3825"/>
      <c r="E84" s="3803" t="s">
        <v>3593</v>
      </c>
      <c r="F84" s="3804">
        <v>124.35</v>
      </c>
      <c r="G84" s="3803"/>
      <c r="L84" s="3790">
        <f t="shared" si="1"/>
        <v>0</v>
      </c>
    </row>
    <row r="85" spans="3:12">
      <c r="C85" s="3802"/>
      <c r="D85" s="3825"/>
      <c r="E85" s="3803" t="s">
        <v>3594</v>
      </c>
      <c r="F85" s="3804">
        <v>26.14</v>
      </c>
      <c r="G85" s="3803"/>
      <c r="L85" s="3790">
        <f t="shared" si="1"/>
        <v>0</v>
      </c>
    </row>
    <row r="86" spans="3:12">
      <c r="C86" s="3802"/>
      <c r="D86" s="3825"/>
      <c r="E86" s="3803" t="s">
        <v>3595</v>
      </c>
      <c r="F86" s="3804">
        <v>18.399999999999999</v>
      </c>
      <c r="G86" s="3803"/>
      <c r="L86" s="3790">
        <f t="shared" si="1"/>
        <v>0</v>
      </c>
    </row>
    <row r="87" spans="3:12">
      <c r="C87" s="3802"/>
      <c r="D87" s="3825"/>
      <c r="E87" s="3803" t="s">
        <v>3596</v>
      </c>
      <c r="F87" s="3804">
        <v>46.6</v>
      </c>
      <c r="G87" s="3803"/>
      <c r="L87" s="3790">
        <f t="shared" si="1"/>
        <v>0</v>
      </c>
    </row>
    <row r="88" spans="3:12">
      <c r="C88" s="3802"/>
      <c r="D88" s="3825"/>
      <c r="E88" s="3803" t="s">
        <v>3597</v>
      </c>
      <c r="F88" s="3804">
        <v>179.7</v>
      </c>
      <c r="G88" s="3803"/>
      <c r="L88" s="3790">
        <f t="shared" si="1"/>
        <v>0</v>
      </c>
    </row>
    <row r="89" spans="3:12">
      <c r="C89" s="3802"/>
      <c r="D89" s="3825"/>
      <c r="E89" s="3803" t="s">
        <v>3598</v>
      </c>
      <c r="F89" s="3804">
        <v>196.35</v>
      </c>
      <c r="G89" s="3803"/>
      <c r="L89" s="3790">
        <f t="shared" si="1"/>
        <v>0</v>
      </c>
    </row>
    <row r="90" spans="3:12">
      <c r="C90" s="3802"/>
      <c r="D90" s="3825"/>
      <c r="E90" s="3803" t="s">
        <v>3599</v>
      </c>
      <c r="F90" s="3804">
        <v>446.81</v>
      </c>
      <c r="G90" s="3803"/>
      <c r="L90" s="3790">
        <f t="shared" si="1"/>
        <v>0</v>
      </c>
    </row>
    <row r="91" spans="3:12">
      <c r="C91" s="3802"/>
      <c r="D91" s="3825"/>
      <c r="E91" s="3803" t="s">
        <v>3600</v>
      </c>
      <c r="F91" s="3804">
        <v>480.62</v>
      </c>
      <c r="G91" s="3803"/>
      <c r="L91" s="3790">
        <f t="shared" si="1"/>
        <v>0</v>
      </c>
    </row>
    <row r="92" spans="3:12">
      <c r="C92" s="3802"/>
      <c r="D92" s="3825"/>
      <c r="E92" s="3803" t="s">
        <v>3601</v>
      </c>
      <c r="F92" s="3804">
        <v>36.799999999999997</v>
      </c>
      <c r="G92" s="3803"/>
      <c r="L92" s="3790">
        <f t="shared" si="1"/>
        <v>0</v>
      </c>
    </row>
    <row r="93" spans="3:12">
      <c r="C93" s="3802"/>
      <c r="D93" s="3825"/>
      <c r="E93" s="3803" t="s">
        <v>3602</v>
      </c>
      <c r="F93" s="3804">
        <v>500</v>
      </c>
      <c r="G93" s="3803"/>
      <c r="L93" s="3790">
        <f t="shared" si="1"/>
        <v>0</v>
      </c>
    </row>
    <row r="94" spans="3:12">
      <c r="C94" s="3802"/>
      <c r="D94" s="3825"/>
      <c r="E94" s="3803" t="s">
        <v>3603</v>
      </c>
      <c r="F94" s="3804">
        <v>114.6</v>
      </c>
      <c r="G94" s="3803"/>
      <c r="L94" s="3790">
        <f t="shared" si="1"/>
        <v>0</v>
      </c>
    </row>
    <row r="95" spans="3:12">
      <c r="C95" s="3802"/>
      <c r="D95" s="3825"/>
      <c r="E95" s="3803" t="s">
        <v>3604</v>
      </c>
      <c r="F95" s="3804">
        <v>110.77</v>
      </c>
      <c r="G95" s="3803"/>
      <c r="L95" s="3790">
        <f t="shared" si="1"/>
        <v>0</v>
      </c>
    </row>
    <row r="96" spans="3:12">
      <c r="C96" s="3802"/>
      <c r="D96" s="3825"/>
      <c r="E96" s="3803" t="s">
        <v>3605</v>
      </c>
      <c r="F96" s="3804">
        <v>396.34</v>
      </c>
      <c r="G96" s="3803"/>
      <c r="L96" s="3790">
        <f t="shared" si="1"/>
        <v>0</v>
      </c>
    </row>
    <row r="97" spans="3:12">
      <c r="C97" s="3802"/>
      <c r="D97" s="3825"/>
      <c r="E97" s="3803" t="s">
        <v>3606</v>
      </c>
      <c r="F97" s="3804">
        <v>13.29</v>
      </c>
      <c r="G97" s="3803"/>
      <c r="L97" s="3790">
        <f t="shared" si="1"/>
        <v>0</v>
      </c>
    </row>
    <row r="98" spans="3:12">
      <c r="C98" s="3802"/>
      <c r="D98" s="3825"/>
      <c r="E98" s="3803" t="s">
        <v>3607</v>
      </c>
      <c r="F98" s="3804">
        <v>142.21</v>
      </c>
      <c r="G98" s="3803"/>
      <c r="L98" s="3790">
        <f t="shared" si="1"/>
        <v>0</v>
      </c>
    </row>
    <row r="99" spans="3:12">
      <c r="C99" s="3802"/>
      <c r="D99" s="3825"/>
      <c r="E99" s="3803" t="s">
        <v>3608</v>
      </c>
      <c r="F99" s="3804">
        <v>25.88</v>
      </c>
      <c r="G99" s="3803"/>
      <c r="L99" s="3790">
        <f t="shared" si="1"/>
        <v>0</v>
      </c>
    </row>
    <row r="100" spans="3:12">
      <c r="C100" s="3802"/>
      <c r="D100" s="3825"/>
      <c r="E100" s="3803" t="s">
        <v>3609</v>
      </c>
      <c r="F100" s="3804">
        <v>20.81</v>
      </c>
      <c r="G100" s="3803"/>
      <c r="L100" s="3790">
        <f t="shared" si="1"/>
        <v>0</v>
      </c>
    </row>
    <row r="101" spans="3:12">
      <c r="C101" s="3802"/>
      <c r="D101" s="3825"/>
      <c r="E101" s="3803" t="s">
        <v>3610</v>
      </c>
      <c r="F101" s="3804">
        <v>20.77</v>
      </c>
      <c r="G101" s="3803"/>
      <c r="L101" s="3790">
        <f t="shared" si="1"/>
        <v>0</v>
      </c>
    </row>
    <row r="102" spans="3:12">
      <c r="C102" s="3802"/>
      <c r="D102" s="3825"/>
      <c r="E102" s="3803" t="s">
        <v>3611</v>
      </c>
      <c r="F102" s="3804">
        <v>165.58</v>
      </c>
      <c r="G102" s="3803"/>
      <c r="L102" s="3790">
        <f t="shared" si="1"/>
        <v>0</v>
      </c>
    </row>
    <row r="103" spans="3:12">
      <c r="C103" s="3802"/>
      <c r="D103" s="3825"/>
      <c r="E103" s="3803" t="s">
        <v>3577</v>
      </c>
      <c r="F103" s="3804">
        <v>330.23</v>
      </c>
      <c r="G103" s="3803"/>
      <c r="L103" s="3790">
        <f t="shared" si="1"/>
        <v>0</v>
      </c>
    </row>
    <row r="104" spans="3:12">
      <c r="C104" s="3802"/>
      <c r="D104" s="3825"/>
      <c r="E104" s="3803" t="s">
        <v>3612</v>
      </c>
      <c r="F104" s="3804">
        <v>27.68</v>
      </c>
      <c r="G104" s="3803"/>
      <c r="L104" s="3790">
        <f t="shared" si="1"/>
        <v>0</v>
      </c>
    </row>
    <row r="105" spans="3:12">
      <c r="C105" s="3802"/>
      <c r="D105" s="3825"/>
      <c r="E105" s="3802" t="s">
        <v>3613</v>
      </c>
      <c r="F105" s="3804">
        <v>51.3</v>
      </c>
      <c r="G105" s="3803"/>
      <c r="L105" s="3790">
        <f t="shared" si="1"/>
        <v>0</v>
      </c>
    </row>
    <row r="106" spans="3:12">
      <c r="C106" s="3802"/>
      <c r="D106" s="3825"/>
      <c r="E106" s="3803" t="s">
        <v>3614</v>
      </c>
      <c r="F106" s="3804">
        <v>102.32</v>
      </c>
      <c r="G106" s="3803"/>
      <c r="L106" s="3790">
        <f t="shared" si="1"/>
        <v>0</v>
      </c>
    </row>
    <row r="107" spans="3:12">
      <c r="C107" s="3802"/>
      <c r="D107" s="3809"/>
      <c r="E107" s="3803" t="s">
        <v>3615</v>
      </c>
      <c r="F107" s="3804">
        <v>20.74</v>
      </c>
      <c r="G107" s="3803"/>
      <c r="L107" s="3790">
        <f t="shared" si="1"/>
        <v>0</v>
      </c>
    </row>
    <row r="108" spans="3:12">
      <c r="C108" s="3802"/>
      <c r="D108" s="3809"/>
      <c r="E108" s="3803" t="s">
        <v>3616</v>
      </c>
      <c r="F108" s="3804">
        <v>1608.9</v>
      </c>
      <c r="G108" s="3803"/>
      <c r="L108" s="3790">
        <f t="shared" si="1"/>
        <v>0</v>
      </c>
    </row>
    <row r="109" spans="3:12">
      <c r="C109" s="3802"/>
      <c r="D109" s="3809"/>
      <c r="E109" s="3803" t="s">
        <v>3617</v>
      </c>
      <c r="F109" s="3804">
        <v>25.84</v>
      </c>
      <c r="G109" s="3803"/>
      <c r="L109" s="3790">
        <f t="shared" si="1"/>
        <v>0</v>
      </c>
    </row>
    <row r="110" spans="3:12">
      <c r="C110" s="3802"/>
      <c r="D110" s="3809"/>
      <c r="E110" s="3803" t="s">
        <v>3618</v>
      </c>
      <c r="F110" s="3804">
        <v>17.54</v>
      </c>
      <c r="G110" s="3803"/>
      <c r="L110" s="3790">
        <f t="shared" si="1"/>
        <v>0</v>
      </c>
    </row>
    <row r="111" spans="3:12">
      <c r="C111" s="3802"/>
      <c r="D111" s="3809"/>
      <c r="E111" s="3803" t="s">
        <v>3619</v>
      </c>
      <c r="F111" s="3804">
        <v>34.119999999999997</v>
      </c>
      <c r="G111" s="3803"/>
      <c r="L111" s="3790">
        <f t="shared" si="1"/>
        <v>0</v>
      </c>
    </row>
    <row r="112" spans="3:12">
      <c r="C112" s="3810"/>
      <c r="D112" s="3811"/>
      <c r="E112" s="3810"/>
      <c r="F112" s="3812">
        <f>SUBTOTAL(9,F3:F111)</f>
        <v>70840.590000000011</v>
      </c>
      <c r="G112" s="3811"/>
      <c r="L112" s="3790">
        <f t="shared" si="1"/>
        <v>0</v>
      </c>
    </row>
    <row r="113" spans="6:12">
      <c r="L113" s="3790">
        <f>SUM(L3:L112)</f>
        <v>109565006.93799999</v>
      </c>
    </row>
    <row r="118" spans="6:12">
      <c r="F118" s="3827">
        <f>SUM(F7:F71)</f>
        <v>11436.089999999997</v>
      </c>
      <c r="L118" s="3790">
        <f>L113-L5-L6</f>
        <v>59756011.937999994</v>
      </c>
    </row>
    <row r="122" spans="6:12">
      <c r="H122" s="3790">
        <f>L118/F118/365</f>
        <v>14.315653444490209</v>
      </c>
    </row>
  </sheetData>
  <phoneticPr fontId="13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G7"/>
  <sheetViews>
    <sheetView workbookViewId="0">
      <selection activeCell="H16" sqref="H16"/>
    </sheetView>
  </sheetViews>
  <sheetFormatPr defaultRowHeight="13.5"/>
  <sheetData>
    <row r="4" spans="3:7">
      <c r="C4" s="3789" t="s">
        <v>3712</v>
      </c>
      <c r="D4">
        <v>25</v>
      </c>
      <c r="E4">
        <v>0.2</v>
      </c>
    </row>
    <row r="5" spans="3:7">
      <c r="C5" s="3789" t="s">
        <v>3713</v>
      </c>
      <c r="D5">
        <v>34</v>
      </c>
      <c r="E5">
        <f>1-E4</f>
        <v>0.8</v>
      </c>
      <c r="G5">
        <f>D5*10000/'数据-汇总表'!E3</f>
        <v>4.9901298167594978</v>
      </c>
    </row>
    <row r="7" spans="3:7">
      <c r="D7">
        <f>D4*E4+D5*E5</f>
        <v>32.200000000000003</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68134.5</v>
      </c>
      <c r="C4" s="854">
        <f>项目基本情况!C18</f>
        <v>35234.239999999998</v>
      </c>
      <c r="D4" s="854" t="e">
        <f ca="1">结果表!D118</f>
        <v>#REF!</v>
      </c>
      <c r="E4" s="854" t="e">
        <f ca="1">结果表!E118</f>
        <v>#REF!</v>
      </c>
      <c r="F4" s="854" t="e">
        <f ca="1">结果表!F118</f>
        <v>#REF!</v>
      </c>
      <c r="G4" s="854" t="e">
        <f ca="1">结果表!G118</f>
        <v>#REF!</v>
      </c>
      <c r="H4" s="854">
        <f ca="1">结果表!H118</f>
        <v>305443</v>
      </c>
      <c r="I4" s="854">
        <f ca="1">结果表!I118</f>
        <v>44829</v>
      </c>
    </row>
    <row r="5" spans="1:9" ht="30" customHeight="1">
      <c r="A5" s="3463" t="s">
        <v>927</v>
      </c>
      <c r="B5" s="3463"/>
      <c r="C5" s="3463"/>
      <c r="D5" s="3463" t="e">
        <f ca="1">结果表!D119</f>
        <v>#REF!</v>
      </c>
      <c r="E5" s="3463"/>
      <c r="F5" s="3463" t="e">
        <f ca="1">结果表!F119</f>
        <v>#REF!</v>
      </c>
      <c r="G5" s="3463"/>
      <c r="H5" s="3463" t="str">
        <f ca="1">结果表!H119</f>
        <v>叁拾亿伍仟肆佰肆拾叁万元整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305443</v>
      </c>
      <c r="E8" s="3464"/>
      <c r="F8" s="3464"/>
      <c r="G8" s="3464"/>
      <c r="H8" s="3464"/>
      <c r="I8" s="3464"/>
    </row>
    <row r="9" spans="1:9" ht="15">
      <c r="A9" s="3463" t="s">
        <v>927</v>
      </c>
      <c r="B9" s="3463"/>
      <c r="C9" s="3463"/>
      <c r="D9" s="3463" t="str">
        <f ca="1">结果表!D123</f>
        <v>叁拾亿伍仟肆佰肆拾叁万元整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2023-06-29T08:17:25Z</dcterms:modified>
</cp:coreProperties>
</file>