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工业" sheetId="40" r:id="rId22"/>
    <sheet name="土地案例" sheetId="82" r:id="rId23"/>
    <sheet name="基准地价修正" sheetId="43" state="hidden" r:id="rId24"/>
    <sheet name="假设开发法" sheetId="12" r:id="rId25"/>
    <sheet name="收益法" sheetId="15" r:id="rId26"/>
    <sheet name="资料"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1">'土地比较法-工业'!$A$1:$K$61,'土地比较法-工业'!$A$64:$M$121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 localSheetId="13">'[1]不动产比较法-办公'!$B$119:$M$119</definedName>
    <definedName name="办公层高" localSheetId="26">'[1]不动产比较法-办公'!$B$119:$M$119</definedName>
    <definedName name="办公层高">'比较法-办公'!$B$119:$M$119</definedName>
    <definedName name="办公朝向" localSheetId="22">'[1]不动产比较法-办公'!$B$91:$M$91</definedName>
    <definedName name="办公朝向" localSheetId="13">'[1]不动产比较法-办公'!$B$91:$M$91</definedName>
    <definedName name="办公朝向" localSheetId="26">'[1]不动产比较法-办公'!$B$91:$M$91</definedName>
    <definedName name="办公朝向">'比较法-办公'!$B$91:$M$91</definedName>
    <definedName name="办公道路级别" localSheetId="22">'[1]不动产比较法-办公'!$B$87:$M$87</definedName>
    <definedName name="办公道路级别" localSheetId="13">'[1]不动产比较法-办公'!$B$87:$M$87</definedName>
    <definedName name="办公道路级别" localSheetId="26">'[1]不动产比较法-办公'!$B$87:$M$87</definedName>
    <definedName name="办公道路级别">'比较法-办公'!$B$87:$M$87</definedName>
    <definedName name="办公公共部分装修" localSheetId="22">'[1]不动产比较法-办公'!$B$108:$M$108</definedName>
    <definedName name="办公公共部分装修" localSheetId="13">'[1]不动产比较法-办公'!$B$108:$M$108</definedName>
    <definedName name="办公公共部分装修" localSheetId="26">'[1]不动产比较法-办公'!$B$108:$M$108</definedName>
    <definedName name="办公公共部分装修">'比较法-办公'!$B$108:$M$108</definedName>
    <definedName name="办公基础设施水平" localSheetId="22">'[1]不动产比较法-办公'!$B$117:$M$117</definedName>
    <definedName name="办公基础设施水平" localSheetId="13">'[1]不动产比较法-办公'!$B$117:$M$117</definedName>
    <definedName name="办公基础设施水平" localSheetId="26">'[1]不动产比较法-办公'!$B$117:$M$117</definedName>
    <definedName name="办公基础设施水平">'比较法-办公'!$B$117:$M$117</definedName>
    <definedName name="办公集聚程度" localSheetId="22">[1]定义!$M$1:$M$6</definedName>
    <definedName name="办公集聚程度" localSheetId="13">[1]定义!$M$1:$M$6</definedName>
    <definedName name="办公集聚程度" localSheetId="26">[1]定义!$M$1:$M$6</definedName>
    <definedName name="办公集聚程度">定义!$M$1:$M$6</definedName>
    <definedName name="办公建筑结构" localSheetId="22">'[1]不动产比较法-办公'!$B$106:$M$106</definedName>
    <definedName name="办公建筑结构" localSheetId="13">'[1]不动产比较法-办公'!$B$106:$M$106</definedName>
    <definedName name="办公建筑结构" localSheetId="26">'[1]不动产比较法-办公'!$B$106:$M$106</definedName>
    <definedName name="办公建筑结构">'比较法-办公'!$B$106:$M$106</definedName>
    <definedName name="办公建筑类型" localSheetId="22">'[1]不动产比较法-办公'!$B$101:$M$101</definedName>
    <definedName name="办公建筑类型" localSheetId="13">'[1]不动产比较法-办公'!$B$101:$M$101</definedName>
    <definedName name="办公建筑类型" localSheetId="26">'[1]不动产比较法-办公'!$B$101:$M$101</definedName>
    <definedName name="办公建筑类型">'比较法-办公'!$B$101:$M$101</definedName>
    <definedName name="办公交易情况" localSheetId="22">'[1]不动产比较法-办公'!$A$62:$M$62</definedName>
    <definedName name="办公交易情况" localSheetId="13">'[1]不动产比较法-办公'!$A$62:$M$62</definedName>
    <definedName name="办公交易情况" localSheetId="26">'[1]不动产比较法-办公'!$A$62:$M$62</definedName>
    <definedName name="办公交易情况">'比较法-办公'!$A$62:$M$62</definedName>
    <definedName name="办公楼层" localSheetId="22">'[1]不动产比较法-办公'!$B$89:$M$89</definedName>
    <definedName name="办公楼层" localSheetId="13">'[1]不动产比较法-办公'!$B$89:$M$89</definedName>
    <definedName name="办公楼层" localSheetId="26">'[1]不动产比较法-办公'!$B$89:$M$89</definedName>
    <definedName name="办公楼层">'比较法-办公'!$B$89:$M$89</definedName>
    <definedName name="办公内部装修" localSheetId="22">'[1]不动产比较法-办公'!$B$123:$M$123</definedName>
    <definedName name="办公内部装修" localSheetId="13">'[1]不动产比较法-办公'!$B$123:$M$123</definedName>
    <definedName name="办公内部装修" localSheetId="26">'[1]不动产比较法-办公'!$B$123:$M$123</definedName>
    <definedName name="办公内部装修">'比较法-办公'!$B$123:$M$123</definedName>
    <definedName name="办公物业管理" localSheetId="22">'[1]不动产比较法-办公'!$B$115:$M$115</definedName>
    <definedName name="办公物业管理" localSheetId="13">'[1]不动产比较法-办公'!$B$115:$M$115</definedName>
    <definedName name="办公物业管理" localSheetId="26">'[1]不动产比较法-办公'!$B$115:$M$115</definedName>
    <definedName name="办公物业管理">'比较法-办公'!$B$115:$M$115</definedName>
    <definedName name="办公用途" localSheetId="22">'[1]不动产比较法-办公'!$B$64:$M$64</definedName>
    <definedName name="办公用途" localSheetId="13">'[1]不动产比较法-办公'!$B$64:$M$64</definedName>
    <definedName name="办公用途" localSheetId="26">'[1]不动产比较法-办公'!$B$64:$M$64</definedName>
    <definedName name="办公用途">'比较法-办公'!$B$64:$M$64</definedName>
    <definedName name="仓储公共部分装修" localSheetId="22">'[1]不动产比较法-仓储'!$B$77:$M$77</definedName>
    <definedName name="仓储公共部分装修" localSheetId="13">'[1]不动产比较法-仓储'!$B$77:$M$77</definedName>
    <definedName name="仓储公共部分装修" localSheetId="26">'[1]不动产比较法-仓储'!$B$77:$M$77</definedName>
    <definedName name="仓储公共部分装修">'比较法-仓储'!$B$77:$M$77</definedName>
    <definedName name="仓储交易情况" localSheetId="22">'[1]不动产比较法-仓储'!$A$49:$M$49</definedName>
    <definedName name="仓储交易情况" localSheetId="13">'[1]不动产比较法-仓储'!$A$49:$M$49</definedName>
    <definedName name="仓储交易情况" localSheetId="26">'[1]不动产比较法-仓储'!$A$49:$M$49</definedName>
    <definedName name="仓储交易情况">'比较法-仓储'!$A$49:$M$49</definedName>
    <definedName name="仓储楼层" localSheetId="22">'[1]不动产比较法-仓储'!$B$69:$M$69</definedName>
    <definedName name="仓储楼层" localSheetId="13">'[1]不动产比较法-仓储'!$B$69:$M$69</definedName>
    <definedName name="仓储楼层" localSheetId="26">'[1]不动产比较法-仓储'!$B$69:$M$69</definedName>
    <definedName name="仓储楼层">'比较法-仓储'!$B$69:$M$69</definedName>
    <definedName name="仓储物业等级" localSheetId="22">'[1]不动产比较法-仓储'!$B$82:$M$82</definedName>
    <definedName name="仓储物业等级" localSheetId="13">'[1]不动产比较法-仓储'!$B$82:$M$82</definedName>
    <definedName name="仓储物业等级" localSheetId="26">'[1]不动产比较法-仓储'!$B$82:$M$82</definedName>
    <definedName name="仓储物业等级">'比较法-仓储'!$B$82:$M$82</definedName>
    <definedName name="仓储用途" localSheetId="22">'[1]不动产比较法-仓储'!$B$51:$M$51</definedName>
    <definedName name="仓储用途" localSheetId="13">'[1]不动产比较法-仓储'!$B$51:$M$51</definedName>
    <definedName name="仓储用途" localSheetId="26">'[1]不动产比较法-仓储'!$B$51:$M$51</definedName>
    <definedName name="仓储用途">'比较法-仓储'!$B$51:$M$51</definedName>
    <definedName name="产业集聚程度" localSheetId="22">[1]定义!$N$1:$N$6</definedName>
    <definedName name="产业集聚程度" localSheetId="13">[1]定义!$N$1:$N$6</definedName>
    <definedName name="产业集聚程度" localSheetId="26">[1]定义!$N$1:$N$6</definedName>
    <definedName name="产业集聚程度">定义!$N$1:$N$6</definedName>
    <definedName name="车位公共部分装修" localSheetId="22">'[1]不动产比较法-车位'!$B$83:$M$83</definedName>
    <definedName name="车位公共部分装修" localSheetId="13">'[1]不动产比较法-车位'!$B$83:$M$83</definedName>
    <definedName name="车位公共部分装修" localSheetId="26">'[1]不动产比较法-车位'!$B$83:$M$83</definedName>
    <definedName name="车位公共部分装修">'比较法-车位'!$B$83:$M$83</definedName>
    <definedName name="车位交易情况" localSheetId="22">'[1]不动产比较法-车位'!$A$51:$M$51</definedName>
    <definedName name="车位交易情况" localSheetId="13">'[1]不动产比较法-车位'!$A$51:$M$51</definedName>
    <definedName name="车位交易情况" localSheetId="26">'[1]不动产比较法-车位'!$A$51:$M$51</definedName>
    <definedName name="车位交易情况">'比较法-车位'!$A$51:$M$51</definedName>
    <definedName name="车位类型" localSheetId="22">'[1]不动产比较法-车位'!$B$93:$M$93</definedName>
    <definedName name="车位类型" localSheetId="13">'[1]不动产比较法-车位'!$B$93:$M$93</definedName>
    <definedName name="车位类型" localSheetId="26">'[1]不动产比较法-车位'!$B$93:$M$93</definedName>
    <definedName name="车位类型">'比较法-车位'!$B$93:$M$93</definedName>
    <definedName name="车位楼层" localSheetId="22">'[1]不动产比较法-车位'!$B$71:$M$71</definedName>
    <definedName name="车位楼层" localSheetId="13">'[1]不动产比较法-车位'!$B$71:$M$71</definedName>
    <definedName name="车位楼层" localSheetId="26">'[1]不动产比较法-车位'!$B$71:$M$71</definedName>
    <definedName name="车位楼层">'比较法-车位'!$B$71:$M$71</definedName>
    <definedName name="车位配套类型" localSheetId="22">'[1]不动产比较法-车位'!$B$79:$M$79</definedName>
    <definedName name="车位配套类型" localSheetId="13">'[1]不动产比较法-车位'!$B$79:$M$79</definedName>
    <definedName name="车位配套类型" localSheetId="26">'[1]不动产比较法-车位'!$B$79:$M$79</definedName>
    <definedName name="车位配套类型">'比较法-车位'!$B$79:$M$79</definedName>
    <definedName name="车位物业等级" localSheetId="22">'[1]不动产比较法-车位'!$B$88:$M$88</definedName>
    <definedName name="车位物业等级" localSheetId="13">'[1]不动产比较法-车位'!$B$88:$M$88</definedName>
    <definedName name="车位物业等级" localSheetId="26">'[1]不动产比较法-车位'!$B$88:$M$88</definedName>
    <definedName name="车位物业等级">'比较法-车位'!$B$88:$M$88</definedName>
    <definedName name="车位用途" localSheetId="22">'[1]不动产比较法-车位'!$B$53:$M$53</definedName>
    <definedName name="车位用途" localSheetId="13">'[1]不动产比较法-车位'!$B$53:$M$53</definedName>
    <definedName name="车位用途" localSheetId="26">'[1]不动产比较法-车位'!$B$53:$M$53</definedName>
    <definedName name="车位用途">'比较法-车位'!$B$53:$M$53</definedName>
    <definedName name="城镇土地纳税等级分级范围" localSheetId="22">'[1]数据-取费表'!$A$53:$A$63</definedName>
    <definedName name="城镇土地纳税等级分级范围" localSheetId="13">'[1]数据-取费表'!$A$53:$A$63</definedName>
    <definedName name="城镇土地纳税等级分级范围" localSheetId="26">'[1]数据-取费表'!$A$53:$A$63</definedName>
    <definedName name="城镇土地纳税等级分级范围">'数据-取费表'!$A$53:$A$63</definedName>
    <definedName name="单价内涵" localSheetId="22">[1]定义!$V$1:$V$3</definedName>
    <definedName name="单价内涵" localSheetId="13">[1]定义!$V$1:$V$3</definedName>
    <definedName name="单价内涵" localSheetId="26">[1]定义!$V$1:$V$3</definedName>
    <definedName name="单价内涵">定义!$V$1:$V$3</definedName>
    <definedName name="地类判定" localSheetId="22">[1]定义!$H$1:$H$9</definedName>
    <definedName name="地类判定" localSheetId="13">[1]定义!$H$1:$H$9</definedName>
    <definedName name="地类判定" localSheetId="26">[1]定义!$H$1:$H$9</definedName>
    <definedName name="地类判定">定义!$H$1:$H$9</definedName>
    <definedName name="二级">区片价!$J$1:$J$21</definedName>
    <definedName name="二级分类" localSheetId="22">[1]修正!$C$19:$C$51</definedName>
    <definedName name="二级分类" localSheetId="13">[1]修正!$C$19:$C$51</definedName>
    <definedName name="二级分类" localSheetId="26">[1]修正!$C$19:$C$51</definedName>
    <definedName name="二级分类">修正!$C$19:$C$51</definedName>
    <definedName name="法定最高年限" localSheetId="22">[1]定义!$G$2:$G$5</definedName>
    <definedName name="法定最高年限" localSheetId="13">[1]定义!$G$2:$G$5</definedName>
    <definedName name="法定最高年限" localSheetId="26">[1]定义!$G$2:$G$5</definedName>
    <definedName name="法定最高年限">定义!$G$1:$G$6</definedName>
    <definedName name="工业公共部分装修" localSheetId="22">'[1]不动产比较法-工业'!$B$95:$M$95</definedName>
    <definedName name="工业公共部分装修" localSheetId="13">'[1]不动产比较法-工业'!$B$95:$M$95</definedName>
    <definedName name="工业公共部分装修" localSheetId="26">'[1]不动产比较法-工业'!$B$95:$M$95</definedName>
    <definedName name="工业公共部分装修">'比较法-工业'!$B$95:$M$95</definedName>
    <definedName name="工业基础设施水平" localSheetId="22">'[1]不动产比较法-工业'!$B$102:$M$102</definedName>
    <definedName name="工业基础设施水平" localSheetId="13">'[1]不动产比较法-工业'!$B$102:$M$102</definedName>
    <definedName name="工业基础设施水平" localSheetId="26">'[1]不动产比较法-工业'!$B$102:$M$102</definedName>
    <definedName name="工业基础设施水平">'比较法-工业'!$B$102:$M$102</definedName>
    <definedName name="工业建筑结构" localSheetId="22">'[1]不动产比较法-工业'!$B$93:$M$93</definedName>
    <definedName name="工业建筑结构" localSheetId="13">'[1]不动产比较法-工业'!$B$93:$M$93</definedName>
    <definedName name="工业建筑结构" localSheetId="26">'[1]不动产比较法-工业'!$B$93:$M$93</definedName>
    <definedName name="工业建筑结构">'比较法-工业'!$B$93:$M$93</definedName>
    <definedName name="工业建筑类型" localSheetId="22">'[1]不动产比较法-工业'!$B$88:$M$88</definedName>
    <definedName name="工业建筑类型" localSheetId="13">'[1]不动产比较法-工业'!$B$88:$M$88</definedName>
    <definedName name="工业建筑类型" localSheetId="26">'[1]不动产比较法-工业'!$B$88:$M$88</definedName>
    <definedName name="工业建筑类型">'比较法-工业'!$B$88:$M$88</definedName>
    <definedName name="工业交易情况" localSheetId="22">'[1]不动产比较法-工业'!$A$55:$M$55</definedName>
    <definedName name="工业交易情况" localSheetId="13">'[1]不动产比较法-工业'!$A$55:$M$55</definedName>
    <definedName name="工业交易情况" localSheetId="26">'[1]不动产比较法-工业'!$A$55:$M$55</definedName>
    <definedName name="工业交易情况">'比较法-工业'!$A$55:$M$55</definedName>
    <definedName name="工业内部装修" localSheetId="22">'[1]不动产比较法-工业'!$B$104:$M$104</definedName>
    <definedName name="工业内部装修" localSheetId="13">'[1]不动产比较法-工业'!$B$104:$M$104</definedName>
    <definedName name="工业内部装修" localSheetId="26">'[1]不动产比较法-工业'!$B$104:$M$104</definedName>
    <definedName name="工业内部装修">'比较法-工业'!$B$104:$M$104</definedName>
    <definedName name="工业物业管理" localSheetId="22">'[1]不动产比较法-工业'!$B$100:$M$100</definedName>
    <definedName name="工业物业管理" localSheetId="13">'[1]不动产比较法-工业'!$B$100:$M$100</definedName>
    <definedName name="工业物业管理" localSheetId="26">'[1]不动产比较法-工业'!$B$100:$M$100</definedName>
    <definedName name="工业物业管理">'比较法-工业'!$B$100:$M$100</definedName>
    <definedName name="工业用途" localSheetId="22">'[1]不动产比较法-工业'!$B$57:$M$57</definedName>
    <definedName name="工业用途" localSheetId="13">'[1]不动产比较法-工业'!$B$57:$M$57</definedName>
    <definedName name="工业用途" localSheetId="26">'[1]不动产比较法-工业'!$B$57:$M$57</definedName>
    <definedName name="工业用途">'比较法-工业'!$B$57:$M$57</definedName>
    <definedName name="公共配套设施" localSheetId="22">[1]定义!$Q$1:$Q$6</definedName>
    <definedName name="公共配套设施" localSheetId="13">[1]定义!$Q$1:$Q$6</definedName>
    <definedName name="公共配套设施" localSheetId="26">[1]定义!$Q$1:$Q$6</definedName>
    <definedName name="公共配套设施">定义!$Q$1:$Q$6</definedName>
    <definedName name="估价范围判定" localSheetId="22">[1]定义!$D$1:$D$4</definedName>
    <definedName name="估价范围判定" localSheetId="13">[1]定义!$D$1:$D$4</definedName>
    <definedName name="估价范围判定" localSheetId="26">[1]定义!$D$1:$D$4</definedName>
    <definedName name="估价范围判定">定义!$D$1:$D$4</definedName>
    <definedName name="估价方法" localSheetId="22">[1]定义!$B$1:$B$50</definedName>
    <definedName name="估价方法" localSheetId="13">[1]定义!$B$1:$B$50</definedName>
    <definedName name="估价方法" localSheetId="26">[1]定义!$B$1:$B$50</definedName>
    <definedName name="估价方法">定义!$B$1:$B$50</definedName>
    <definedName name="环境" localSheetId="22">[1]定义!$S$1:$S$6</definedName>
    <definedName name="环境" localSheetId="13">[1]定义!$S$1:$S$6</definedName>
    <definedName name="环境" localSheetId="26">[1]定义!$S$1:$S$6</definedName>
    <definedName name="环境">定义!$S$1:$S$6</definedName>
    <definedName name="基础设施水平" localSheetId="22">[1]定义!$R$1:$R$6</definedName>
    <definedName name="基础设施水平" localSheetId="13">[1]定义!$R$1:$R$6</definedName>
    <definedName name="基础设施水平" localSheetId="26">[1]定义!$R$1:$R$6</definedName>
    <definedName name="基础设施水平">定义!$R$1:$R$6</definedName>
    <definedName name="季度">基准地价修正!$Q$19:$AD$19</definedName>
    <definedName name="价值类型2" localSheetId="22">[1]定义!$B$54:$B$56</definedName>
    <definedName name="价值类型2" localSheetId="13">[1]定义!$B$54:$B$56</definedName>
    <definedName name="价值类型2" localSheetId="26">[1]定义!$B$54:$B$56</definedName>
    <definedName name="价值类型2">定义!$B$54:$B$56</definedName>
    <definedName name="交通便捷度" localSheetId="22">[1]定义!$O$1:$O$6</definedName>
    <definedName name="交通便捷度" localSheetId="13">[1]定义!$O$1:$O$6</definedName>
    <definedName name="交通便捷度" localSheetId="26">[1]定义!$O$1:$O$6</definedName>
    <definedName name="交通便捷度">定义!$O$1:$O$6</definedName>
    <definedName name="九级">区片价!$Q$1:$Q$51</definedName>
    <definedName name="居住社区成熟度" localSheetId="22">[1]定义!$K$1:$K$6</definedName>
    <definedName name="居住社区成熟度" localSheetId="13">[1]定义!$K$1:$K$6</definedName>
    <definedName name="居住社区成熟度" localSheetId="26">[1]定义!$K$1:$K$6</definedName>
    <definedName name="居住社区成熟度">定义!$K$1:$K$6</definedName>
    <definedName name="类别" localSheetId="22">[1]定义!$J$1:$J$3</definedName>
    <definedName name="类别" localSheetId="13">[1]定义!$J$1:$J$3</definedName>
    <definedName name="类别" localSheetId="26">[1]定义!$J$1:$J$3</definedName>
    <definedName name="类别">定义!$J$1:$J$3</definedName>
    <definedName name="临街状况" localSheetId="22">[1]定义!$T$1:$T$5</definedName>
    <definedName name="临街状况" localSheetId="13">[1]定义!$T$1:$T$5</definedName>
    <definedName name="临街状况" localSheetId="26">[1]定义!$T$1:$T$5</definedName>
    <definedName name="临街状况">定义!$T$1:$T$5</definedName>
    <definedName name="六级">区片价!$N$1:$N$64</definedName>
    <definedName name="内部装修维护情况" localSheetId="22">[1]定义!$U$1:$U$6</definedName>
    <definedName name="内部装修维护情况" localSheetId="13">[1]定义!$U$1:$U$6</definedName>
    <definedName name="内部装修维护情况" localSheetId="26">[1]定义!$U$1:$U$6</definedName>
    <definedName name="内部装修维护情况">定义!$U$1:$U$6</definedName>
    <definedName name="七级">区片价!$O$1:$O$45</definedName>
    <definedName name="七通一平" localSheetId="22">[1]修正!$A$8:$A$16</definedName>
    <definedName name="七通一平" localSheetId="13">[1]修正!$A$8:$A$16</definedName>
    <definedName name="七通一平" localSheetId="26">[1]修正!$A$8:$A$16</definedName>
    <definedName name="七通一平">修正!$A$8:$A$16</definedName>
    <definedName name="区域土地利用方向" localSheetId="22">[1]定义!$P$1:$P$6</definedName>
    <definedName name="区域土地利用方向" localSheetId="13">[1]定义!$P$1:$P$6</definedName>
    <definedName name="区域土地利用方向" localSheetId="26">[1]定义!$P$1:$P$6</definedName>
    <definedName name="区域土地利用方向">定义!$P$1:$P$6</definedName>
    <definedName name="三级">区片价!$K$1:$K$26</definedName>
    <definedName name="商业层高" localSheetId="22">'[1]不动产比较法-商业'!$B$116:$M$116</definedName>
    <definedName name="商业层高" localSheetId="13">'[1]不动产比较法-商业'!$B$116:$M$116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2">[1]定义!$L$1:$L$6</definedName>
    <definedName name="商业繁华度" localSheetId="13">[1]定义!$L$1:$L$6</definedName>
    <definedName name="商业繁华度" localSheetId="26">[1]定义!$L$1:$L$6</definedName>
    <definedName name="商业繁华度">定义!$L$1:$L$6</definedName>
    <definedName name="商业公共部分装修" localSheetId="22">'[1]不动产比较法-商业'!$B$107:$M$107</definedName>
    <definedName name="商业公共部分装修" localSheetId="13">'[1]不动产比较法-商业'!$B$107:$M$107</definedName>
    <definedName name="商业公共部分装修" localSheetId="26">'[1]不动产比较法-商业'!$B$107:$M$107</definedName>
    <definedName name="商业公共部分装修">'比较法-商业'!$B$107:$M$107</definedName>
    <definedName name="商业基础设施水平" localSheetId="22">'[1]不动产比较法-商业'!$B$112:$M$112</definedName>
    <definedName name="商业基础设施水平" localSheetId="13">'[1]不动产比较法-商业'!$B$112:$M$112</definedName>
    <definedName name="商业基础设施水平" localSheetId="26">'[1]不动产比较法-商业'!$B$112:$M$112</definedName>
    <definedName name="商业基础设施水平">'比较法-商业'!$B$112:$M$112</definedName>
    <definedName name="商业建筑结构" localSheetId="22">'[1]不动产比较法-商业'!$B$105:$M$105</definedName>
    <definedName name="商业建筑结构" localSheetId="13">'[1]不动产比较法-商业'!$B$105:$M$105</definedName>
    <definedName name="商业建筑结构" localSheetId="26">'[1]不动产比较法-商业'!$B$105:$M$105</definedName>
    <definedName name="商业建筑结构">'比较法-商业'!$B$105:$M$105</definedName>
    <definedName name="商业交易情况" localSheetId="22">'[1]不动产比较法-商业'!$A$61:$M$61</definedName>
    <definedName name="商业交易情况" localSheetId="13">'[1]不动产比较法-商业'!$A$61:$M$61</definedName>
    <definedName name="商业交易情况" localSheetId="26">'[1]不动产比较法-商业'!$A$61:$M$61</definedName>
    <definedName name="商业交易情况">'比较法-商业'!$A$61:$M$61</definedName>
    <definedName name="商业街名称" localSheetId="22">[1]修正!$C$71:$C$139</definedName>
    <definedName name="商业街名称" localSheetId="13">[1]修正!$C$71:$C$139</definedName>
    <definedName name="商业街名称" localSheetId="26">[1]修正!$C$71:$C$139</definedName>
    <definedName name="商业街名称">修正!$C$71:$C$138</definedName>
    <definedName name="商业进深比" localSheetId="22">'[1]不动产比较法-商业'!$B$120:$M$120</definedName>
    <definedName name="商业进深比" localSheetId="13">'[1]不动产比较法-商业'!$B$120:$M$120</definedName>
    <definedName name="商业进深比" localSheetId="26">'[1]不动产比较法-商业'!$B$120:$M$120</definedName>
    <definedName name="商业进深比">'比较法-商业'!$B$120:$M$120</definedName>
    <definedName name="商业类型" localSheetId="22">'[1]不动产比较法-商业'!$B$100:$M$100</definedName>
    <definedName name="商业类型" localSheetId="13">'[1]不动产比较法-商业'!$B$100:$M$100</definedName>
    <definedName name="商业类型" localSheetId="26">'[1]不动产比较法-商业'!$B$100:$M$100</definedName>
    <definedName name="商业类型">'比较法-商业'!$B$100:$M$100</definedName>
    <definedName name="商业临街状况" localSheetId="22">'[1]不动产比较法-商业'!$B$86:$M$86</definedName>
    <definedName name="商业临街状况" localSheetId="13">'[1]不动产比较法-商业'!$B$86:$M$86</definedName>
    <definedName name="商业临街状况" localSheetId="26">'[1]不动产比较法-商业'!$B$86:$M$86</definedName>
    <definedName name="商业临街状况">'比较法-商业'!$B$86:$M$86</definedName>
    <definedName name="商业楼层" localSheetId="22">'[1]不动产比较法-商业'!$B$92:$M$92</definedName>
    <definedName name="商业楼层" localSheetId="13">'[1]不动产比较法-商业'!$B$92:$M$92</definedName>
    <definedName name="商业楼层" localSheetId="26">'[1]不动产比较法-商业'!$B$92:$M$92</definedName>
    <definedName name="商业楼层">'比较法-商业'!$B$92:$M$92</definedName>
    <definedName name="商业内部装修" localSheetId="22">'[1]不动产比较法-商业'!$B$122:$M$122</definedName>
    <definedName name="商业内部装修" localSheetId="13">'[1]不动产比较法-商业'!$B$122:$M$122</definedName>
    <definedName name="商业内部装修" localSheetId="26">'[1]不动产比较法-商业'!$B$122:$M$122</definedName>
    <definedName name="商业内部装修">'比较法-商业'!$B$122:$M$122</definedName>
    <definedName name="商业人流量" localSheetId="22">'[1]不动产比较法-商业'!$B$90:$M$90</definedName>
    <definedName name="商业人流量" localSheetId="13">'[1]不动产比较法-商业'!$B$90:$M$90</definedName>
    <definedName name="商业人流量" localSheetId="26">'[1]不动产比较法-商业'!$B$90:$M$90</definedName>
    <definedName name="商业人流量">'比较法-商业'!$B$90:$M$90</definedName>
    <definedName name="商业业态" localSheetId="22">'[1]不动产比较法-商业'!$B$114:$M$114</definedName>
    <definedName name="商业业态" localSheetId="13">'[1]不动产比较法-商业'!$B$114:$M$114</definedName>
    <definedName name="商业业态" localSheetId="26">'[1]不动产比较法-商业'!$B$114:$M$114</definedName>
    <definedName name="商业业态">'比较法-商业'!$B$114:$M$114</definedName>
    <definedName name="商业用途" localSheetId="22">'[1]不动产比较法-商业'!$B$63:$M$63</definedName>
    <definedName name="商业用途" localSheetId="13">'[1]不动产比较法-商业'!$B$63:$M$63</definedName>
    <definedName name="商业用途" localSheetId="26">'[1]不动产比较法-商业'!$B$63:$M$63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 localSheetId="13">'[1]不动产比较法-仓储'!$B$89:$M$89</definedName>
    <definedName name="是否封闭" localSheetId="26">'[1]不动产比较法-仓储'!$B$89:$M$89</definedName>
    <definedName name="是否封闭">'比较法-仓储'!$B$89:$M$89</definedName>
    <definedName name="是否直接入户" localSheetId="22">'[1]不动产比较法-车位'!$B$95:$M$95</definedName>
    <definedName name="是否直接入户" localSheetId="13">'[1]不动产比较法-车位'!$B$95:$M$95</definedName>
    <definedName name="是否直接入户" localSheetId="26">'[1]不动产比较法-车位'!$B$95:$M$95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 localSheetId="13">'[1]比较法-住宅、综合'!$A$74:$M$74</definedName>
    <definedName name="套工交易情况" localSheetId="26">'[1]比较法-住宅、综合'!$A$74:$M$74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 localSheetId="13">'[1]比较法-工业'!$B$100:$M$100</definedName>
    <definedName name="套工土地级别" localSheetId="26">'[1]比较法-工业'!$B$100:$M$100</definedName>
    <definedName name="套工土地级别">'土地比较法-工业'!$B$99:$M$99</definedName>
    <definedName name="套工用途" localSheetId="22">'[1]比较法-工业'!$B$71:$M$71</definedName>
    <definedName name="套工用途" localSheetId="13">'[1]比较法-工业'!$B$71:$M$71</definedName>
    <definedName name="套工用途" localSheetId="26">'[1]比较法-工业'!$B$71:$M$71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 localSheetId="13">'[1]比较法-工业'!$B$111:$M$111</definedName>
    <definedName name="套工宗地形状" localSheetId="26">'[1]比较法-工业'!$B$111:$M$111</definedName>
    <definedName name="套工宗地形状">'土地比较法-工业'!$B$110:$M$110</definedName>
    <definedName name="套综道路等级" localSheetId="22">'[1]比较法-住宅、综合'!$B$107:$M$107</definedName>
    <definedName name="套综道路等级" localSheetId="13">'[1]比较法-住宅、综合'!$B$107:$M$107</definedName>
    <definedName name="套综道路等级" localSheetId="26">'[1]比较法-住宅、综合'!$B$107:$M$107</definedName>
    <definedName name="套综道路等级">'土地比较法-住宅、综合'!$B$105:$M$105</definedName>
    <definedName name="套综工程地质条件" localSheetId="22">'[1]比较法-住宅、综合'!$B$126:$M$126</definedName>
    <definedName name="套综工程地质条件" localSheetId="13">'[1]比较法-住宅、综合'!$B$126:$M$126</definedName>
    <definedName name="套综工程地质条件" localSheetId="26">'[1]比较法-住宅、综合'!$B$126:$M$126</definedName>
    <definedName name="套综工程地质条件">'土地比较法-住宅、综合'!$B$124:$M$124</definedName>
    <definedName name="套综交易情况" localSheetId="22">'[1]比较法-住宅、综合'!$A$74:$M$74</definedName>
    <definedName name="套综交易情况" localSheetId="13">'[1]比较法-住宅、综合'!$A$74:$M$74</definedName>
    <definedName name="套综交易情况" localSheetId="26">'[1]比较法-住宅、综合'!$A$74:$M$74</definedName>
    <definedName name="套综交易情况">'土地比较法-住宅、综合'!$A$72:$M$72</definedName>
    <definedName name="套综临街宽度及深度" localSheetId="22">'[1]比较法-住宅、综合'!$B$122:$M$122</definedName>
    <definedName name="套综临街宽度及深度" localSheetId="13">'[1]比较法-住宅、综合'!$B$122:$M$122</definedName>
    <definedName name="套综临街宽度及深度" localSheetId="26">'[1]比较法-住宅、综合'!$B$122:$M$122</definedName>
    <definedName name="套综临街宽度及深度">'土地比较法-住宅、综合'!$B$120:$M$120</definedName>
    <definedName name="套综土地级别" localSheetId="22">'[1]比较法-住宅、综合'!$B$109:$M$109</definedName>
    <definedName name="套综土地级别" localSheetId="13">'[1]比较法-住宅、综合'!$B$109:$M$109</definedName>
    <definedName name="套综土地级别" localSheetId="26">'[1]比较法-住宅、综合'!$B$109:$M$109</definedName>
    <definedName name="套综土地级别">'土地比较法-住宅、综合'!$B$107:$M$107</definedName>
    <definedName name="套综用途" localSheetId="22">'[1]比较法-住宅、综合'!$B$76:$M$76</definedName>
    <definedName name="套综用途" localSheetId="13">'[1]比较法-住宅、综合'!$B$76:$M$76</definedName>
    <definedName name="套综用途" localSheetId="26">'[1]比较法-住宅、综合'!$B$76:$M$76</definedName>
    <definedName name="套综用途">'土地比较法-住宅、综合'!$B$74:$M$74</definedName>
    <definedName name="套综宗地内开发程度" localSheetId="22">'[1]比较法-住宅、综合'!$B$124:$M$124</definedName>
    <definedName name="套综宗地内开发程度" localSheetId="13">'[1]比较法-住宅、综合'!$B$124:$M$124</definedName>
    <definedName name="套综宗地内开发程度" localSheetId="26">'[1]比较法-住宅、综合'!$B$124:$M$124</definedName>
    <definedName name="套综宗地内开发程度">'土地比较法-住宅、综合'!$B$122:$M$122</definedName>
    <definedName name="套综宗地形状" localSheetId="22">'[1]比较法-住宅、综合'!$B$120:$M$120</definedName>
    <definedName name="套综宗地形状" localSheetId="13">'[1]比较法-住宅、综合'!$B$120:$M$120</definedName>
    <definedName name="套综宗地形状" localSheetId="26">'[1]比较法-住宅、综合'!$B$120:$M$120</definedName>
    <definedName name="套综宗地形状">'土地比较法-住宅、综合'!$B$118:$M$118</definedName>
    <definedName name="土地估价师" localSheetId="22">[1]估价师及机构信息!$D$3:$D$17</definedName>
    <definedName name="土地估价师" localSheetId="13">[1]估价师及机构信息!$D$3:$D$17</definedName>
    <definedName name="土地估价师" localSheetId="26">[1]估价师及机构信息!$D$3:$D$17</definedName>
    <definedName name="土地估价师">估价师及机构信息!$D$3:$D$24</definedName>
    <definedName name="土地级别" localSheetId="22">[1]定义!$C$1:$C$14</definedName>
    <definedName name="土地级别" localSheetId="13">[1]定义!$C$1:$C$14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2">[1]定义!$E$2:$E$4</definedName>
    <definedName name="位置" localSheetId="13">[1]定义!$E$2:$E$4</definedName>
    <definedName name="位置" localSheetId="26">[1]定义!$E$2:$E$4</definedName>
    <definedName name="位置">定义!$E$2:$E$4</definedName>
    <definedName name="五等判定" localSheetId="22">[1]定义!$W$1:$W$6</definedName>
    <definedName name="五等判定" localSheetId="13">[1]定义!$W$1:$W$6</definedName>
    <definedName name="五等判定" localSheetId="26">[1]定义!$W$1:$W$6</definedName>
    <definedName name="五等判定">定义!$W$1:$W$6</definedName>
    <definedName name="五级">区片价!$M$1:$M$41</definedName>
    <definedName name="项目类型" localSheetId="28">'[2]数据-汇总表'!$C$17:$C$26</definedName>
    <definedName name="项目类型" localSheetId="22">'[1]数据-汇总表'!$C$17:$C$26</definedName>
    <definedName name="项目类型" localSheetId="13">'[1]数据-汇总表'!$C$17:$C$26</definedName>
    <definedName name="项目类型" localSheetId="26">'[1]数据-汇总表'!$C$17:$C$26</definedName>
    <definedName name="项目类型">'数据-汇总表'!$C$17:$C$26</definedName>
    <definedName name="写字楼等级" localSheetId="22">'[1]不动产比较法-办公'!$B$113:$M$113</definedName>
    <definedName name="写字楼等级" localSheetId="13">'[1]不动产比较法-办公'!$B$113:$M$113</definedName>
    <definedName name="写字楼等级" localSheetId="26">'[1]不动产比较法-办公'!$B$113:$M$113</definedName>
    <definedName name="写字楼等级">'比较法-办公'!$B$113:$M$113</definedName>
    <definedName name="一级">区片价!$I$1:$I$6</definedName>
    <definedName name="一修多修正项2" localSheetId="22">[1]典型户型修正!$5:$5</definedName>
    <definedName name="一修多修正项2" localSheetId="13">[1]典型户型修正!$5:$5</definedName>
    <definedName name="一修多修正项2" localSheetId="26">[1]典型户型修正!$5:$5</definedName>
    <definedName name="一修多修正项2">典型户型修正!$5:$5</definedName>
    <definedName name="一修多修正项3" localSheetId="22">[1]典型户型修正!$7:$7</definedName>
    <definedName name="一修多修正项3" localSheetId="13">[1]典型户型修正!$7:$7</definedName>
    <definedName name="一修多修正项3" localSheetId="26">[1]典型户型修正!$7:$7</definedName>
    <definedName name="一修多修正项3">典型户型修正!$7:$7</definedName>
    <definedName name="一修多修正项4" localSheetId="22">[1]典型户型修正!$9:$9</definedName>
    <definedName name="一修多修正项4" localSheetId="13">[1]典型户型修正!$9:$9</definedName>
    <definedName name="一修多修正项4" localSheetId="26">[1]典型户型修正!$9:$9</definedName>
    <definedName name="一修多修正项4">典型户型修正!$9:$9</definedName>
    <definedName name="一修多修正项5" localSheetId="22">[1]典型户型修正!$11:$11</definedName>
    <definedName name="一修多修正项5" localSheetId="13">[1]典型户型修正!$11:$11</definedName>
    <definedName name="一修多修正项5" localSheetId="26">[1]典型户型修正!$11:$11</definedName>
    <definedName name="一修多修正项5">典型户型修正!$11:$11</definedName>
    <definedName name="一修多修正项6" localSheetId="22">[1]典型户型修正!$13:$13</definedName>
    <definedName name="一修多修正项6" localSheetId="13">[1]典型户型修正!$13:$13</definedName>
    <definedName name="一修多修正项6" localSheetId="26">[1]典型户型修正!$13:$13</definedName>
    <definedName name="一修多修正项6">典型户型修正!$13:$13</definedName>
    <definedName name="一修多修正项7" localSheetId="22">[1]典型户型修正!$15:$15</definedName>
    <definedName name="一修多修正项7" localSheetId="13">[1]典型户型修正!$15:$15</definedName>
    <definedName name="一修多修正项7" localSheetId="26">[1]典型户型修正!$15:$15</definedName>
    <definedName name="一修多修正项7">典型户型修正!$15:$15</definedName>
    <definedName name="一修多修正项8" localSheetId="22">[1]典型户型修正!$17:$17</definedName>
    <definedName name="一修多修正项8" localSheetId="13">[1]典型户型修正!$17:$17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 localSheetId="13">'[1]不动产比较法-仓储'!$B$84:$M$84</definedName>
    <definedName name="有无电梯" localSheetId="26">'[1]不动产比较法-仓储'!$B$84:$M$84</definedName>
    <definedName name="有无电梯">'比较法-仓储'!$B$84:$M$84</definedName>
    <definedName name="主用途" localSheetId="22">[1]定义!$F$1:$F$12</definedName>
    <definedName name="主用途" localSheetId="13">[1]定义!$F$1:$F$12</definedName>
    <definedName name="主用途" localSheetId="26">[1]定义!$F$1:$F$12</definedName>
    <definedName name="主用途">定义!$F$1:$F$12</definedName>
    <definedName name="住宅朝向" localSheetId="22">'[1]不动产比较法-住宅'!$B$88:$M$88</definedName>
    <definedName name="住宅朝向" localSheetId="13">'[1]不动产比较法-住宅'!$B$88:$M$88</definedName>
    <definedName name="住宅朝向" localSheetId="26">'[1]不动产比较法-住宅'!$B$88:$M$88</definedName>
    <definedName name="住宅朝向">'比较法-住宅'!$B$88:$M$88</definedName>
    <definedName name="住宅房型" localSheetId="22">'[1]不动产比较法-住宅'!$B$118:$M$118</definedName>
    <definedName name="住宅房型" localSheetId="13">'[1]不动产比较法-住宅'!$B$118:$M$118</definedName>
    <definedName name="住宅房型" localSheetId="26">'[1]不动产比较法-住宅'!$B$118:$M$118</definedName>
    <definedName name="住宅房型">'比较法-住宅'!$B$118:$M$118</definedName>
    <definedName name="住宅公共部分装修" localSheetId="22">'[1]不动产比较法-住宅'!$B$109:$M$109</definedName>
    <definedName name="住宅公共部分装修" localSheetId="13">'[1]不动产比较法-住宅'!$B$109:$M$109</definedName>
    <definedName name="住宅公共部分装修" localSheetId="26">'[1]不动产比较法-住宅'!$B$109:$M$109</definedName>
    <definedName name="住宅公共部分装修">'比较法-住宅'!$B$109:$M$109</definedName>
    <definedName name="住宅基础设施水平" localSheetId="22">'[1]不动产比较法-住宅'!$B$116:$M$116</definedName>
    <definedName name="住宅基础设施水平" localSheetId="13">'[1]不动产比较法-住宅'!$B$116:$M$116</definedName>
    <definedName name="住宅基础设施水平" localSheetId="26">'[1]不动产比较法-住宅'!$B$116:$M$116</definedName>
    <definedName name="住宅基础设施水平">'比较法-住宅'!$B$116:$M$116</definedName>
    <definedName name="住宅建筑结构" localSheetId="22">'[1]不动产比较法-住宅'!$B$105:$M$105</definedName>
    <definedName name="住宅建筑结构" localSheetId="13">'[1]不动产比较法-住宅'!$B$105:$M$105</definedName>
    <definedName name="住宅建筑结构" localSheetId="26">'[1]不动产比较法-住宅'!$B$105:$M$105</definedName>
    <definedName name="住宅建筑结构">'比较法-住宅'!$B$105:$M$105</definedName>
    <definedName name="住宅建筑类型" localSheetId="22">'[1]不动产比较法-住宅'!$B$100:$M$100</definedName>
    <definedName name="住宅建筑类型" localSheetId="13">'[1]不动产比较法-住宅'!$B$100:$M$100</definedName>
    <definedName name="住宅建筑类型" localSheetId="26">'[1]不动产比较法-住宅'!$B$100:$M$100</definedName>
    <definedName name="住宅建筑类型">'比较法-住宅'!$B$100:$M$100</definedName>
    <definedName name="住宅建筑品质" localSheetId="22">'[1]不动产比较法-住宅'!$B$107:$M$107</definedName>
    <definedName name="住宅建筑品质" localSheetId="13">'[1]不动产比较法-住宅'!$B$107:$M$107</definedName>
    <definedName name="住宅建筑品质" localSheetId="26">'[1]不动产比较法-住宅'!$B$107:$M$107</definedName>
    <definedName name="住宅建筑品质">'比较法-住宅'!$B$107:$M$107</definedName>
    <definedName name="住宅交易情况" localSheetId="22">'[1]不动产比较法-住宅'!$A$61:$M$61</definedName>
    <definedName name="住宅交易情况" localSheetId="13">'[1]不动产比较法-住宅'!$A$61:$M$61</definedName>
    <definedName name="住宅交易情况" localSheetId="26">'[1]不动产比较法-住宅'!$A$61:$M$61</definedName>
    <definedName name="住宅交易情况">'比较法-住宅'!$A$61:$M$61</definedName>
    <definedName name="住宅楼层" localSheetId="22">'[1]不动产比较法-住宅'!$B$86:$M$86</definedName>
    <definedName name="住宅楼层" localSheetId="13">'[1]不动产比较法-住宅'!$B$86:$M$86</definedName>
    <definedName name="住宅楼层" localSheetId="26">'[1]不动产比较法-住宅'!$B$86:$M$86</definedName>
    <definedName name="住宅楼层">'比较法-住宅'!$B$86:$M$86</definedName>
    <definedName name="住宅内部装修" localSheetId="22">'[1]不动产比较法-住宅'!$B$122:$M$122</definedName>
    <definedName name="住宅内部装修" localSheetId="13">'[1]不动产比较法-住宅'!$B$122:$M$122</definedName>
    <definedName name="住宅内部装修" localSheetId="26">'[1]不动产比较法-住宅'!$B$122:$M$122</definedName>
    <definedName name="住宅内部装修">'比较法-住宅'!$B$122:$M$122</definedName>
    <definedName name="住宅物业管理" localSheetId="22">'[1]不动产比较法-住宅'!$B$114:$M$114</definedName>
    <definedName name="住宅物业管理" localSheetId="13">'[1]不动产比较法-住宅'!$B$114:$M$114</definedName>
    <definedName name="住宅物业管理" localSheetId="26">'[1]不动产比较法-住宅'!$B$114:$M$114</definedName>
    <definedName name="住宅物业管理">'比较法-住宅'!$B$114:$M$114</definedName>
    <definedName name="住宅用途" localSheetId="22">'[1]不动产比较法-住宅'!$B$63:$M$63</definedName>
    <definedName name="住宅用途" localSheetId="13">'[1]不动产比较法-住宅'!$B$63:$M$63</definedName>
    <definedName name="住宅用途" localSheetId="26">'[1]不动产比较法-住宅'!$B$63:$M$63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5" i="74" l="1"/>
  <c r="H15" i="74"/>
  <c r="C15" i="74"/>
  <c r="B15" i="74"/>
  <c r="I41" i="40" l="1"/>
  <c r="G41" i="40"/>
  <c r="E41" i="40"/>
  <c r="I34" i="40"/>
  <c r="G34" i="40"/>
  <c r="E34" i="40"/>
  <c r="C34" i="40"/>
  <c r="I11" i="40"/>
  <c r="G11" i="40"/>
  <c r="E11" i="40"/>
  <c r="C11" i="40"/>
  <c r="G114" i="40"/>
  <c r="F114" i="40"/>
  <c r="E114" i="40"/>
  <c r="D114" i="40"/>
  <c r="C114" i="40"/>
  <c r="G112" i="40"/>
  <c r="F112" i="40"/>
  <c r="E112" i="40"/>
  <c r="D112" i="40"/>
  <c r="C112" i="40"/>
  <c r="E109" i="40"/>
  <c r="F109" i="40" s="1"/>
  <c r="G109" i="40" s="1"/>
  <c r="H109" i="40" s="1"/>
  <c r="D109" i="40"/>
  <c r="D66" i="40"/>
  <c r="E66" i="40" s="1"/>
  <c r="F66" i="40" s="1"/>
  <c r="G66" i="40" s="1"/>
  <c r="H66" i="40" s="1"/>
  <c r="I66" i="40" s="1"/>
  <c r="J66" i="40" s="1"/>
  <c r="K66" i="40" s="1"/>
  <c r="L66" i="40" s="1"/>
  <c r="M66" i="40" s="1"/>
  <c r="N66" i="40" s="1"/>
  <c r="I7" i="40"/>
  <c r="G7" i="40"/>
  <c r="E7" i="40"/>
  <c r="I5" i="40"/>
  <c r="G5" i="40"/>
  <c r="E5" i="40"/>
  <c r="N14" i="1"/>
  <c r="N7" i="1"/>
  <c r="L14" i="1"/>
  <c r="J7" i="1"/>
  <c r="I7" i="1"/>
  <c r="H7" i="1"/>
  <c r="G20" i="6"/>
  <c r="F19" i="6"/>
  <c r="AT13" i="3"/>
  <c r="AN13" i="3"/>
  <c r="AL13" i="3"/>
  <c r="K13" i="3"/>
  <c r="I13" i="3"/>
  <c r="F13" i="4"/>
  <c r="A3" i="3"/>
  <c r="S14" i="82"/>
  <c r="S13" i="82"/>
  <c r="S12" i="82"/>
  <c r="S11" i="82"/>
  <c r="S10" i="82"/>
  <c r="S9" i="82"/>
  <c r="S8" i="82"/>
  <c r="S4" i="82"/>
  <c r="S3" i="82"/>
  <c r="S2" i="82"/>
  <c r="D15" i="80"/>
  <c r="C15" i="80"/>
  <c r="D14" i="80"/>
  <c r="C14" i="80"/>
  <c r="D13" i="80"/>
  <c r="D16" i="80" s="1"/>
  <c r="C12" i="80"/>
  <c r="C16" i="80" s="1"/>
  <c r="C8" i="80"/>
  <c r="C7" i="80"/>
  <c r="C6" i="80"/>
  <c r="C5" i="80"/>
  <c r="C4" i="80"/>
  <c r="C17" i="80" l="1"/>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C66" i="9"/>
  <c r="D14" i="9"/>
  <c r="H14" i="74"/>
  <c r="B35"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B120" i="40"/>
  <c r="B118" i="40"/>
  <c r="B116" i="40"/>
  <c r="D115" i="40"/>
  <c r="E115" i="40" s="1"/>
  <c r="F115" i="40" s="1"/>
  <c r="G115" i="40" s="1"/>
  <c r="H115" i="40" s="1"/>
  <c r="I115" i="40" s="1"/>
  <c r="J115" i="40" s="1"/>
  <c r="K115" i="40" s="1"/>
  <c r="L115" i="40" s="1"/>
  <c r="M115" i="40" s="1"/>
  <c r="D113" i="40"/>
  <c r="E113" i="40" s="1"/>
  <c r="F113" i="40" s="1"/>
  <c r="G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W8" i="40"/>
  <c r="AC40" i="40"/>
  <c r="AC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F35" i="40"/>
  <c r="AA35" i="40" s="1"/>
  <c r="H23" i="40"/>
  <c r="AB23" i="40" s="1"/>
  <c r="H17" i="40"/>
  <c r="U17" i="40" s="1"/>
  <c r="J15" i="40"/>
  <c r="W15"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s="1"/>
  <c r="H28" i="40"/>
  <c r="U28" i="40"/>
  <c r="F23" i="40"/>
  <c r="AA23" i="40" s="1"/>
  <c r="F17" i="40"/>
  <c r="AA17" i="40" s="1"/>
  <c r="J17" i="40"/>
  <c r="W17" i="40" s="1"/>
  <c r="F15" i="40"/>
  <c r="S15" i="40" s="1"/>
  <c r="H15" i="40"/>
  <c r="AB15" i="40" s="1"/>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AA32" i="40"/>
  <c r="S17" i="40"/>
  <c r="S23"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69"/>
  <c r="W23" i="40"/>
  <c r="U32" i="40"/>
  <c r="AB31" i="40"/>
  <c r="AB28" i="40"/>
  <c r="W28" i="40"/>
  <c r="W34" i="40"/>
  <c r="W19" i="40"/>
  <c r="W27" i="40"/>
  <c r="AC14" i="40"/>
  <c r="S13" i="40"/>
  <c r="S33" i="40"/>
  <c r="AA15"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73"/>
  <c r="F7" i="73"/>
  <c r="B12" i="76"/>
  <c r="D3" i="73"/>
  <c r="E12" i="76"/>
  <c r="E9" i="76"/>
  <c r="D5" i="73"/>
  <c r="B13" i="76"/>
  <c r="D7" i="73"/>
  <c r="B7" i="76"/>
  <c r="F3" i="73"/>
  <c r="F4" i="73"/>
  <c r="E11" i="76"/>
  <c r="E10" i="76"/>
  <c r="E2" i="69"/>
  <c r="B10" i="76"/>
  <c r="B9" i="76"/>
  <c r="D6" i="73"/>
  <c r="E8" i="76"/>
  <c r="D4" i="73"/>
  <c r="B8" i="76"/>
  <c r="AO13" i="1"/>
  <c r="B11" i="76"/>
  <c r="E7" i="76"/>
  <c r="F20" i="31"/>
  <c r="E2" i="68"/>
  <c r="F5" i="73"/>
  <c r="E13" i="76"/>
  <c r="F7" i="1" l="1"/>
  <c r="G7" i="1" s="1"/>
  <c r="G6" i="1"/>
  <c r="C10" i="40"/>
  <c r="H113" i="40"/>
  <c r="I113" i="40" s="1"/>
  <c r="J113" i="40" s="1"/>
  <c r="K113" i="40" s="1"/>
  <c r="L113" i="40" s="1"/>
  <c r="M113" i="40" s="1"/>
  <c r="H36" i="40"/>
  <c r="J36" i="40"/>
  <c r="W36" i="40" s="1"/>
  <c r="F36" i="40"/>
  <c r="W35" i="40"/>
  <c r="AB25" i="40"/>
  <c r="AB19" i="40"/>
  <c r="S25" i="40"/>
  <c r="AC21" i="40"/>
  <c r="S21" i="40"/>
  <c r="AC17" i="40"/>
  <c r="F76" i="40"/>
  <c r="J11" i="40"/>
  <c r="W11" i="40" s="1"/>
  <c r="F11" i="40"/>
  <c r="S37" i="40"/>
  <c r="W37" i="40"/>
  <c r="AC36" i="40"/>
  <c r="U35" i="40"/>
  <c r="AC11" i="40"/>
  <c r="U9" i="40"/>
  <c r="AA9" i="40"/>
  <c r="D126" i="9"/>
  <c r="I14" i="74"/>
  <c r="G1" i="67"/>
  <c r="G1" i="15"/>
  <c r="K1" i="12"/>
  <c r="F3" i="35"/>
  <c r="I7" i="21"/>
  <c r="E7" i="21"/>
  <c r="G7" i="21"/>
  <c r="C48" i="35"/>
  <c r="D48" i="35" s="1"/>
  <c r="I7" i="35"/>
  <c r="E7" i="35"/>
  <c r="G7" i="35" s="1"/>
  <c r="I7" i="34"/>
  <c r="E7" i="34"/>
  <c r="G7" i="34"/>
  <c r="G7" i="33"/>
  <c r="I7" i="33"/>
  <c r="E7" i="33"/>
  <c r="I7" i="36"/>
  <c r="E7" i="36"/>
  <c r="G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E77"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56" i="3"/>
  <c r="E238" i="3"/>
  <c r="E434" i="3"/>
  <c r="E128" i="3"/>
  <c r="E262" i="3"/>
  <c r="E120" i="3"/>
  <c r="E177" i="3"/>
  <c r="E330" i="3"/>
  <c r="Q6" i="3"/>
  <c r="E437" i="3"/>
  <c r="E481" i="3"/>
  <c r="E424" i="3"/>
  <c r="E344" i="3"/>
  <c r="AE6" i="3"/>
  <c r="E429" i="3"/>
  <c r="E496" i="3"/>
  <c r="E55" i="3"/>
  <c r="E73" i="3"/>
  <c r="E203" i="3"/>
  <c r="E256"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F27" i="69"/>
  <c r="C36" i="69"/>
  <c r="D9" i="68"/>
  <c r="F36" i="67"/>
  <c r="L47" i="67"/>
  <c r="M23" i="67"/>
  <c r="M6" i="67"/>
  <c r="F43" i="15"/>
  <c r="F37" i="15"/>
  <c r="L47" i="15"/>
  <c r="F42" i="15"/>
  <c r="F8" i="15"/>
  <c r="F40" i="15"/>
  <c r="F26" i="67"/>
  <c r="M9" i="67"/>
  <c r="F37" i="67"/>
  <c r="F6" i="67"/>
  <c r="F9" i="67"/>
  <c r="M28" i="67"/>
  <c r="M22" i="67"/>
  <c r="C76" i="67"/>
  <c r="F8" i="67"/>
  <c r="M24" i="67"/>
  <c r="M8" i="67"/>
  <c r="F7" i="67"/>
  <c r="F43" i="67"/>
  <c r="M22" i="15"/>
  <c r="F16" i="15"/>
  <c r="M23" i="15"/>
  <c r="M8" i="15"/>
  <c r="M9" i="15"/>
  <c r="F6" i="15"/>
  <c r="F9" i="15"/>
  <c r="F7" i="15"/>
  <c r="M29" i="15"/>
  <c r="F38" i="15"/>
  <c r="M26" i="15"/>
  <c r="M28" i="15"/>
  <c r="F13" i="15"/>
  <c r="G1" i="73"/>
  <c r="F13" i="67"/>
  <c r="F40" i="67"/>
  <c r="F38" i="67"/>
  <c r="M26" i="67"/>
  <c r="F42" i="67"/>
  <c r="M29" i="67"/>
  <c r="J15" i="67"/>
  <c r="L48" i="67"/>
  <c r="F16" i="67"/>
  <c r="C76" i="15"/>
  <c r="J15" i="15"/>
  <c r="F26" i="15"/>
  <c r="M24" i="15"/>
  <c r="L48" i="15"/>
  <c r="F36" i="15"/>
  <c r="M6" i="15"/>
  <c r="AA36" i="40" l="1"/>
  <c r="S36" i="40"/>
  <c r="AB36" i="40"/>
  <c r="U36" i="40"/>
  <c r="AA11" i="40"/>
  <c r="S11" i="40"/>
  <c r="G76" i="40"/>
  <c r="H76" i="40" s="1"/>
  <c r="I76" i="40" s="1"/>
  <c r="J76" i="40" s="1"/>
  <c r="K76" i="40" s="1"/>
  <c r="L76" i="40" s="1"/>
  <c r="M76" i="40" s="1"/>
  <c r="H11" i="40"/>
  <c r="F68" i="15"/>
  <c r="F64" i="15"/>
  <c r="F51" i="15"/>
  <c r="F66" i="15"/>
  <c r="J57" i="15"/>
  <c r="J55" i="15" s="1"/>
  <c r="J58" i="15" s="1"/>
  <c r="Q50" i="15" s="1"/>
  <c r="I54" i="15"/>
  <c r="F50" i="15"/>
  <c r="M7" i="15"/>
  <c r="J6" i="15" s="1"/>
  <c r="J18" i="15" s="1"/>
  <c r="N59" i="15"/>
  <c r="L58" i="15"/>
  <c r="Q73" i="15" s="1"/>
  <c r="C6" i="15"/>
  <c r="C32" i="15" s="1"/>
  <c r="C27" i="15"/>
  <c r="F65" i="15"/>
  <c r="F71" i="15"/>
  <c r="Q71" i="15"/>
  <c r="F71" i="67"/>
  <c r="M7" i="67"/>
  <c r="J6" i="67" s="1"/>
  <c r="J18" i="67" s="1"/>
  <c r="F50" i="67"/>
  <c r="J57" i="67"/>
  <c r="J55" i="67" s="1"/>
  <c r="J58" i="67" s="1"/>
  <c r="Q50" i="67" s="1"/>
  <c r="I54" i="67"/>
  <c r="J53" i="67"/>
  <c r="F1" i="67" s="1"/>
  <c r="L56" i="67"/>
  <c r="F51" i="67"/>
  <c r="L59" i="67"/>
  <c r="Q74" i="67" s="1"/>
  <c r="N59" i="67"/>
  <c r="L58" i="67"/>
  <c r="Q60" i="67" s="1"/>
  <c r="Q71" i="67"/>
  <c r="F66" i="67"/>
  <c r="C6" i="67"/>
  <c r="C32" i="67" s="1"/>
  <c r="F68" i="67"/>
  <c r="F65" i="67"/>
  <c r="F64" i="67"/>
  <c r="C27" i="67"/>
  <c r="K16" i="1"/>
  <c r="E214" i="3"/>
  <c r="E171" i="3"/>
  <c r="E146" i="3"/>
  <c r="E106" i="3"/>
  <c r="E454" i="3"/>
  <c r="E468" i="3"/>
  <c r="E577" i="3"/>
  <c r="E587" i="3"/>
  <c r="E465" i="3"/>
  <c r="E406" i="3"/>
  <c r="E472" i="3"/>
  <c r="E560" i="3"/>
  <c r="K6" i="3"/>
  <c r="E133" i="3"/>
  <c r="E277" i="3"/>
  <c r="E228" i="3"/>
  <c r="AK6" i="3"/>
  <c r="E545" i="3"/>
  <c r="E181" i="3"/>
  <c r="E568"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G26" i="4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Q73" i="67"/>
  <c r="M11" i="67"/>
  <c r="F11" i="15"/>
  <c r="M11" i="15"/>
  <c r="F11" i="67"/>
  <c r="AE11" i="1"/>
  <c r="AE9" i="1"/>
  <c r="F27" i="68"/>
  <c r="AE7" i="1"/>
  <c r="AE8" i="1"/>
  <c r="AE12" i="1"/>
  <c r="AE10" i="1"/>
  <c r="C16" i="15"/>
  <c r="C16" i="67"/>
  <c r="F41" i="67"/>
  <c r="AB11" i="40" l="1"/>
  <c r="U11" i="40"/>
  <c r="Q61" i="67"/>
  <c r="J10" i="15"/>
  <c r="J5" i="15" s="1"/>
  <c r="J24" i="15" s="1"/>
  <c r="Q60" i="15"/>
  <c r="C49" i="67"/>
  <c r="Q52" i="67"/>
  <c r="C49" i="15"/>
  <c r="J10" i="67"/>
  <c r="J5" i="67" s="1"/>
  <c r="J24" i="67" s="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67"/>
  <c r="M27" i="15"/>
  <c r="C48" i="67" l="1"/>
  <c r="C66" i="67" s="1"/>
  <c r="C48" i="15"/>
  <c r="C66" i="15" s="1"/>
  <c r="B14" i="74"/>
  <c r="B1" i="74" s="1"/>
  <c r="I46" i="37"/>
  <c r="J46" i="37" s="1"/>
  <c r="R50" i="34"/>
  <c r="C49" i="34" s="1"/>
  <c r="G54" i="34"/>
  <c r="H54" i="34" s="1"/>
  <c r="D116" i="43"/>
  <c r="D14" i="71"/>
  <c r="C13"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26" i="69"/>
  <c r="D22" i="69" s="1"/>
  <c r="C44" i="69"/>
  <c r="D41" i="69" s="1"/>
  <c r="C44" i="68"/>
  <c r="D41" i="68" s="1"/>
  <c r="C24" i="11"/>
  <c r="D10" i="69"/>
  <c r="C34" i="69"/>
  <c r="D10" i="68"/>
  <c r="C14" i="67"/>
  <c r="C17" i="15"/>
  <c r="C17" i="67"/>
  <c r="C60" i="15" l="1"/>
  <c r="C28" i="11"/>
  <c r="C27" i="11" s="1"/>
  <c r="C60" i="67"/>
  <c r="B24" i="1"/>
  <c r="J53" i="15" s="1"/>
  <c r="B23" i="1"/>
  <c r="C29" i="68"/>
  <c r="D27" i="68" s="1"/>
  <c r="C29" i="11"/>
  <c r="D27" i="11" s="1"/>
  <c r="H24" i="6"/>
  <c r="H22" i="6"/>
  <c r="R22" i="6" s="1"/>
  <c r="R9" i="1" s="1"/>
  <c r="H25" i="6"/>
  <c r="C8" i="74"/>
  <c r="C7" i="74"/>
  <c r="C14" i="74"/>
  <c r="B2" i="74" s="1"/>
  <c r="C50" i="34"/>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L56" i="15" l="1"/>
  <c r="Q52" i="15"/>
  <c r="F1" i="15"/>
  <c r="C26" i="11"/>
  <c r="D22" i="11" s="1"/>
  <c r="C23" i="11"/>
  <c r="C25" i="11"/>
  <c r="C26" i="68"/>
  <c r="D22" i="68" s="1"/>
  <c r="F34" i="68"/>
  <c r="M59" i="15"/>
  <c r="L59" i="15" s="1"/>
  <c r="M59" i="67"/>
  <c r="C29" i="12"/>
  <c r="D28" i="12" s="1"/>
  <c r="C26" i="12"/>
  <c r="D25" i="12" s="1"/>
  <c r="D7" i="74"/>
  <c r="D8" i="74"/>
  <c r="B29" i="1"/>
  <c r="C8" i="68" s="1"/>
  <c r="C11" i="71"/>
  <c r="T12" i="71"/>
  <c r="D12" i="71"/>
  <c r="U12" i="71" s="1"/>
  <c r="C19" i="67"/>
  <c r="C20" i="67" s="1"/>
  <c r="C26" i="67" s="1"/>
  <c r="T16" i="1"/>
  <c r="C18" i="15"/>
  <c r="C15" i="15"/>
  <c r="C36" i="11"/>
  <c r="C37" i="11"/>
  <c r="C34" i="11"/>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AE6" i="1"/>
  <c r="Q74" i="15" l="1"/>
  <c r="Q61" i="15"/>
  <c r="C22" i="11"/>
  <c r="C31" i="11" s="1"/>
  <c r="C36" i="68"/>
  <c r="C34" i="68"/>
  <c r="C18" i="12"/>
  <c r="C21" i="12"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F41" i="15"/>
  <c r="F69" i="15" l="1"/>
  <c r="C35" i="68"/>
  <c r="C38" i="68"/>
  <c r="C22" i="1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33" i="68" l="1"/>
  <c r="C42"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1" i="9" l="1"/>
  <c r="C39" i="68"/>
  <c r="C43" i="68" s="1"/>
  <c r="C41"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92" i="9"/>
  <c r="C94" i="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11" i="1"/>
  <c r="AO12" i="1"/>
  <c r="AO9" i="1"/>
  <c r="L46" i="15" l="1"/>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3" i="15"/>
  <c r="C6"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D19" i="9"/>
  <c r="D21" i="9" l="1"/>
  <c r="D102" i="9"/>
  <c r="B3" i="12"/>
  <c r="F61" i="40"/>
  <c r="B2" i="40" s="1"/>
  <c r="D20" i="9"/>
  <c r="B3" i="40" l="1"/>
  <c r="C6" i="68"/>
  <c r="D103" i="9"/>
  <c r="C7" i="68" l="1"/>
  <c r="C5" i="68" s="1"/>
  <c r="C23" i="68" l="1"/>
  <c r="C20" i="68"/>
  <c r="D59" i="9"/>
  <c r="M55" i="9" s="1"/>
  <c r="C28" i="68" l="1"/>
  <c r="C27" i="68" s="1"/>
  <c r="C25" i="68"/>
  <c r="C22" i="68" s="1"/>
  <c r="C31" i="68" l="1"/>
  <c r="C52" i="68" s="1"/>
  <c r="B2" i="68" l="1"/>
  <c r="C57" i="68"/>
  <c r="C56" i="68" s="1"/>
  <c r="C19" i="9"/>
  <c r="C21" i="9" l="1"/>
  <c r="C102" i="9"/>
  <c r="G19" i="9"/>
  <c r="D22" i="9"/>
  <c r="B3" i="68"/>
  <c r="D34" i="9"/>
  <c r="D35" i="9"/>
  <c r="C20" i="9"/>
  <c r="C103" i="9" l="1"/>
  <c r="G20" i="9"/>
  <c r="C32" i="9"/>
  <c r="G21" i="9"/>
  <c r="H118" i="9" l="1"/>
  <c r="C35" i="9"/>
  <c r="F118" i="9" s="1"/>
  <c r="C34" i="9" l="1"/>
  <c r="D118" i="9" s="1"/>
  <c r="D4" i="52" s="1"/>
  <c r="B47" i="72" s="1"/>
  <c r="C104" i="9"/>
  <c r="H119" i="9"/>
  <c r="H5" i="52" s="1"/>
  <c r="H4" i="52"/>
  <c r="I118" i="9"/>
  <c r="H101" i="9"/>
  <c r="F4" i="52"/>
  <c r="B51" i="72" s="1"/>
  <c r="F119" i="9"/>
  <c r="F5" i="52" s="1"/>
  <c r="B53" i="72" s="1"/>
  <c r="G118" i="9"/>
  <c r="G4" i="52" s="1"/>
  <c r="B52" i="72" s="1"/>
  <c r="D119" i="9" l="1"/>
  <c r="D5" i="52" s="1"/>
  <c r="B49" i="72" s="1"/>
  <c r="C105" i="9"/>
  <c r="I4" i="52"/>
  <c r="H102" i="9"/>
  <c r="D7" i="53" s="1"/>
  <c r="B21" i="72" s="1"/>
  <c r="E118" i="9"/>
  <c r="E4" i="52" s="1"/>
  <c r="B48" i="72" s="1"/>
  <c r="M48" i="9"/>
  <c r="H107" i="9"/>
  <c r="D14" i="74"/>
  <c r="D5" i="53"/>
  <c r="D45" i="9"/>
  <c r="B20" i="72" l="1"/>
  <c r="D6" i="53"/>
  <c r="B22" i="72" s="1"/>
  <c r="D122" i="9"/>
  <c r="H108" i="9"/>
  <c r="D15" i="53" s="1"/>
  <c r="B31" i="72" s="1"/>
  <c r="G14" i="74"/>
  <c r="M49" i="9"/>
  <c r="D13" i="53"/>
  <c r="C78" i="9"/>
  <c r="C73" i="9" s="1"/>
  <c r="C64" i="9"/>
  <c r="C63" i="9" s="1"/>
  <c r="C67" i="9" s="1"/>
  <c r="C68" i="9" s="1"/>
  <c r="D54" i="9" s="1"/>
  <c r="D48" i="9" s="1"/>
  <c r="M52" i="9" s="1"/>
  <c r="D53" i="9"/>
  <c r="C72" i="9"/>
  <c r="D55" i="9"/>
  <c r="M53" i="9" s="1"/>
  <c r="C93" i="9"/>
  <c r="C86" i="9" s="1"/>
  <c r="D52" i="9"/>
  <c r="C85" i="9"/>
  <c r="E14" i="74"/>
  <c r="F14" i="74"/>
  <c r="C95" i="9" l="1"/>
  <c r="C96" i="9" s="1"/>
  <c r="E96" i="9" s="1"/>
  <c r="E97" i="9" s="1"/>
  <c r="L67" i="9"/>
  <c r="M67" i="9" s="1"/>
  <c r="L64" i="9"/>
  <c r="M64" i="9" s="1"/>
  <c r="L63" i="9"/>
  <c r="M63" i="9" s="1"/>
  <c r="L65" i="9"/>
  <c r="M65" i="9" s="1"/>
  <c r="L66" i="9"/>
  <c r="M66" i="9" s="1"/>
  <c r="L68" i="9"/>
  <c r="M68" i="9" s="1"/>
  <c r="C79" i="9"/>
  <c r="B30" i="72"/>
  <c r="D14" i="53"/>
  <c r="B32" i="72" s="1"/>
  <c r="D123" i="9"/>
  <c r="D9" i="52" s="1"/>
  <c r="D8" i="52"/>
  <c r="C97" i="9" l="1"/>
  <c r="C80" i="9"/>
  <c r="E80" i="9" s="1"/>
  <c r="E81" i="9" s="1"/>
  <c r="M69" i="9"/>
  <c r="N69" i="9" s="1"/>
  <c r="C81" i="9" l="1"/>
  <c r="D58" i="9" s="1"/>
  <c r="D56" i="9" s="1"/>
  <c r="M54" i="9" s="1"/>
  <c r="N57" i="9" s="1"/>
  <c r="N58" i="9" s="1"/>
  <c r="P57" i="9" l="1"/>
  <c r="N59" i="9"/>
  <c r="N60" i="9" s="1"/>
  <c r="N61" i="9"/>
  <c r="D15" i="74" l="1"/>
  <c r="E15" i="74" l="1"/>
  <c r="F15" i="74"/>
  <c r="B5" i="74"/>
  <c r="G15" i="74" l="1"/>
  <c r="B6" i="74" s="1"/>
  <c r="D5" i="74"/>
  <c r="C5"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<sst xmlns="http://schemas.openxmlformats.org/spreadsheetml/2006/main" count="8558" uniqueCount="3687">
  <si>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</si>
  <si>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</si>
  <si>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</si>
  <si>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</si>
  <si>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</si>
  <si>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</si>
  <si>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</si>
  <si>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</si>
  <si>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</si>
  <si>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</si>
  <si>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</si>
  <si>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</si>
  <si>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</si>
  <si>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</si>
  <si>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</si>
  <si>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</si>
  <si>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</si>
  <si>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</si>
  <si>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</si>
  <si>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</si>
  <si>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</si>
  <si>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</si>
  <si>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</si>
  <si>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</si>
  <si>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</si>
  <si>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</si>
  <si>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</si>
  <si>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</si>
  <si>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</si>
  <si>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</si>
  <si>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</si>
  <si>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</si>
  <si>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</si>
  <si>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</si>
  <si>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</si>
  <si>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</si>
  <si>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</si>
  <si>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</si>
  <si>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</si>
  <si>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</si>
  <si>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</si>
  <si>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</si>
  <si>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</si>
  <si>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</si>
  <si>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</si>
  <si>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</si>
  <si>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</si>
  <si>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</si>
  <si>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</si>
  <si>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</si>
  <si>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</si>
  <si>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</si>
  <si>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</si>
  <si>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</si>
  <si>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</si>
  <si>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</si>
  <si>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</si>
  <si>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</si>
  <si>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</si>
  <si>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</si>
  <si>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</si>
  <si>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</si>
  <si>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</si>
  <si>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</si>
  <si>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</si>
  <si>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</si>
  <si>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</si>
  <si>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</si>
  <si>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</si>
  <si>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</si>
  <si>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</si>
  <si>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</si>
  <si>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</si>
  <si>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</si>
  <si>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</si>
  <si>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</si>
  <si>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</si>
  <si>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</si>
  <si>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</si>
  <si>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</si>
  <si>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</si>
  <si>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</si>
  <si>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</si>
  <si>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</si>
  <si>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</si>
  <si>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</si>
  <si>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</si>
  <si>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</si>
  <si>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</si>
  <si>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</si>
  <si>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</si>
  <si>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</si>
  <si>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</si>
  <si>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</si>
  <si>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</si>
  <si>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</si>
  <si>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</si>
  <si>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</si>
  <si>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</si>
  <si>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</si>
  <si>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</si>
  <si>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</si>
  <si>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</si>
  <si>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</si>
  <si>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</si>
  <si>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</si>
  <si>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</si>
  <si>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</si>
  <si>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</si>
  <si>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</si>
  <si>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</si>
  <si>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</si>
  <si>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</si>
  <si>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</si>
  <si>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</si>
  <si>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</si>
  <si>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</si>
  <si>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</si>
  <si>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</si>
  <si>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</si>
  <si>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</si>
  <si>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</si>
  <si>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</si>
  <si>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</si>
  <si>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</si>
  <si>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</si>
  <si>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</si>
  <si>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</si>
  <si>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</si>
  <si>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</si>
  <si>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</si>
  <si>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</si>
  <si>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</si>
  <si>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</si>
  <si>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</si>
  <si>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</si>
  <si>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</si>
  <si>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</si>
  <si>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</si>
  <si>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</si>
  <si>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</si>
  <si>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</si>
  <si>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</si>
  <si>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</si>
  <si>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</si>
  <si>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</si>
  <si>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</si>
  <si>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</si>
  <si>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</si>
  <si>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</si>
  <si>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</si>
  <si>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</si>
  <si>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</si>
  <si>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</si>
  <si>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</si>
  <si>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</si>
  <si>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</si>
  <si>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</si>
  <si>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</si>
  <si>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</si>
  <si>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</si>
  <si>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</si>
  <si>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</si>
  <si>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</si>
  <si>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</si>
  <si>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</si>
  <si>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</si>
  <si>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</si>
  <si>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</si>
  <si>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</si>
  <si>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</si>
  <si>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</si>
  <si>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</si>
  <si>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</si>
  <si>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</si>
  <si>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</si>
  <si>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</si>
  <si>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</si>
  <si>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</si>
  <si>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</si>
  <si>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</si>
  <si>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</si>
  <si>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</si>
  <si>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</si>
  <si>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</si>
  <si>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</si>
  <si>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</si>
  <si>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</si>
  <si>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</si>
  <si>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</si>
  <si>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</si>
  <si>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</si>
  <si>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</si>
  <si>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</si>
  <si>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</si>
  <si>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</si>
  <si>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</si>
  <si>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</si>
  <si>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</si>
  <si>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</si>
  <si>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</si>
  <si>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</si>
  <si>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</si>
  <si>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</si>
  <si>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</si>
  <si>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</si>
  <si>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</si>
  <si>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</si>
  <si>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</si>
  <si>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</si>
  <si>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</si>
  <si>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</si>
  <si>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</si>
  <si>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</si>
  <si>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</si>
  <si>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</si>
  <si>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</si>
  <si>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</si>
  <si>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</si>
  <si>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</si>
  <si>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</si>
  <si>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</si>
  <si>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</si>
  <si>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</si>
  <si>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</si>
  <si>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</si>
  <si>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</si>
  <si>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</si>
  <si>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</si>
  <si>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</si>
  <si>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</si>
  <si>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</si>
  <si>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</si>
  <si>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</si>
  <si>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</si>
  <si>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</si>
  <si>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</si>
  <si>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</si>
  <si>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</si>
  <si>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</si>
  <si>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</si>
  <si>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</si>
  <si>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</si>
  <si>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</si>
  <si>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</si>
  <si>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</si>
  <si>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</si>
  <si>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</si>
  <si>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</si>
  <si>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</si>
  <si>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</si>
  <si>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</si>
  <si>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</si>
  <si>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</si>
  <si>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</si>
  <si>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</si>
  <si>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</si>
  <si>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</si>
  <si>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</si>
  <si>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</si>
  <si>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</si>
  <si>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</si>
  <si>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</si>
  <si>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</si>
  <si>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</si>
  <si>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</si>
  <si>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</si>
  <si>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</si>
  <si>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</si>
  <si>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</si>
  <si>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</si>
  <si>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</si>
  <si>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</si>
  <si>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</si>
  <si>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</si>
  <si>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</si>
  <si>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</si>
  <si>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</si>
  <si>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</si>
  <si>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</si>
  <si>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</si>
  <si>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</si>
  <si>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</si>
  <si>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</si>
  <si>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</si>
  <si>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</si>
  <si>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</si>
  <si>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</si>
  <si>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</si>
  <si>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</si>
  <si>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</si>
  <si>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</si>
  <si>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</si>
  <si>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</si>
  <si>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</si>
  <si>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</si>
  <si>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</si>
  <si>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</si>
  <si>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</si>
  <si>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</si>
  <si>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</si>
  <si>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</si>
  <si>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</si>
  <si>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</si>
  <si>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</si>
  <si>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</si>
  <si>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</si>
  <si>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</si>
  <si>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</si>
  <si>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</si>
  <si>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</si>
  <si>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</si>
  <si>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</si>
  <si>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</si>
  <si>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</si>
  <si>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</si>
  <si>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</si>
  <si>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</si>
  <si>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</si>
  <si>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</si>
  <si>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</si>
  <si>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</si>
  <si>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</si>
  <si>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</si>
  <si>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</si>
  <si>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</si>
  <si>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</si>
  <si>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</si>
  <si>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</si>
  <si>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</si>
  <si>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</si>
  <si>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</si>
  <si>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</si>
  <si>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</si>
  <si>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</si>
  <si>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</si>
  <si>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</si>
  <si>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</si>
  <si>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</si>
  <si>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</si>
  <si>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</si>
  <si>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</si>
  <si>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</si>
  <si>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</si>
  <si>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</si>
  <si>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</si>
  <si>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</si>
  <si>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</si>
  <si>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</si>
  <si>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</si>
  <si>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</si>
  <si>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</si>
  <si>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</si>
  <si>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</si>
  <si>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</si>
  <si>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</si>
  <si>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</si>
  <si>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</si>
  <si>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</si>
  <si>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</si>
  <si>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</si>
  <si>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</si>
  <si>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</si>
  <si>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</si>
  <si>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</si>
  <si>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</si>
  <si>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</si>
  <si>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</si>
  <si>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</si>
  <si>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</si>
  <si>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</si>
  <si>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</si>
  <si>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</si>
  <si>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</si>
  <si>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</si>
  <si>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</si>
  <si>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</si>
  <si>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</si>
  <si>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</si>
  <si>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</si>
  <si>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</si>
  <si>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</si>
  <si>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</si>
  <si>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</si>
  <si>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</si>
  <si>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</si>
  <si>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</si>
  <si>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</si>
  <si>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</si>
  <si>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</si>
  <si>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</si>
  <si>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</si>
  <si>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</si>
  <si>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</si>
  <si>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</si>
  <si>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</si>
  <si>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</si>
  <si>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</si>
  <si>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</si>
  <si>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</si>
  <si>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</si>
  <si>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</si>
  <si>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</si>
  <si>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</si>
  <si>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</si>
  <si>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</si>
  <si>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</si>
  <si>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</si>
  <si>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</si>
  <si>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</si>
  <si>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</si>
  <si>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</si>
  <si>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</si>
  <si>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</si>
  <si>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</si>
  <si>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</si>
  <si>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</si>
  <si>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</si>
  <si>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</si>
  <si>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</si>
  <si>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</si>
  <si>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</si>
  <si>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</si>
  <si>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</si>
  <si>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</si>
  <si>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</si>
  <si>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</si>
  <si>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</si>
  <si>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</si>
  <si>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</si>
  <si>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</si>
  <si>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</si>
  <si>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</si>
  <si>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</si>
  <si>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</si>
  <si>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</si>
  <si>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</si>
  <si>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</si>
  <si>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</si>
  <si>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</si>
  <si>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</si>
  <si>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</si>
  <si>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</si>
  <si>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</si>
  <si>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</si>
  <si>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</si>
  <si>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</si>
  <si>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</si>
  <si>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</si>
  <si>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</si>
  <si>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</si>
  <si>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</si>
  <si>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</si>
  <si>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</si>
  <si>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</si>
  <si>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</si>
  <si>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</si>
  <si>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</si>
  <si>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</si>
  <si>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</si>
  <si>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</si>
  <si>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</si>
  <si>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</si>
  <si>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</si>
  <si>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</si>
  <si>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</si>
  <si>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</si>
  <si>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</si>
  <si>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</si>
  <si>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</si>
  <si>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</si>
  <si>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</si>
  <si>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</si>
  <si>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</si>
  <si>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</si>
  <si>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</si>
  <si>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</si>
  <si>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</si>
  <si>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</si>
  <si>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</si>
  <si>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</si>
  <si>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</si>
  <si>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</si>
  <si>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</si>
  <si>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</si>
  <si>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</si>
  <si>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</si>
  <si>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</si>
  <si>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</si>
  <si>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</si>
  <si>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</si>
  <si>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</si>
  <si>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</si>
  <si>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</si>
  <si>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</si>
  <si>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</si>
  <si>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</si>
  <si>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</si>
  <si>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</si>
  <si>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</si>
  <si>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</si>
  <si>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</si>
  <si>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</si>
  <si>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</si>
  <si>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</si>
  <si>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</si>
  <si>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</si>
  <si>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</si>
  <si>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</si>
  <si>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</si>
  <si>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</si>
  <si>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</si>
  <si>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</si>
  <si>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</si>
  <si>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</si>
  <si>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</si>
  <si>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</si>
  <si>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</si>
  <si>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</si>
  <si>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</si>
  <si>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</si>
  <si>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</si>
  <si>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</si>
  <si>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</si>
  <si>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</si>
  <si>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</si>
  <si>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</si>
  <si>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</si>
  <si>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</si>
  <si>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</si>
  <si>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</si>
  <si>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</si>
  <si>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</si>
  <si>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</si>
  <si>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</si>
  <si>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</si>
  <si>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</si>
  <si>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</si>
  <si>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</si>
  <si>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</si>
  <si>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</si>
  <si>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</si>
  <si>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</si>
  <si>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</si>
  <si>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</si>
  <si>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</si>
  <si>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</si>
  <si>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</si>
  <si>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</si>
  <si>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</si>
  <si>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</si>
  <si>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</si>
  <si>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</si>
  <si>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</si>
  <si>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</si>
  <si>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</si>
  <si>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</si>
  <si>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</si>
  <si>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</si>
  <si>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</si>
  <si>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</si>
  <si>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</si>
  <si>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</si>
  <si>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</si>
  <si>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</si>
  <si>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</si>
  <si>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</si>
  <si>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</si>
  <si>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</si>
  <si>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</si>
  <si>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</si>
  <si>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</si>
  <si>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</si>
  <si>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</si>
  <si>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</si>
  <si>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</si>
  <si>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</si>
  <si>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</si>
  <si>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</si>
  <si>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</si>
  <si>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</si>
  <si>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</si>
  <si>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</si>
  <si>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</si>
  <si>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</si>
  <si>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</si>
  <si>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</si>
  <si>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</si>
  <si>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</si>
  <si>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</si>
  <si>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</si>
  <si>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</si>
  <si>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</si>
  <si>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</si>
  <si>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</si>
  <si>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</si>
  <si>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</si>
  <si>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</si>
  <si>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</si>
  <si>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</si>
  <si>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</si>
  <si>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</si>
  <si>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</si>
  <si>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</si>
  <si>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</si>
  <si>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</si>
  <si>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</si>
  <si>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</si>
  <si>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</si>
  <si>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</si>
  <si>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</si>
  <si>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</si>
  <si>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</si>
  <si>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</si>
  <si>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</si>
  <si>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</si>
  <si>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</si>
  <si>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</si>
  <si>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</si>
  <si>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</si>
  <si>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</si>
  <si>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</si>
  <si>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</si>
  <si>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</si>
  <si>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</si>
  <si>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</si>
  <si>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</si>
  <si>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</si>
  <si>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</si>
  <si>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</si>
  <si>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</si>
  <si>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</si>
  <si>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</si>
  <si>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</si>
  <si>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</si>
  <si>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</si>
  <si>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</si>
  <si>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</si>
  <si>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</si>
  <si>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</si>
  <si>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</si>
  <si>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</si>
  <si>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</si>
  <si>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</si>
  <si>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</si>
  <si>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</si>
  <si>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</si>
  <si>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</si>
  <si>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</si>
  <si>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</si>
  <si>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</si>
  <si>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</si>
  <si>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</si>
  <si>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</si>
  <si>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</si>
  <si>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</si>
  <si>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</si>
  <si>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</si>
  <si>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</si>
  <si>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</si>
  <si>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</si>
  <si>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</si>
  <si>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</si>
  <si>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</si>
  <si>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</si>
  <si>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</si>
  <si>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</si>
  <si>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</si>
  <si>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</si>
  <si>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</si>
  <si>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</si>
  <si>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</si>
  <si>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</si>
  <si>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</si>
  <si>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</si>
  <si>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</si>
  <si>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</si>
  <si>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</si>
  <si>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</si>
  <si>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</si>
  <si>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</si>
  <si>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</si>
  <si>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</si>
  <si>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</si>
  <si>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</si>
  <si>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</si>
  <si>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</si>
  <si>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</si>
  <si>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</si>
  <si>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</si>
  <si>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</si>
  <si>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</si>
  <si>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</si>
  <si>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</si>
  <si>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</si>
  <si>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</si>
  <si>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</si>
  <si>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</si>
  <si>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</si>
  <si>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</si>
  <si>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</si>
  <si>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</si>
  <si>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</si>
  <si>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</si>
  <si>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</si>
  <si>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</si>
  <si>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</si>
  <si>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</si>
  <si>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</si>
  <si>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</si>
  <si>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</si>
  <si>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</si>
  <si>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</si>
  <si>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</si>
  <si>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</si>
  <si>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</si>
  <si>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</si>
  <si>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</si>
  <si>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</si>
  <si>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</si>
  <si>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</si>
  <si>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</si>
  <si>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</si>
  <si>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</si>
  <si>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</si>
  <si>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</si>
  <si>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</si>
  <si>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</si>
  <si>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</si>
  <si>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</si>
  <si>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</si>
  <si>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</si>
  <si>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</si>
  <si>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</si>
  <si>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</si>
  <si>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</si>
  <si>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</si>
  <si>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</si>
  <si>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</si>
  <si>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</si>
  <si>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</si>
  <si>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</si>
  <si>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</si>
  <si>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</si>
  <si>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</si>
  <si>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</si>
  <si>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</si>
  <si>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</si>
  <si>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</si>
  <si>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</si>
  <si>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</si>
  <si>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</si>
  <si>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</si>
  <si>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</si>
  <si>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</si>
  <si>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</si>
  <si>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</si>
  <si>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</si>
  <si>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</si>
  <si>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</si>
  <si>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</si>
  <si>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</si>
  <si>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</si>
  <si>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</si>
  <si>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</si>
  <si>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</si>
  <si>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</si>
  <si>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</si>
  <si>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</si>
  <si>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</si>
  <si>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</si>
  <si>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</si>
  <si>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</si>
  <si>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</si>
  <si>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</si>
  <si>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</si>
  <si>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</si>
  <si>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</si>
  <si>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</si>
  <si>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</si>
  <si>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</si>
  <si>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</si>
  <si>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</si>
  <si>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</si>
  <si>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</si>
  <si>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</si>
  <si>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</si>
  <si>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</si>
  <si>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</si>
  <si>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</si>
  <si>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</si>
  <si>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</si>
  <si>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</si>
  <si>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</si>
  <si>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</si>
  <si>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</si>
  <si>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</si>
  <si>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</si>
  <si>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</si>
  <si>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</si>
  <si>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</si>
  <si>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</si>
  <si>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</si>
  <si>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</si>
  <si>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</si>
  <si>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</si>
  <si>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</si>
  <si>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</si>
  <si>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</si>
  <si>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</si>
  <si>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</si>
  <si>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</si>
  <si>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</si>
  <si>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</si>
  <si>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</si>
  <si>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</si>
  <si>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</si>
  <si>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</si>
  <si>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</si>
  <si>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</si>
  <si>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</si>
  <si>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</si>
  <si>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</si>
  <si>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</si>
  <si>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</si>
  <si>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</si>
  <si>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</si>
  <si>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</si>
  <si>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</si>
  <si>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</si>
  <si>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</si>
  <si>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</si>
  <si>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</si>
  <si>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</si>
  <si>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</si>
  <si>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</si>
  <si>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</si>
  <si>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</si>
  <si>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</si>
  <si>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</si>
  <si>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</si>
  <si>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</si>
  <si>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</si>
  <si>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</si>
  <si>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</si>
  <si>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</si>
  <si>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</si>
  <si>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</si>
  <si>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</si>
  <si>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</si>
  <si>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</si>
  <si>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</si>
  <si>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</si>
  <si>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</si>
  <si>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</si>
  <si>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</si>
  <si>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</si>
  <si>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</si>
  <si>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</si>
  <si>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</si>
  <si>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</si>
  <si>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</si>
  <si>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</si>
  <si>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</si>
  <si>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</si>
  <si>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</si>
  <si>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</si>
  <si>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</si>
  <si>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</si>
  <si>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</si>
  <si>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</si>
  <si>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</si>
  <si>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</si>
  <si>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</si>
  <si>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</si>
  <si>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</si>
  <si>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</si>
  <si>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</si>
  <si>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</si>
  <si>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</si>
  <si>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</si>
  <si>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</si>
  <si>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</si>
  <si>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</si>
  <si>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</si>
  <si>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</si>
  <si>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</si>
  <si>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</si>
  <si>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</si>
  <si>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</si>
  <si>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</si>
  <si>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</si>
  <si>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</si>
  <si>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</si>
  <si>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</si>
  <si>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</si>
  <si>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</si>
  <si>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</si>
  <si>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</si>
  <si>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</si>
  <si>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</si>
  <si>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</si>
  <si>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</si>
  <si>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</si>
  <si>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</si>
  <si>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</si>
  <si>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</si>
  <si>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</si>
  <si>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</si>
  <si>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</si>
  <si>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</si>
  <si>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</si>
  <si>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</si>
  <si>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</si>
  <si>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</si>
  <si>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</si>
  <si>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</si>
  <si>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</si>
  <si>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</si>
  <si>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</si>
  <si>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</si>
  <si>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</si>
  <si>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</si>
  <si>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</si>
  <si>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</si>
  <si>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</si>
  <si>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</si>
  <si>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</si>
  <si>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</si>
  <si>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</si>
  <si>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</si>
  <si>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</si>
  <si>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</si>
  <si>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</si>
  <si>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</si>
  <si>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</si>
  <si>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</si>
  <si>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</si>
  <si>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</si>
  <si>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</si>
  <si>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</si>
  <si>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</si>
  <si>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</si>
  <si>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</si>
  <si>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</si>
  <si>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</si>
  <si>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</si>
  <si>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</si>
  <si>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</si>
  <si>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</si>
  <si>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</si>
  <si>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</si>
  <si>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</si>
  <si>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</si>
  <si>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</si>
  <si>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</si>
  <si>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</si>
  <si>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</si>
  <si>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</si>
  <si>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</si>
  <si>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</si>
  <si>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</si>
  <si>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</si>
  <si>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</si>
  <si>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</si>
  <si>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</si>
  <si>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</si>
  <si>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</si>
  <si>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</si>
  <si>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</si>
  <si>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</si>
  <si>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</si>
  <si>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</si>
  <si>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</si>
  <si>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</si>
  <si>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</si>
  <si>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</si>
  <si>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</si>
  <si>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</si>
  <si>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</si>
  <si>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</si>
  <si>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</si>
  <si>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</si>
  <si>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</si>
  <si>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</si>
  <si>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</si>
  <si>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</si>
  <si>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</si>
  <si>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</si>
  <si>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</si>
  <si>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</si>
  <si>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</si>
  <si>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</si>
  <si>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</si>
  <si>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</si>
  <si>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</si>
  <si>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</si>
  <si>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</si>
  <si>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</si>
  <si>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</si>
  <si>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</si>
  <si>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</si>
  <si>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</si>
  <si>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</si>
  <si>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</si>
  <si>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</si>
  <si>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</si>
  <si>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</si>
  <si>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</si>
  <si>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</si>
  <si>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</si>
  <si>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</si>
  <si>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</si>
  <si>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</si>
  <si>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</si>
  <si>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</si>
  <si>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</si>
  <si>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</si>
  <si>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</si>
  <si>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</si>
  <si>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</si>
  <si>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</si>
  <si>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</si>
  <si>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</si>
  <si>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</si>
  <si>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</si>
  <si>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</si>
  <si>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</si>
  <si>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</si>
  <si>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</si>
  <si>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</si>
  <si>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</si>
  <si>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</si>
  <si>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</si>
  <si>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</si>
  <si>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</si>
  <si>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</si>
  <si>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</si>
  <si>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</si>
  <si>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</si>
  <si>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</si>
  <si>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</si>
  <si>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</si>
  <si>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</si>
  <si>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</si>
  <si>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</si>
  <si>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</si>
  <si>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</si>
  <si>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</si>
  <si>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</si>
  <si>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</si>
  <si>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</si>
  <si>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</si>
  <si>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</si>
  <si>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</si>
  <si>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</si>
  <si>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</si>
  <si>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</si>
  <si>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</si>
  <si>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</si>
  <si>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</si>
  <si>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</si>
  <si>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</si>
  <si>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</si>
  <si>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</si>
  <si>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</si>
  <si>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</si>
  <si>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</si>
  <si>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</si>
  <si>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</si>
  <si>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</si>
  <si>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</si>
  <si>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</si>
  <si>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</si>
  <si>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</si>
  <si>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</si>
  <si>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</si>
  <si>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</si>
  <si>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</si>
  <si>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</si>
  <si>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</si>
  <si>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</si>
  <si>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</si>
  <si>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</si>
  <si>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</si>
  <si>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</si>
  <si>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</si>
  <si>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</si>
  <si>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</si>
  <si>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</si>
  <si>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</si>
  <si>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</si>
  <si>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</si>
  <si>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</si>
  <si>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</si>
  <si>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</si>
  <si>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</si>
  <si>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</si>
  <si>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</si>
  <si>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</si>
  <si>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</si>
  <si>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</si>
  <si>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</si>
  <si>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</si>
  <si>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</si>
  <si>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</si>
  <si>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</si>
  <si>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</si>
  <si>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</si>
  <si>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</si>
  <si>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</si>
  <si>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</si>
  <si>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</si>
  <si>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</si>
  <si>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</si>
  <si>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</si>
  <si>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</si>
  <si>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</si>
  <si>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</si>
  <si>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</si>
  <si>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</si>
  <si>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</si>
  <si>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</si>
  <si>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</si>
  <si>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</si>
  <si>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</si>
  <si>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</si>
  <si>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</si>
  <si>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</si>
  <si>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</si>
  <si>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</si>
  <si>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</si>
  <si>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</si>
  <si>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</si>
  <si>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</si>
  <si>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</si>
  <si>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</si>
  <si>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</si>
  <si>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</si>
  <si>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</si>
  <si>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</si>
  <si>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</si>
  <si>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</si>
  <si>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</si>
  <si>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</si>
  <si>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</si>
  <si>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</si>
  <si>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</si>
  <si>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</si>
  <si>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</si>
  <si>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</si>
  <si>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</si>
  <si>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</si>
  <si>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</si>
  <si>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</si>
  <si>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</si>
  <si>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</si>
  <si>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</si>
  <si>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</si>
  <si>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</si>
  <si>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</si>
  <si>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</si>
  <si>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</si>
  <si>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</si>
  <si>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</si>
  <si>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</si>
  <si>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</si>
  <si>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</si>
  <si>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</si>
  <si>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</si>
  <si>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</si>
  <si>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</si>
  <si>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</si>
  <si>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</si>
  <si>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</si>
  <si>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</si>
  <si>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</si>
  <si>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</si>
  <si>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</si>
  <si>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</si>
  <si>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</si>
  <si>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</si>
  <si>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</si>
  <si>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</si>
  <si>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</si>
  <si>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</si>
  <si>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</si>
  <si>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</si>
  <si>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</si>
  <si>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</si>
  <si>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</si>
  <si>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</si>
  <si>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</si>
  <si>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</si>
  <si>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</si>
  <si>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</si>
  <si>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</si>
  <si>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</si>
  <si>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</si>
  <si>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</si>
  <si>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</si>
  <si>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</si>
  <si>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</si>
  <si>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</si>
  <si>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</si>
  <si>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</si>
  <si>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</si>
  <si>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</si>
  <si>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</si>
  <si>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</si>
  <si>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</si>
  <si>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</si>
  <si>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</si>
  <si>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</si>
  <si>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</si>
  <si>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</si>
  <si>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</si>
  <si>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</si>
  <si>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</si>
  <si>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</si>
  <si>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</si>
  <si>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</si>
  <si>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</si>
  <si>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</si>
  <si>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</si>
  <si>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</si>
  <si>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</si>
  <si>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</si>
  <si>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</si>
  <si>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</si>
  <si>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</si>
  <si>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</si>
  <si>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</si>
  <si>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</si>
  <si>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</si>
  <si>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</si>
  <si>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</si>
  <si>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</si>
  <si>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</si>
  <si>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</si>
  <si>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</si>
  <si>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</si>
  <si>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</si>
  <si>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</si>
  <si>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</si>
  <si>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</si>
  <si>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</si>
  <si>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</si>
  <si>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</si>
  <si>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</si>
  <si>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</si>
  <si>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</si>
  <si>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</si>
  <si>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</si>
  <si>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</si>
  <si>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</si>
  <si>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</si>
  <si>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</si>
  <si>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</si>
  <si>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</si>
  <si>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</si>
  <si>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</si>
  <si>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</si>
  <si>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</si>
  <si>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</si>
  <si>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</si>
  <si>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</si>
  <si>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</si>
  <si>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</si>
  <si>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</si>
  <si>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</si>
  <si>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</si>
  <si>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</si>
  <si>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</si>
  <si>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</si>
  <si>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</si>
  <si>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</si>
  <si>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</si>
  <si>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</si>
  <si>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</si>
  <si>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</si>
  <si>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</si>
  <si>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</si>
  <si>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</si>
  <si>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</si>
  <si>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</si>
  <si>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</si>
  <si>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</si>
  <si>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</si>
  <si>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</si>
  <si>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</si>
  <si>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</si>
  <si>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</si>
  <si>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</si>
  <si>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</si>
  <si>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</si>
  <si>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</si>
  <si>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</si>
  <si>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</si>
  <si>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</si>
  <si>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</si>
  <si>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</si>
  <si>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</si>
  <si>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</si>
  <si>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</si>
  <si>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</si>
  <si>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</si>
  <si>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</si>
  <si>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</si>
  <si>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</si>
  <si>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</si>
  <si>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</si>
  <si>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</si>
  <si>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</si>
  <si>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</si>
  <si>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</si>
  <si>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</si>
  <si>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</si>
  <si>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</si>
  <si>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</si>
  <si>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</si>
  <si>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</si>
  <si>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</si>
  <si>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</si>
  <si>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</si>
  <si>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</si>
  <si>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</si>
  <si>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</si>
  <si>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</si>
  <si>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</si>
  <si>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</si>
  <si>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</si>
  <si>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</si>
  <si>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</si>
  <si>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</si>
  <si>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</si>
  <si>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</si>
  <si>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</si>
  <si>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</si>
  <si>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</si>
  <si>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</si>
  <si>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</si>
  <si>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</si>
  <si>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</si>
  <si>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</si>
  <si>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</si>
  <si>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</si>
  <si>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</si>
  <si>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</si>
  <si>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</si>
  <si>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</si>
  <si>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</si>
  <si>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</si>
  <si>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</si>
  <si>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</si>
  <si>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</si>
  <si>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</si>
  <si>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</si>
  <si>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</si>
  <si>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</si>
  <si>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</si>
  <si>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</si>
  <si>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</si>
  <si>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</si>
  <si>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</si>
  <si>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</si>
  <si>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</si>
  <si>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</si>
  <si>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</si>
  <si>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</si>
  <si>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</si>
  <si>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</si>
  <si>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</si>
  <si>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</si>
  <si>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</si>
  <si>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</si>
  <si>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</si>
  <si>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</si>
  <si>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</si>
  <si>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</si>
  <si>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</si>
  <si>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</si>
  <si>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</si>
  <si>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</si>
  <si>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</si>
  <si>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</si>
  <si>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</si>
  <si>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</si>
  <si>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</si>
  <si>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</si>
  <si>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</si>
  <si>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</si>
  <si>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</si>
  <si>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</si>
  <si>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</si>
  <si>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</si>
  <si>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</si>
  <si>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</si>
  <si>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</si>
  <si>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</si>
  <si>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</si>
  <si>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</si>
  <si>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</si>
  <si>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</si>
  <si>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</si>
  <si>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</si>
  <si>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</si>
  <si>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</si>
  <si>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</si>
  <si>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</si>
  <si>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</si>
  <si>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</si>
  <si>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</si>
  <si>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</si>
  <si>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</si>
  <si>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</si>
  <si>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</si>
  <si>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</si>
  <si>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</si>
  <si>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</si>
  <si>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</si>
  <si>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</si>
  <si>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</si>
  <si>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</si>
  <si>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</si>
  <si>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</si>
  <si>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</si>
  <si>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</si>
  <si>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</si>
  <si>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</si>
  <si>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</si>
  <si>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</si>
  <si>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</si>
  <si>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</si>
  <si>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</si>
  <si>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</si>
  <si>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</si>
  <si>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</si>
  <si>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</si>
  <si>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</si>
  <si>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</si>
  <si>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</si>
  <si>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</si>
  <si>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</si>
  <si>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</si>
  <si>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</si>
  <si>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</si>
  <si>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</si>
  <si>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</si>
  <si>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</si>
  <si>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</si>
  <si>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</si>
  <si>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</si>
  <si>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</si>
  <si>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</si>
  <si>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</si>
  <si>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</si>
  <si>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</si>
  <si>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</si>
  <si>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</si>
  <si>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</si>
  <si>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</si>
  <si>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</si>
  <si>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</si>
  <si>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</si>
  <si>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</si>
  <si>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</si>
  <si>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</si>
  <si>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</si>
  <si>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</si>
  <si>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</si>
  <si>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</si>
  <si>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</si>
  <si>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</si>
  <si>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</si>
  <si>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</si>
  <si>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</si>
  <si>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</si>
  <si>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</si>
  <si>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</si>
  <si>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</si>
  <si>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</si>
  <si>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</si>
  <si>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</si>
  <si>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</si>
  <si>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</si>
  <si>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</si>
  <si>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</si>
  <si>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</si>
  <si>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</si>
  <si>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</si>
  <si>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</si>
  <si>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</si>
  <si>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</si>
  <si>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</si>
  <si>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</si>
  <si>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</si>
  <si>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</si>
  <si>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</si>
  <si>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</si>
  <si>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</si>
  <si>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</si>
  <si>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</si>
  <si>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</si>
  <si>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</si>
  <si>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</si>
  <si>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</si>
  <si>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</si>
  <si>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</si>
  <si>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</si>
  <si>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</si>
  <si>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</si>
  <si>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</si>
  <si>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</si>
  <si>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</si>
  <si>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</si>
  <si>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</si>
  <si>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</si>
  <si>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</si>
  <si>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</si>
  <si>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</si>
  <si>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</si>
  <si>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</si>
  <si>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</si>
  <si>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</si>
  <si>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</si>
  <si>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</si>
  <si>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</si>
  <si>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</si>
  <si>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</si>
  <si>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</si>
  <si>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</si>
  <si>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</si>
  <si>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</si>
  <si>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</si>
  <si>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</si>
  <si>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</si>
  <si>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</si>
  <si>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</si>
  <si>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</si>
  <si>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</si>
  <si>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</si>
  <si>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</si>
  <si>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</si>
  <si>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</si>
  <si>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</si>
  <si>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</si>
  <si>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</si>
  <si>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</si>
  <si>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</si>
  <si>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</si>
  <si>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</si>
  <si>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</si>
  <si>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</si>
  <si>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</si>
  <si>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</si>
  <si>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</si>
  <si>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</si>
  <si>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</si>
  <si>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</si>
  <si>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</si>
  <si>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</si>
  <si>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</si>
  <si>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</si>
  <si>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</si>
  <si>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</si>
  <si>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</si>
  <si>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</si>
  <si>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</si>
  <si>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</si>
  <si>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</si>
  <si>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</si>
  <si>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</si>
  <si>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</si>
  <si>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</si>
  <si>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</si>
  <si>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</si>
  <si>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</si>
  <si>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</si>
  <si>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</si>
  <si>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</si>
  <si>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</si>
  <si>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</si>
  <si>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</si>
  <si>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</si>
  <si>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</si>
  <si>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</si>
  <si>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</si>
  <si>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</si>
  <si>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</si>
  <si>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</si>
  <si>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</si>
  <si>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</si>
  <si>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</si>
  <si>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</si>
  <si>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</si>
  <si>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</si>
  <si>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</si>
  <si>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</si>
  <si>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</si>
  <si>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</si>
  <si>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</si>
  <si>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</si>
  <si>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</si>
  <si>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</si>
  <si>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</si>
  <si>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</si>
  <si>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</si>
  <si>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</si>
  <si>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</si>
  <si>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</si>
  <si>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</si>
  <si>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</si>
  <si>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</si>
  <si>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</si>
  <si>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</si>
  <si>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</si>
  <si>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</si>
  <si>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</si>
  <si>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</si>
  <si>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</si>
  <si>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</si>
  <si>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</si>
  <si>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</si>
  <si>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</si>
  <si>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</si>
  <si>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</si>
  <si>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</si>
  <si>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</si>
  <si>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</si>
  <si>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</si>
  <si>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</si>
  <si>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</si>
  <si>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</si>
  <si>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</si>
  <si>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</si>
  <si>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</si>
  <si>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</si>
  <si>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</si>
  <si>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</si>
  <si>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</si>
  <si>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</si>
  <si>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</si>
  <si>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</si>
  <si>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</si>
  <si>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</si>
  <si>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</si>
  <si>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</si>
  <si>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</si>
  <si>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</si>
  <si>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</si>
  <si>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</si>
  <si>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</si>
  <si>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</si>
  <si>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</si>
  <si>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</si>
  <si>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</si>
  <si>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</si>
  <si>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</si>
  <si>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</si>
  <si>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</si>
  <si>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</si>
  <si>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</si>
  <si>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</si>
  <si>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</si>
  <si>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</si>
  <si>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</si>
  <si>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</si>
  <si>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</si>
  <si>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</si>
  <si>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</si>
  <si>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</si>
  <si>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</si>
  <si>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</si>
  <si>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</si>
  <si>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</si>
  <si>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</si>
  <si>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</si>
  <si>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</si>
  <si>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</si>
  <si>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</si>
  <si>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</si>
  <si>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</si>
  <si>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</si>
  <si>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</si>
  <si>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</si>
  <si>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</si>
  <si>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</si>
  <si>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</si>
  <si>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</si>
  <si>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</si>
  <si>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</si>
  <si>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</si>
  <si>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</si>
  <si>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</si>
  <si>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</si>
  <si>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</si>
  <si>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</si>
  <si>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</si>
  <si>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</si>
  <si>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</si>
  <si>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</si>
  <si>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</si>
  <si>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</si>
  <si>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</si>
  <si>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</si>
  <si>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</si>
  <si>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</si>
  <si>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</si>
  <si>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</si>
  <si>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</si>
  <si>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</si>
  <si>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</si>
  <si>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</si>
  <si>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</si>
  <si>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</si>
  <si>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</si>
  <si>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</si>
  <si>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</si>
  <si>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</si>
  <si>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</si>
  <si>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</si>
  <si>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</si>
  <si>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</si>
  <si>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</si>
  <si>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</si>
  <si>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</si>
  <si>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</si>
  <si>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</si>
  <si>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</si>
  <si>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</si>
  <si>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</si>
  <si>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</si>
  <si>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</si>
  <si>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</si>
  <si>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</si>
  <si>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</si>
  <si>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</si>
  <si>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</si>
  <si>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</si>
  <si>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</si>
  <si>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</si>
  <si>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</si>
  <si>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</si>
  <si>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</si>
  <si>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</si>
  <si>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</si>
  <si>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</si>
  <si>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</si>
  <si>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</si>
  <si>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</si>
  <si>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</si>
  <si>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</si>
  <si>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</si>
  <si>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</si>
  <si>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</si>
  <si>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</si>
  <si>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</si>
  <si>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</si>
  <si>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</si>
  <si>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</si>
  <si>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</si>
  <si>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</si>
  <si>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</si>
  <si>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</si>
  <si>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</si>
  <si>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</si>
  <si>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</si>
  <si>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</si>
  <si>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</si>
  <si>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</si>
  <si>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</si>
  <si>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</si>
  <si>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</si>
  <si>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</si>
  <si>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</si>
  <si>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</si>
  <si>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</si>
  <si>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</si>
  <si>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</si>
  <si>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</si>
  <si>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</si>
  <si>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</si>
  <si>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</si>
  <si>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</si>
  <si>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</si>
  <si>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</si>
  <si>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</si>
  <si>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</si>
  <si>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</si>
  <si>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</si>
  <si>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</si>
  <si>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</si>
  <si>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</si>
  <si>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</si>
  <si>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</si>
  <si>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</si>
  <si>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</si>
  <si>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</si>
  <si>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</si>
  <si>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</si>
  <si>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</si>
  <si>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</si>
  <si>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</si>
  <si>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</si>
  <si>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</si>
  <si>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</si>
  <si>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</si>
  <si>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</si>
  <si>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</si>
  <si>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</si>
  <si>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</si>
  <si>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</si>
  <si>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</si>
  <si>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</si>
  <si>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</si>
  <si>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</si>
  <si>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</si>
  <si>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</si>
  <si>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</si>
  <si>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</si>
  <si>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</si>
  <si>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</si>
  <si>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</si>
  <si>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</si>
  <si>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</si>
  <si>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</si>
  <si>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</si>
  <si>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</si>
  <si>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</si>
  <si>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</si>
  <si>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</si>
  <si>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</si>
  <si>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</si>
  <si>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</si>
  <si>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</si>
  <si>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</si>
  <si>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</si>
  <si>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</si>
  <si>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</si>
  <si>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</si>
  <si>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</si>
  <si>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</si>
  <si>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</si>
  <si>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</si>
  <si>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</si>
  <si>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</si>
  <si>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</si>
  <si>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</si>
  <si>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</si>
  <si>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</si>
  <si>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</si>
  <si>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</si>
  <si>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</si>
  <si>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</si>
  <si>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</si>
  <si>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</si>
  <si>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</si>
  <si>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</si>
  <si>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</si>
  <si>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</si>
  <si>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</si>
  <si>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</si>
  <si>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</si>
  <si>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</si>
  <si>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</si>
  <si>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</si>
  <si>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</si>
  <si>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</si>
  <si>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</si>
  <si>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</si>
  <si>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</si>
  <si>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</si>
  <si>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</si>
  <si>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</si>
  <si>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</si>
  <si>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</si>
  <si>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</si>
  <si>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</si>
  <si>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</si>
  <si>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</si>
  <si>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</si>
  <si>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</si>
  <si>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</si>
  <si>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</si>
  <si>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</si>
  <si>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</si>
  <si>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</si>
  <si>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</si>
  <si>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</si>
  <si>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</si>
  <si>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</si>
  <si>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</si>
  <si>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</si>
  <si>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</si>
  <si>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</si>
  <si>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</si>
  <si>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</si>
  <si>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</si>
  <si>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</si>
  <si>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</si>
  <si>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</si>
  <si>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</si>
  <si>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</si>
  <si>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</si>
  <si>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</si>
  <si>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</si>
  <si>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</si>
  <si>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</si>
  <si>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</si>
  <si>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</si>
  <si>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</si>
  <si>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</si>
  <si>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</si>
  <si>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</si>
  <si>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</si>
  <si>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</si>
  <si>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</si>
  <si>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</si>
  <si>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</si>
  <si>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</si>
  <si>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</si>
  <si>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</si>
  <si>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</si>
  <si>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</si>
  <si>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</si>
  <si>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</si>
  <si>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</si>
  <si>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</si>
  <si>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</si>
  <si>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</si>
  <si>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</si>
  <si>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</si>
  <si>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</si>
  <si>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</si>
  <si>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</si>
  <si>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</si>
  <si>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</si>
  <si>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</si>
  <si>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</si>
  <si>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</si>
  <si>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</si>
  <si>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</si>
  <si>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</si>
  <si>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</si>
  <si>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</si>
  <si>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</si>
  <si>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</si>
  <si>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</si>
  <si>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</si>
  <si>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</si>
  <si>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</si>
  <si>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</si>
  <si>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</si>
  <si>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</si>
  <si>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</si>
  <si>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</si>
  <si>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</si>
  <si>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</si>
  <si>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</si>
  <si>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</si>
  <si>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</si>
  <si>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</si>
  <si>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</si>
  <si>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</si>
  <si>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</si>
  <si>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</si>
  <si>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</si>
  <si>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</si>
  <si>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</si>
  <si>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</si>
  <si>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</si>
  <si>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</si>
  <si>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</si>
  <si>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</si>
  <si>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</si>
  <si>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</si>
  <si>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</si>
  <si>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</si>
  <si>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</si>
  <si>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</si>
  <si>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</si>
  <si>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</si>
  <si>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</si>
  <si>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</si>
  <si>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</si>
  <si>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</si>
  <si>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</si>
  <si>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</si>
  <si>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</si>
  <si>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</si>
  <si>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</si>
  <si>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</si>
  <si>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</si>
  <si>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</si>
  <si>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</si>
  <si>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</si>
  <si>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</si>
  <si>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</si>
  <si>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</si>
  <si>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</si>
  <si>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</si>
  <si>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</si>
  <si>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</si>
  <si>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</si>
  <si>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</si>
  <si>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</si>
  <si>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</si>
  <si>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</si>
  <si>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</si>
  <si>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</si>
  <si>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</si>
  <si>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</si>
  <si>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</si>
  <si>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</si>
  <si>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</si>
  <si>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</si>
  <si>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</si>
  <si>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</si>
  <si>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</si>
  <si>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</si>
  <si>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</si>
  <si>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</si>
  <si>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</si>
  <si>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</si>
  <si>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</si>
  <si>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</si>
  <si>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</si>
  <si>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</si>
  <si>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</si>
  <si>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</si>
  <si>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</si>
  <si>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</si>
  <si>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</si>
  <si>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</si>
  <si>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</si>
  <si>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</si>
  <si>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</si>
  <si>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</si>
  <si>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</si>
  <si>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</si>
  <si>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</si>
  <si>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</si>
  <si>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</si>
  <si>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</si>
  <si>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</si>
  <si>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</si>
  <si>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</si>
  <si>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</si>
  <si>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</si>
  <si>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</si>
  <si>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</si>
  <si>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</si>
  <si>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</si>
  <si>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</si>
  <si>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</si>
  <si>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</si>
  <si>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</si>
  <si>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</si>
  <si>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</si>
  <si>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</si>
  <si>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</si>
  <si>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</si>
  <si>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</si>
  <si>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</si>
  <si>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</si>
  <si>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</si>
  <si>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</si>
  <si>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</si>
  <si>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</si>
  <si>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</si>
  <si>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</si>
  <si>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</si>
  <si>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</si>
  <si>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</si>
  <si>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</si>
  <si>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</si>
  <si>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</si>
  <si>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</si>
  <si>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</si>
  <si>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</si>
  <si>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</si>
  <si>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</si>
  <si>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</si>
  <si>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</si>
  <si>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</si>
  <si>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</si>
  <si>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</si>
  <si>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</si>
  <si>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</si>
  <si>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</si>
  <si>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</si>
  <si>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</si>
  <si>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</si>
  <si>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</si>
  <si>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</si>
  <si>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</si>
  <si>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</si>
  <si>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</si>
  <si>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</si>
  <si>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</si>
  <si>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</si>
  <si>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</si>
  <si>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</si>
  <si>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</si>
  <si>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</si>
  <si>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</si>
  <si>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</si>
  <si>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</si>
  <si>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</si>
  <si>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</si>
  <si>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</si>
  <si>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</si>
  <si>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</si>
  <si>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</si>
  <si>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</si>
  <si>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</si>
  <si>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</si>
  <si>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</si>
  <si>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</si>
  <si>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</si>
  <si>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</si>
  <si>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</si>
  <si>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</si>
  <si>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</si>
  <si>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</si>
  <si>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</si>
  <si>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</si>
  <si>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</si>
  <si>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</si>
  <si>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</si>
  <si>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</si>
  <si>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</si>
  <si>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</si>
  <si>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</si>
  <si>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</si>
  <si>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</si>
  <si>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</si>
  <si>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</si>
  <si>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</si>
  <si>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</si>
  <si>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</si>
  <si>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</si>
  <si>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</si>
  <si>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</si>
  <si>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</si>
  <si>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</si>
  <si>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</si>
  <si>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</si>
  <si>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</si>
  <si>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</si>
  <si>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</si>
  <si>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</si>
  <si>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</si>
  <si>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</si>
  <si>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</si>
  <si>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</si>
  <si>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</si>
  <si>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</si>
  <si>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</si>
  <si>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</si>
  <si>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</si>
  <si>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</si>
  <si>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</si>
  <si>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</si>
  <si>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</si>
  <si>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</si>
  <si>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</si>
  <si>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</si>
  <si>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</si>
  <si>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</si>
  <si>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</si>
  <si>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</si>
  <si>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</si>
  <si>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</si>
  <si>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</si>
  <si>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</si>
  <si>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</si>
  <si>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</si>
  <si>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</si>
  <si>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</si>
  <si>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</si>
  <si>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</si>
  <si>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</si>
  <si>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</si>
  <si>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</si>
  <si>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</si>
  <si>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</si>
  <si>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</si>
  <si>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</si>
  <si>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</si>
  <si>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</si>
  <si>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</si>
  <si>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</si>
  <si>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</si>
  <si>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</si>
  <si>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</si>
  <si>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</si>
  <si>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</si>
  <si>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</si>
  <si>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</si>
  <si>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</si>
  <si>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</si>
  <si>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</si>
  <si>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</si>
  <si>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</si>
  <si>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</si>
  <si>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</si>
  <si>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</si>
  <si>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</si>
  <si>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</si>
  <si>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</si>
  <si>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</si>
  <si>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</si>
  <si>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</si>
  <si>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</si>
  <si>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</si>
  <si>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</si>
  <si>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</si>
  <si>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</si>
  <si>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</si>
  <si>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</si>
  <si>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</si>
  <si>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</si>
  <si>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</si>
  <si>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</si>
  <si>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</si>
  <si>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</si>
  <si>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</si>
  <si>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</si>
  <si>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</si>
  <si>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</si>
  <si>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</si>
  <si>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</si>
  <si>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</si>
  <si>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</si>
  <si>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</si>
  <si>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</si>
  <si>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</si>
  <si>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</si>
  <si>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</si>
  <si>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</si>
  <si>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</si>
  <si>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</si>
  <si>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</si>
  <si>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</si>
  <si>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</si>
  <si>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</si>
  <si>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</si>
  <si>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</si>
  <si>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</si>
  <si>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</si>
  <si>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</si>
  <si>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</si>
  <si>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</si>
  <si>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</si>
  <si>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</si>
  <si>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</si>
  <si>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</si>
  <si>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</si>
  <si>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</si>
  <si>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</si>
  <si>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</si>
  <si>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</si>
  <si>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</si>
  <si>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</si>
  <si>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</si>
  <si>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</si>
  <si>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</si>
  <si>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</si>
  <si>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</si>
  <si>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</si>
  <si>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</si>
  <si>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</si>
  <si>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</si>
  <si>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</si>
  <si>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</si>
  <si>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</si>
  <si>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</si>
  <si>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</si>
  <si>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</si>
  <si>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</si>
  <si>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</si>
  <si>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</si>
  <si>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</si>
  <si>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</si>
  <si>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</si>
  <si>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</si>
  <si>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</si>
  <si>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</si>
  <si>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</si>
  <si>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</si>
  <si>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</si>
  <si>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</si>
  <si>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</si>
  <si>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</si>
  <si>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</si>
  <si>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</si>
  <si>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</si>
  <si>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</si>
  <si>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</si>
  <si>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</si>
  <si>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</si>
  <si>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</si>
  <si>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</si>
  <si>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</si>
  <si>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</si>
  <si>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</si>
  <si>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</si>
  <si>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</si>
  <si>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</si>
  <si>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</si>
  <si>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</si>
  <si>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</si>
  <si>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</si>
  <si>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</si>
  <si>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</si>
  <si>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</si>
  <si>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</si>
  <si>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</si>
  <si>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</si>
  <si>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</si>
  <si>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</si>
  <si>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</si>
  <si>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</si>
  <si>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</si>
  <si>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</si>
  <si>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</si>
  <si>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</si>
  <si>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</si>
  <si>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</si>
  <si>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</si>
  <si>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</si>
  <si>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</si>
  <si>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</si>
  <si>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</si>
  <si>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</si>
  <si>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</si>
  <si>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</si>
  <si>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</si>
  <si>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</si>
  <si>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</si>
  <si>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</si>
  <si>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</si>
  <si>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</si>
  <si>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</si>
  <si>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</si>
  <si>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</si>
  <si>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</si>
  <si>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</si>
  <si>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</si>
  <si>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</si>
  <si>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</si>
  <si>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</si>
  <si>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</si>
  <si>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</si>
  <si>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</si>
  <si>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</si>
  <si>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</si>
  <si>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</si>
  <si>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</si>
  <si>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</si>
  <si>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</si>
  <si>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</si>
  <si>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</si>
  <si>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</si>
  <si>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</si>
  <si>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</si>
  <si>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</si>
  <si>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</si>
  <si>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</si>
  <si>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</si>
  <si>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</si>
  <si>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</si>
  <si>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</si>
  <si>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</si>
  <si>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</si>
  <si>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</si>
  <si>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</si>
  <si>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</si>
  <si>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</si>
  <si>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</si>
  <si>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</si>
  <si>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</si>
  <si>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</si>
  <si>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</si>
  <si>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</si>
  <si>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</si>
  <si>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</si>
  <si>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</si>
  <si>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</si>
  <si>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</si>
  <si>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</si>
  <si>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</si>
  <si>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</si>
  <si>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</si>
  <si>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</si>
  <si>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</si>
  <si>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</si>
  <si>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</si>
  <si>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</si>
  <si>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</si>
  <si>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</si>
  <si>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</si>
  <si>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</si>
  <si>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</si>
  <si>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</si>
  <si>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</si>
  <si>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</si>
  <si>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</si>
  <si>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</si>
  <si>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</si>
  <si>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</si>
  <si>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</si>
  <si>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</si>
  <si>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</si>
  <si>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</si>
  <si>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</si>
  <si>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</si>
  <si>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</si>
  <si>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</si>
  <si>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</si>
  <si>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</si>
  <si>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</si>
  <si>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</si>
  <si>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</si>
  <si>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</si>
  <si>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</si>
  <si>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</si>
  <si>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</si>
  <si>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</si>
  <si>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</si>
  <si>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</si>
  <si>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</si>
  <si>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</si>
  <si>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</si>
  <si>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</si>
  <si>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</si>
  <si>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</si>
  <si>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</si>
  <si>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</si>
  <si>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</si>
  <si>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</si>
  <si>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</si>
  <si>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</si>
  <si>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</si>
  <si>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</si>
  <si>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</si>
  <si>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</si>
  <si>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</si>
  <si>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</si>
  <si>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</si>
  <si>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</si>
  <si>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</si>
  <si>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</si>
  <si>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</si>
  <si>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</si>
  <si>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</si>
  <si>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</si>
  <si>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</si>
  <si>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</si>
  <si>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</si>
  <si>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</si>
  <si>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</si>
  <si>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</si>
  <si>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</si>
  <si>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</si>
  <si>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</si>
  <si>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</si>
  <si>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</si>
  <si>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</si>
  <si>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</si>
  <si>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</si>
  <si>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</si>
  <si>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</si>
  <si>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</si>
  <si>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</si>
  <si>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</si>
  <si>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</si>
  <si>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</si>
  <si>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</si>
  <si>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</si>
  <si>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</si>
  <si>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</si>
  <si>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</si>
  <si>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</si>
  <si>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</si>
  <si>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</si>
  <si>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</si>
  <si>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</si>
  <si>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</si>
  <si>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</si>
  <si>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</si>
  <si>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</si>
  <si>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</si>
  <si>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</si>
  <si>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</si>
  <si>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</si>
  <si>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</si>
  <si>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</si>
  <si>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</si>
  <si>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</si>
  <si>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</si>
  <si>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</si>
  <si>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</si>
  <si>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</si>
  <si>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</si>
  <si>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</si>
  <si>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</si>
  <si>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</si>
  <si>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</si>
  <si>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</si>
  <si>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</si>
  <si>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</si>
  <si>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</si>
  <si>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</si>
  <si>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</si>
  <si>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</si>
  <si>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</si>
  <si>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</si>
  <si>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</si>
  <si>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</si>
  <si>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</si>
  <si>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</si>
  <si>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</si>
  <si>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</si>
  <si>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</si>
  <si>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</si>
  <si>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</si>
  <si>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</si>
  <si>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</si>
  <si>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</si>
  <si>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</si>
  <si>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</si>
  <si>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</si>
  <si>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</si>
  <si>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</si>
  <si>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</si>
  <si>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</si>
  <si>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</si>
  <si>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</si>
  <si>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</si>
  <si>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</si>
  <si>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</si>
  <si>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</si>
  <si>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</si>
  <si>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</si>
  <si>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</si>
  <si>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</si>
  <si>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</si>
  <si>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</si>
  <si>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</si>
  <si>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</si>
  <si>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</si>
  <si>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</si>
  <si>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</si>
  <si>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</si>
  <si>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</si>
  <si>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</si>
  <si>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</si>
  <si>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</si>
  <si>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</si>
  <si>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</si>
  <si>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</si>
  <si>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</si>
  <si>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</si>
  <si>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</si>
  <si>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</si>
  <si>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</si>
  <si>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</si>
  <si>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</si>
  <si>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</si>
  <si>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</si>
  <si>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</si>
  <si>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</si>
  <si>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</si>
  <si>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</si>
  <si>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</si>
  <si>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</si>
  <si>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</si>
  <si>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</si>
  <si>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</si>
  <si>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</si>
  <si>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</si>
  <si>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</si>
  <si>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</si>
  <si>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</si>
  <si>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</si>
  <si>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</si>
  <si>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</si>
  <si>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</si>
  <si>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</si>
  <si>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</si>
  <si>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</si>
  <si>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</si>
  <si>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</si>
  <si>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</si>
  <si>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</si>
  <si>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</si>
  <si>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</si>
  <si>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</si>
  <si>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</si>
  <si>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</si>
  <si>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</si>
  <si>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</si>
  <si>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</si>
  <si>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</si>
  <si>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</si>
  <si>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</si>
  <si>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</si>
  <si>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</si>
  <si>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</si>
  <si>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</si>
  <si>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</si>
  <si>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</si>
  <si>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</si>
  <si>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</si>
  <si>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</si>
  <si>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</si>
  <si>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</si>
  <si>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</si>
  <si>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</si>
  <si>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</si>
  <si>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</si>
  <si>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</si>
  <si>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</si>
  <si>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</si>
  <si>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</si>
  <si>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</si>
  <si>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</si>
  <si>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</si>
  <si>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</si>
  <si>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</si>
  <si>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</si>
  <si>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</si>
  <si>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</si>
  <si>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</si>
  <si>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</si>
  <si>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</si>
  <si>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</si>
  <si>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</si>
  <si>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</si>
  <si>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</si>
  <si>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</si>
  <si>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</si>
  <si>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</si>
  <si>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</si>
  <si>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</si>
  <si>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</si>
  <si>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</si>
  <si>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</si>
  <si>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</si>
  <si>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</si>
  <si>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</si>
  <si>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</si>
  <si>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</si>
  <si>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</si>
  <si>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</si>
  <si>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</si>
  <si>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</si>
  <si>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</si>
  <si>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</si>
  <si>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</si>
  <si>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</si>
  <si>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</si>
  <si>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</si>
  <si>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</si>
  <si>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</si>
  <si>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</si>
  <si>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</si>
  <si>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</si>
  <si>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</si>
  <si>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</si>
  <si>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</si>
  <si>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</si>
  <si>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</si>
  <si>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</si>
  <si>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</si>
  <si>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</si>
  <si>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</si>
  <si>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</si>
  <si>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</si>
  <si>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</si>
  <si>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</si>
  <si>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</si>
  <si>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</si>
  <si>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</si>
  <si>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</si>
  <si>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</si>
  <si>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</si>
  <si>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</si>
  <si>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</si>
  <si>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</si>
  <si>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</si>
  <si>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</si>
  <si>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</si>
  <si>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</si>
  <si>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</si>
  <si>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</si>
  <si>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</si>
  <si>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</si>
  <si>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</si>
  <si>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</si>
  <si>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</si>
  <si>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</si>
  <si>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</si>
  <si>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</si>
  <si>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</si>
  <si>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</si>
  <si>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</si>
  <si>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</si>
  <si>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</si>
  <si>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</si>
  <si>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</si>
  <si>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</si>
  <si>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</si>
  <si>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</si>
  <si>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</si>
  <si>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</si>
  <si>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</si>
  <si>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</si>
  <si>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</si>
  <si>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</si>
  <si>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</si>
  <si>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</si>
  <si>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</si>
  <si>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</si>
  <si>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</si>
  <si>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</si>
  <si>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</si>
  <si>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</si>
  <si>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</si>
  <si>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</si>
  <si>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</si>
  <si>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</si>
  <si>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</si>
  <si>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</si>
  <si>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</si>
  <si>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</si>
  <si>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</si>
  <si>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</si>
  <si>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</si>
  <si>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</si>
  <si>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</si>
  <si>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</si>
  <si>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</si>
  <si>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</si>
  <si>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</si>
  <si>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</si>
  <si>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</si>
  <si>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</si>
  <si>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</si>
  <si>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</si>
  <si>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</si>
  <si>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</si>
  <si>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</si>
  <si>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</si>
  <si>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</si>
  <si>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</si>
  <si>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</si>
  <si>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</si>
  <si>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</si>
  <si>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</si>
  <si>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</si>
  <si>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</si>
  <si>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</si>
  <si>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</si>
  <si>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</si>
  <si>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</si>
  <si>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</si>
  <si>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</si>
  <si>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</si>
  <si>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</si>
  <si>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</si>
  <si>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</si>
  <si>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</si>
  <si>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</si>
  <si>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</si>
  <si>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</si>
  <si>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</si>
  <si>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</si>
  <si>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</si>
  <si>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</si>
  <si>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</si>
  <si>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</si>
  <si>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</si>
  <si>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</si>
  <si>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</si>
  <si>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</si>
  <si>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</si>
  <si>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</si>
  <si>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</si>
  <si>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</si>
  <si>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</si>
  <si>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</si>
  <si>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</si>
  <si>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</si>
  <si>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</si>
  <si>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</si>
  <si>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</si>
  <si>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</si>
  <si>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</si>
  <si>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</si>
  <si>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</si>
  <si>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</si>
  <si>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</si>
  <si>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</si>
  <si>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</si>
  <si>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</si>
  <si>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</si>
  <si>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</si>
  <si>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</si>
  <si>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</si>
  <si>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</si>
  <si>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</si>
  <si>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</si>
  <si>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</si>
  <si>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</si>
  <si>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</si>
  <si>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</si>
  <si>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</si>
  <si>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</si>
  <si>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</si>
  <si>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</si>
  <si>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</si>
  <si>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</si>
  <si>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</si>
  <si>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</si>
  <si>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</si>
  <si>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</si>
  <si>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</si>
  <si>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</si>
  <si>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</si>
  <si>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</si>
  <si>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</si>
  <si>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</si>
  <si>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</si>
  <si>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</si>
  <si>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</si>
  <si>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</si>
  <si>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</si>
  <si>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</si>
  <si>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</si>
  <si>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</si>
  <si>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</si>
  <si>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</si>
  <si>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</si>
  <si>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</si>
  <si>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</si>
  <si>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</si>
  <si>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</si>
  <si>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</si>
  <si>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</si>
  <si>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</si>
  <si>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</si>
  <si>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</si>
  <si>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</si>
  <si>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</si>
  <si>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</si>
  <si>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</si>
  <si>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</si>
  <si>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</si>
  <si>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</si>
  <si>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</si>
  <si>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</si>
  <si>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</si>
  <si>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</si>
  <si>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</si>
  <si>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</si>
  <si>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</si>
  <si>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</si>
  <si>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</si>
  <si>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</si>
  <si>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</si>
  <si>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</si>
  <si>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</si>
  <si>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</si>
  <si>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</si>
  <si>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</si>
  <si>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</si>
  <si>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</si>
  <si>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</si>
  <si>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</si>
  <si>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</si>
  <si>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</si>
  <si>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</si>
  <si>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</si>
  <si>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</si>
  <si>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</si>
  <si>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</si>
  <si>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</si>
  <si>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</si>
  <si>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</si>
  <si>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</si>
  <si>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</si>
  <si>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</si>
  <si>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</si>
  <si>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</si>
  <si>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</si>
  <si>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</si>
  <si>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</si>
  <si>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</si>
  <si>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</si>
  <si>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</si>
  <si>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</si>
  <si>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</si>
  <si>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</si>
  <si>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</si>
  <si>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</si>
  <si>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</si>
  <si>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</si>
  <si>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</si>
  <si>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</si>
  <si>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</si>
  <si>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</si>
  <si>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</si>
  <si>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</si>
  <si>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</si>
  <si>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</si>
  <si>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</si>
  <si>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</si>
  <si>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</si>
  <si>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</si>
  <si>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</si>
  <si>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</si>
  <si>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</si>
  <si>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</si>
  <si>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</si>
  <si>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</si>
  <si>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</si>
  <si>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</si>
  <si>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</si>
  <si>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</si>
  <si>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</si>
  <si>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</si>
  <si>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</si>
  <si>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</si>
  <si>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</si>
  <si>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</si>
  <si>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</si>
  <si>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</si>
  <si>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</si>
  <si>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</si>
  <si>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</si>
  <si>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</si>
  <si>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</si>
  <si>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</si>
  <si>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</si>
  <si>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</si>
  <si>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</si>
  <si>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</si>
  <si>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</si>
  <si>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</si>
  <si>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</si>
  <si>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</si>
  <si>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</si>
  <si>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</si>
  <si>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</si>
  <si>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</si>
  <si>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</si>
  <si>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</si>
  <si>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</si>
  <si>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</si>
  <si>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</si>
  <si>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</si>
  <si>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</si>
  <si>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</si>
  <si>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</si>
  <si>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</si>
  <si>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</si>
  <si>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</si>
  <si>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</si>
  <si>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</si>
  <si>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</si>
  <si>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</si>
  <si>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</si>
  <si>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</si>
  <si>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</si>
  <si>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</si>
  <si>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</si>
  <si>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</si>
  <si>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</si>
  <si>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</si>
  <si>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</si>
  <si>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</si>
  <si>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</si>
  <si>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</si>
  <si>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</si>
  <si>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</si>
  <si>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</si>
  <si>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</si>
  <si>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</si>
  <si>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</si>
  <si>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</si>
  <si>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</si>
  <si>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</si>
  <si>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</si>
  <si>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</si>
  <si>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</si>
  <si>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</si>
  <si>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</si>
  <si>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</si>
  <si>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</si>
  <si>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</si>
  <si>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</si>
  <si>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</si>
  <si>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</si>
  <si>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</si>
  <si>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</si>
  <si>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</si>
  <si>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</si>
  <si>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</si>
  <si>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</si>
  <si>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</si>
  <si>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</si>
  <si>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</si>
  <si>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</si>
  <si>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</si>
  <si>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</si>
  <si>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</si>
  <si>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</si>
  <si>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</si>
  <si>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</si>
  <si>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</si>
  <si>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</si>
  <si>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</si>
  <si>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</si>
  <si>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</si>
  <si>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</si>
  <si>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</si>
  <si>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</si>
  <si>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</si>
  <si>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</si>
  <si>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</si>
  <si>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</si>
  <si>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</si>
  <si>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</si>
  <si>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</si>
  <si>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</si>
  <si>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</si>
  <si>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</si>
  <si>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</si>
  <si>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</si>
  <si>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</si>
  <si>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</si>
  <si>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</si>
  <si>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</si>
  <si>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</si>
  <si>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</si>
  <si>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</si>
  <si>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</si>
  <si>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</si>
  <si>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</si>
  <si>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</si>
  <si>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</si>
  <si>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</si>
  <si>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</si>
  <si>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</si>
  <si>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</si>
  <si>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</si>
  <si>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</si>
  <si>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</si>
  <si>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</si>
  <si>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</si>
  <si>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</si>
  <si>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</si>
  <si>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</si>
  <si>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</si>
  <si>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</si>
  <si>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</si>
  <si>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</si>
  <si>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</si>
  <si>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</si>
  <si>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</si>
  <si>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</si>
  <si>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</si>
  <si>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</si>
  <si>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</si>
  <si>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</si>
  <si>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</si>
  <si>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</si>
  <si>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</si>
  <si>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</si>
  <si>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</si>
  <si>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</si>
  <si>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</si>
  <si>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</si>
  <si>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</si>
  <si>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</si>
  <si>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</si>
  <si>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</si>
  <si>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</si>
  <si>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</si>
  <si>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</si>
  <si>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</si>
  <si>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</si>
  <si>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</si>
  <si>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</si>
  <si>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</si>
  <si>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</si>
  <si>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</si>
  <si>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</si>
  <si>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</si>
  <si>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</si>
  <si>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</si>
  <si>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</si>
  <si>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</si>
  <si>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</si>
  <si>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</si>
  <si>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</si>
  <si>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</si>
  <si>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</si>
  <si>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</si>
  <si>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</si>
  <si>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</si>
  <si>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</si>
  <si>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</si>
  <si>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</si>
  <si>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</si>
  <si>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</si>
  <si>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</si>
  <si>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</si>
  <si>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</si>
  <si>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</si>
  <si>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</si>
  <si>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</si>
  <si>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</si>
  <si>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</si>
  <si>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</si>
  <si>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</si>
  <si>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</si>
  <si>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</si>
  <si>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</si>
  <si>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</si>
  <si>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</si>
  <si>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</si>
  <si>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</si>
  <si>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</si>
  <si>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</si>
  <si>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</si>
  <si>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</si>
  <si>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</si>
  <si>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</si>
  <si>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</si>
  <si>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</si>
  <si>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</si>
  <si>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</si>
  <si>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</si>
  <si>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</si>
  <si>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</si>
  <si>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</si>
  <si>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</si>
  <si>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</si>
  <si>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</si>
  <si>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</si>
  <si>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</si>
  <si>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</si>
  <si>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</si>
  <si>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</si>
  <si>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</si>
  <si>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</si>
  <si>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</si>
  <si>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</si>
  <si>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</si>
  <si>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</si>
  <si>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</si>
  <si>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</si>
  <si>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</si>
  <si>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</si>
  <si>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</si>
  <si>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</si>
  <si>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</si>
  <si>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</si>
  <si>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</si>
  <si>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</si>
  <si>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</si>
  <si>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</si>
  <si>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</si>
  <si>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</si>
  <si>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</si>
  <si>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</si>
  <si>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</si>
  <si>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</si>
  <si>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</si>
  <si>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</si>
  <si>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</si>
  <si>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</si>
  <si>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</si>
  <si>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</si>
  <si>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</si>
  <si>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</si>
  <si>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</si>
  <si>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</si>
  <si>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</si>
  <si>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</si>
  <si>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</si>
  <si>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</si>
  <si>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</si>
  <si>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</si>
  <si>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</si>
  <si>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</si>
  <si>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</si>
  <si>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</si>
  <si>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</si>
  <si>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</si>
  <si>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</si>
  <si>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</si>
  <si>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</si>
  <si>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</si>
  <si>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</si>
  <si>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</si>
  <si>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</si>
  <si>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</si>
  <si>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</si>
  <si>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</si>
  <si>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</si>
  <si>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</si>
  <si>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</si>
  <si>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</si>
  <si>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</si>
  <si>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</si>
  <si>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</si>
  <si>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</si>
  <si>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</si>
  <si>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</si>
  <si>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</si>
  <si>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</si>
  <si>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</si>
  <si>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</si>
  <si>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</si>
  <si>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</si>
  <si>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</si>
  <si>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</si>
  <si>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</si>
  <si>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</si>
  <si>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</si>
  <si>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</si>
  <si>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</si>
  <si>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</si>
  <si>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</si>
  <si>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</si>
  <si>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</si>
  <si>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</si>
  <si>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</si>
  <si>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</si>
  <si>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</si>
  <si>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</si>
  <si>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</si>
  <si>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</si>
  <si>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</si>
  <si>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</si>
  <si>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</si>
  <si>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</si>
  <si>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</si>
  <si>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</si>
  <si>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</si>
  <si>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</si>
  <si>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</si>
  <si>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</si>
  <si>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</si>
  <si>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</si>
  <si>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</si>
  <si>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</si>
  <si>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</si>
  <si>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</si>
  <si>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</si>
  <si>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</si>
  <si>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</si>
  <si>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</si>
  <si>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</si>
  <si>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</si>
  <si>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</si>
  <si>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</si>
  <si>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</si>
  <si>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</si>
  <si>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</si>
  <si>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</si>
  <si>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</si>
  <si>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</si>
  <si>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</si>
  <si>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</si>
  <si>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</si>
  <si>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</si>
  <si>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</si>
  <si>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</si>
  <si>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</si>
  <si>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</si>
  <si>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</si>
  <si>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</si>
  <si>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</si>
  <si>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</si>
  <si>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</si>
  <si>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</si>
  <si>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</si>
  <si>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</si>
  <si>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</si>
  <si>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</si>
  <si>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</si>
  <si>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</si>
  <si>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</si>
  <si>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</si>
  <si>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</si>
  <si>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</si>
  <si>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</si>
  <si>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</si>
  <si>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</si>
  <si>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</si>
  <si>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</si>
  <si>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</si>
  <si>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</si>
  <si>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</si>
  <si>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</si>
  <si>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</si>
  <si>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</si>
  <si>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</si>
  <si>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</si>
  <si>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</si>
  <si>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</si>
  <si>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</si>
  <si>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</si>
  <si>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</si>
  <si>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</si>
  <si>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</si>
  <si>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</si>
  <si>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</si>
  <si>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</si>
  <si>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</si>
  <si>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</si>
  <si>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</si>
  <si>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</si>
  <si>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</si>
  <si>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</si>
  <si>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</si>
  <si>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</si>
  <si>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</si>
  <si>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</si>
  <si>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</si>
  <si>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</si>
  <si>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</si>
  <si>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</si>
  <si>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</si>
  <si>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</si>
  <si>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</si>
  <si>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</si>
  <si>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</si>
  <si>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</si>
  <si>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</si>
  <si>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</si>
  <si>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</si>
  <si>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</si>
  <si>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</si>
  <si>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</si>
  <si>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</si>
  <si>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</si>
  <si>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</si>
  <si>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</si>
  <si>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</si>
  <si>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</si>
  <si>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</si>
  <si>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</si>
  <si>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</si>
  <si>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</si>
  <si>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</si>
  <si>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</si>
  <si>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</si>
  <si>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</si>
  <si>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</si>
  <si>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</si>
  <si>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</si>
  <si>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</si>
  <si>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</si>
  <si>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</si>
  <si>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</si>
  <si>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</si>
  <si>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</si>
  <si>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</si>
  <si>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</si>
  <si>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</si>
  <si>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</si>
  <si>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</si>
  <si>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</si>
  <si>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</si>
  <si>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</si>
  <si>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</si>
  <si>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</si>
  <si>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</si>
  <si>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</si>
  <si>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</si>
  <si>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</si>
  <si>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</si>
  <si>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</si>
  <si>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</si>
  <si>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</si>
  <si>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</si>
  <si>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</si>
  <si>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</si>
  <si>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</si>
  <si>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</si>
  <si>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</si>
  <si>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</si>
  <si>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</si>
  <si>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</si>
  <si>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</si>
  <si>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</si>
  <si>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</si>
  <si>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</si>
  <si>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</si>
  <si>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</si>
  <si>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</si>
  <si>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</si>
  <si>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</si>
  <si>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</si>
  <si>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</si>
  <si>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</si>
  <si>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</si>
  <si>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</si>
  <si>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</si>
  <si>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</si>
  <si>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</si>
  <si>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</si>
  <si>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</si>
  <si>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</si>
  <si>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</si>
  <si>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</si>
  <si>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</si>
  <si>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</si>
  <si>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</si>
  <si>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</si>
  <si>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</si>
  <si>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</si>
  <si>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</si>
  <si>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</si>
  <si>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</si>
  <si>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</si>
  <si>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</si>
  <si>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</si>
  <si>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</si>
  <si>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</si>
  <si>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</si>
  <si>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</si>
  <si>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</si>
  <si>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</si>
  <si>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</si>
  <si>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</si>
  <si>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</si>
  <si>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</si>
  <si>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</si>
  <si>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</si>
  <si>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</si>
  <si>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</si>
  <si>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</si>
  <si>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</si>
  <si>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</si>
  <si>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</si>
  <si>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</si>
  <si>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</si>
  <si>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</si>
  <si>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</si>
  <si>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</si>
  <si>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</si>
  <si>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</si>
  <si>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</si>
  <si>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</si>
  <si>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</si>
  <si>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</si>
  <si>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</si>
  <si>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</si>
  <si>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</si>
  <si>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</si>
  <si>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</si>
  <si>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</si>
  <si>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</si>
  <si>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</si>
  <si>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</si>
  <si>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</si>
  <si>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</si>
  <si>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</si>
  <si>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</si>
  <si>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</si>
  <si>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</si>
  <si>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</si>
  <si>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</si>
  <si>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</si>
  <si>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</si>
  <si>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</si>
  <si>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</si>
  <si>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</si>
  <si>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</si>
  <si>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</si>
  <si>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</si>
  <si>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</si>
  <si>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</si>
  <si>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</si>
  <si>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</si>
  <si>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</si>
  <si>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</si>
  <si>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</si>
  <si>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</si>
  <si>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</si>
  <si>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</si>
  <si>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</si>
  <si>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</si>
  <si>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</si>
  <si>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</si>
  <si>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</si>
  <si>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</si>
  <si>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</si>
  <si>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</si>
  <si>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</si>
  <si>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</si>
  <si>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</si>
  <si>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</si>
  <si>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</si>
  <si>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</si>
  <si>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</si>
  <si>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</si>
  <si>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</si>
  <si>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</si>
  <si>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</si>
  <si>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</si>
  <si>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</si>
  <si>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</si>
  <si>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</si>
  <si>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</si>
  <si>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</si>
  <si>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</si>
  <si>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</si>
  <si>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</si>
  <si>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</si>
  <si>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</si>
  <si>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</si>
  <si>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</si>
  <si>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</si>
  <si>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</si>
  <si>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</si>
  <si>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</si>
  <si>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</si>
  <si>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</si>
  <si>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</si>
  <si>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</si>
  <si>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</si>
  <si>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</si>
  <si>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</si>
  <si>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</si>
  <si>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</si>
  <si>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</si>
  <si>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复印件</t>
  </si>
  <si>
    <t>工业项目</t>
  </si>
  <si>
    <t>Ⅷ-通州开发区东</t>
  </si>
  <si>
    <t>总建筑面积</t>
    <phoneticPr fontId="134" type="noConversion"/>
  </si>
  <si>
    <t>建筑面积</t>
    <phoneticPr fontId="134" type="noConversion"/>
  </si>
  <si>
    <t>层数</t>
    <phoneticPr fontId="134" type="noConversion"/>
  </si>
  <si>
    <t>建筑高度</t>
    <phoneticPr fontId="134" type="noConversion"/>
  </si>
  <si>
    <t>序号</t>
    <phoneticPr fontId="134" type="noConversion"/>
  </si>
  <si>
    <t>建筑栋号或建筑使用性质</t>
    <phoneticPr fontId="134" type="noConversion"/>
  </si>
  <si>
    <t>合计</t>
    <phoneticPr fontId="134" type="noConversion"/>
  </si>
  <si>
    <t>地上</t>
    <phoneticPr fontId="134" type="noConversion"/>
  </si>
  <si>
    <t>地下</t>
    <phoneticPr fontId="134" type="noConversion"/>
  </si>
  <si>
    <r>
      <t>1</t>
    </r>
    <r>
      <rPr>
        <sz val="11"/>
        <color theme="1"/>
        <rFont val="宋体"/>
        <family val="3"/>
        <charset val="134"/>
        <scheme val="minor"/>
      </rPr>
      <t>#研发楼</t>
    </r>
    <phoneticPr fontId="134" type="noConversion"/>
  </si>
  <si>
    <r>
      <t>2</t>
    </r>
    <r>
      <rPr>
        <sz val="11"/>
        <color theme="1"/>
        <rFont val="宋体"/>
        <family val="3"/>
        <charset val="134"/>
        <scheme val="minor"/>
      </rPr>
      <t>#研发楼</t>
    </r>
    <phoneticPr fontId="134" type="noConversion"/>
  </si>
  <si>
    <t>3#研发楼</t>
    <phoneticPr fontId="134" type="noConversion"/>
  </si>
  <si>
    <t>地上车库出入口</t>
    <phoneticPr fontId="134" type="noConversion"/>
  </si>
  <si>
    <t>地下车库及设备用房</t>
    <phoneticPr fontId="134" type="noConversion"/>
  </si>
  <si>
    <t>人防车库</t>
    <phoneticPr fontId="134" type="noConversion"/>
  </si>
  <si>
    <t>人防口部</t>
    <phoneticPr fontId="134" type="noConversion"/>
  </si>
  <si>
    <t>设备</t>
    <phoneticPr fontId="134" type="noConversion"/>
  </si>
  <si>
    <t xml:space="preserve"> </t>
    <phoneticPr fontId="134" type="noConversion"/>
  </si>
  <si>
    <t>研发楼</t>
    <phoneticPr fontId="134" type="noConversion"/>
  </si>
  <si>
    <t>个数</t>
    <phoneticPr fontId="134" type="noConversion"/>
  </si>
  <si>
    <t>地下车库</t>
    <phoneticPr fontId="134" type="noConversion"/>
  </si>
  <si>
    <t>设备用房</t>
    <phoneticPr fontId="134" type="noConversion"/>
  </si>
  <si>
    <t>人防</t>
    <phoneticPr fontId="134" type="noConversion"/>
  </si>
  <si>
    <t>小计</t>
    <phoneticPr fontId="134" type="noConversion"/>
  </si>
  <si>
    <t>国有建设用地使用权出让合同</t>
  </si>
  <si>
    <t>受让人</t>
  </si>
  <si>
    <t>北京通州发展集团有限公司</t>
  </si>
  <si>
    <t>出让宗地面积</t>
  </si>
  <si>
    <t>坐落</t>
  </si>
  <si>
    <t>国家网络安全产业园区（通州）东部</t>
  </si>
  <si>
    <t>M4工业研发用地</t>
  </si>
  <si>
    <t>现状土地条件</t>
  </si>
  <si>
    <t>六通一平</t>
  </si>
  <si>
    <t>出让年限</t>
  </si>
  <si>
    <t>年</t>
  </si>
  <si>
    <t>出让价款</t>
  </si>
  <si>
    <t>万</t>
  </si>
  <si>
    <t xml:space="preserve"> </t>
  </si>
  <si>
    <t>楼面单价</t>
  </si>
  <si>
    <t>元</t>
  </si>
  <si>
    <t>主体建筑物性质</t>
  </si>
  <si>
    <t>建筑总面积</t>
  </si>
  <si>
    <t>平方米</t>
  </si>
  <si>
    <t>容积率</t>
  </si>
  <si>
    <t>限高</t>
  </si>
  <si>
    <t>开工</t>
  </si>
  <si>
    <t>竣工</t>
  </si>
  <si>
    <t>签订</t>
  </si>
  <si>
    <t>补充协议</t>
  </si>
  <si>
    <t>附件4</t>
  </si>
  <si>
    <t>契税</t>
  </si>
  <si>
    <t>监管协议</t>
  </si>
  <si>
    <t>准入产业类型</t>
  </si>
  <si>
    <t>研发、总部、办公类</t>
  </si>
  <si>
    <t>总投</t>
  </si>
  <si>
    <t>亿</t>
  </si>
  <si>
    <t>使用期限</t>
  </si>
  <si>
    <t>施工合同价款</t>
  </si>
  <si>
    <t>万元</t>
  </si>
  <si>
    <t>层高</t>
  </si>
  <si>
    <t>首层</t>
  </si>
  <si>
    <t>其他</t>
  </si>
  <si>
    <t>地块名称</t>
  </si>
  <si>
    <t>地块编号</t>
  </si>
  <si>
    <t>区县</t>
  </si>
  <si>
    <t>板块</t>
  </si>
  <si>
    <t>土地位置</t>
  </si>
  <si>
    <t>用地性质</t>
  </si>
  <si>
    <t>详细规划</t>
  </si>
  <si>
    <t>规划建筑面积(㎡)</t>
  </si>
  <si>
    <t>建设用地面积(㎡)</t>
  </si>
  <si>
    <t>成交日期</t>
  </si>
  <si>
    <t>成交价(万元)</t>
  </si>
  <si>
    <t>成交楼面价(元/㎡)</t>
  </si>
  <si>
    <t>成交每亩价(万元/亩)</t>
  </si>
  <si>
    <t>溢价率(%)</t>
  </si>
  <si>
    <t>受让单位</t>
  </si>
  <si>
    <t>保证金(万元)</t>
  </si>
  <si>
    <t>地面单价</t>
    <phoneticPr fontId="134" type="noConversion"/>
  </si>
  <si>
    <t>北京市房山区韩村河镇FS17-0101-0003地块M4工业研发用地项目</t>
  </si>
  <si>
    <t>京土整储挂(房)工业【2022】001号</t>
  </si>
  <si>
    <t xml:space="preserve"> 房山区  </t>
  </si>
  <si>
    <t xml:space="preserve"> 韩村河  </t>
  </si>
  <si>
    <t xml:space="preserve"> 韩村河镇  </t>
  </si>
  <si>
    <t xml:space="preserve"> M4工业研发用地  </t>
  </si>
  <si>
    <t xml:space="preserve"> 北京乾景云海科技有限公司  </t>
  </si>
  <si>
    <t>北京市永乐经济开发区TZ10-0300-6009地块</t>
  </si>
  <si>
    <t>京土整储挂(通)工业〔2021〕04号</t>
  </si>
  <si>
    <t xml:space="preserve"> 通州区  </t>
  </si>
  <si>
    <t xml:space="preserve"> 永乐店  </t>
  </si>
  <si>
    <t xml:space="preserve"> 永乐经济开发区  </t>
  </si>
  <si>
    <t xml:space="preserve"> 工业研发用地(M4)  </t>
  </si>
  <si>
    <t xml:space="preserve"> 北京泰利数据科技发展有限公司  </t>
  </si>
  <si>
    <t>北京市通州区西集镇TZ07-0102-0060地块</t>
  </si>
  <si>
    <t>京土整储挂(通)工业〔2021〕02号</t>
  </si>
  <si>
    <t xml:space="preserve"> 西集  </t>
  </si>
  <si>
    <t xml:space="preserve"> 通州区西集镇国家网络安全产业园区(通州)东部  </t>
  </si>
  <si>
    <t xml:space="preserve"> 西北工业大学  </t>
  </si>
  <si>
    <t>亦庄新城0104街区48M4地块工业项目</t>
  </si>
  <si>
    <t>京开国土挂[2022]15号</t>
  </si>
  <si>
    <t xml:space="preserve"> 大兴区  </t>
  </si>
  <si>
    <t xml:space="preserve"> 亦庄  </t>
  </si>
  <si>
    <t xml:space="preserve"> 亦庄新城0104街区  </t>
  </si>
  <si>
    <t xml:space="preserve"> 北京北方华创微电子装备有限公司  </t>
  </si>
  <si>
    <t>北京市通州区西集镇TZ07-0102-0052地块</t>
  </si>
  <si>
    <t>京土整储挂(通)工业〔2021〕01号</t>
  </si>
  <si>
    <t xml:space="preserve"> 北京通州发展集团有限公司  </t>
  </si>
  <si>
    <t>北京市通州区西集镇TZ07-0102-0069地块国有建设用地使用权出让</t>
  </si>
  <si>
    <t>京土整储挂(通)工业〔2021〕03号</t>
  </si>
  <si>
    <t>北京高端制造业基地06街区03地块工业用地项目</t>
  </si>
  <si>
    <t>京土整储挂(房)工业【2020】002号</t>
  </si>
  <si>
    <t xml:space="preserve"> --  </t>
  </si>
  <si>
    <t xml:space="preserve"> 房山区窦店镇、良乡镇  </t>
  </si>
  <si>
    <t xml:space="preserve"> M4工业研发用地(医药健康产业)  </t>
  </si>
  <si>
    <t xml:space="preserve"> 北京京东方生命科技有限公司  </t>
  </si>
  <si>
    <t>地上</t>
  </si>
  <si>
    <t>办公楼</t>
  </si>
  <si>
    <t>科研办公</t>
  </si>
  <si>
    <t>科研办公</t>
    <phoneticPr fontId="7" type="noConversion"/>
  </si>
  <si>
    <t>车库</t>
    <phoneticPr fontId="7" type="noConversion"/>
  </si>
  <si>
    <t>工程进度</t>
  </si>
  <si>
    <t>收益法</t>
  </si>
  <si>
    <t>一般</t>
  </si>
  <si>
    <t>一般</t>
    <phoneticPr fontId="40" type="noConversion"/>
  </si>
  <si>
    <t>在建</t>
  </si>
  <si>
    <t>假设开发法</t>
  </si>
  <si>
    <t>工业M4</t>
    <phoneticPr fontId="3"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</si>
  <si>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</si>
  <si>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</si>
  <si>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</si>
  <si>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</si>
  <si>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</si>
  <si>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</si>
  <si>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工业M4</t>
  </si>
  <si>
    <t>三通</t>
  </si>
  <si>
    <t>楼面地价</t>
  </si>
  <si>
    <t>加权平均</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</si>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</sst>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10" applyFont="1">
      <alignment vertical="center"/>
    </xf>
    <xf numFmtId="0" fontId="95" fillId="0" borderId="0" xfId="10">
      <alignment vertical="center"/>
    </xf>
    <xf numFmtId="0" fontId="95" fillId="0" borderId="0" xfId="10" applyFont="1" applyAlignment="1">
      <alignment vertical="center" wrapText="1"/>
    </xf>
    <xf numFmtId="0" fontId="95" fillId="0" borderId="1" xfId="10" applyBorder="1">
      <alignment vertical="center"/>
    </xf>
    <xf numFmtId="0" fontId="95" fillId="0" borderId="1" xfId="10" applyFont="1" applyBorder="1">
      <alignment vertical="center"/>
    </xf>
    <xf numFmtId="0" fontId="96" fillId="0" borderId="1" xfId="10" applyFont="1" applyBorder="1">
      <alignment vertical="center"/>
    </xf>
    <xf numFmtId="14" fontId="95" fillId="0" borderId="0" xfId="10" applyNumberFormat="1">
      <alignment vertical="center"/>
    </xf>
    <xf numFmtId="49" fontId="95" fillId="0" borderId="0" xfId="10" applyNumberFormat="1" applyFon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890;&#24030;&#32593;&#23433;&#22253;&#39033;&#30446;-0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不动产收益法-研发楼"/>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车库"/>
      <sheetName val="基准地价"/>
      <sheetName val="资料"/>
      <sheetName val="指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不动产收益法-研发楼</v>
          </cell>
        </row>
        <row r="23">
          <cell r="A23" t="str">
            <v>非燃品库房</v>
          </cell>
          <cell r="B23" t="str">
            <v>不动产收益法-地下车库</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研发楼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1">
          <cell r="B71" t="str">
            <v>用途</v>
          </cell>
          <cell r="C71" t="str">
            <v>工业M4</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ow r="19">
          <cell r="B19">
            <v>4064.34</v>
          </cell>
        </row>
      </sheetData>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资料"/>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26662.219999999998</v>
          </cell>
          <cell r="C14">
            <v>10677.25</v>
          </cell>
          <cell r="D14">
            <v>4321</v>
          </cell>
          <cell r="G14">
            <v>4321</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北京市出让国有建设用地使用权及在建建筑物房地产抵押价值预评估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受贵公司委托，我公司对北京市出让国有建设用地使用权及在建建筑物房地产抵押价值进行了预评估。</v>
      </c>
    </row>
    <row r="7" spans="1:2" s="1200" customFormat="1">
      <c r="A7" s="1198" t="s">
        <v>566</v>
      </c>
      <c r="B7" s="1199" t="str">
        <f>'预评函-1'!A7</f>
        <v>估价对象为北京市出让国有建设用地使用权及在建建筑物房地产，为所有。根据《国有土地使用证》[]，估价对象（分摊）出让国有建设用地使用权面积为17315.58平方米，建筑面积为27041.94平方米。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出让国有建设用地使用权及在建建筑物房地产,为开发建设的工业项目，该项目尚在开发建设中。根据《国有土地使用证》[]，估价对象（分摊）出让国有建设用地使用权面积为17315.58平方米，规划建筑面积为27041.94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2023年5月26日（评估专业人员实地查勘之日）</v>
      </c>
    </row>
    <row r="13" spans="1:2" s="1200" customFormat="1">
      <c r="A13" s="1198" t="s">
        <v>529</v>
      </c>
      <c r="B13" s="1199"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4588</v>
      </c>
    </row>
    <row r="21" spans="1:2" s="1200" customFormat="1">
      <c r="A21" s="1198" t="s">
        <v>537</v>
      </c>
      <c r="B21" s="1199">
        <f ca="1">'预评函-2'!D7</f>
        <v>1697</v>
      </c>
    </row>
    <row r="22" spans="1:2" s="1200" customFormat="1">
      <c r="A22" s="1198" t="s">
        <v>538</v>
      </c>
      <c r="B22" s="1199" t="str">
        <f ca="1">'预评函-2'!D6</f>
        <v>肆仟伍佰捌拾捌万元整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4588</v>
      </c>
    </row>
    <row r="31" spans="1:2" s="1200" customFormat="1">
      <c r="A31" s="1198" t="s">
        <v>576</v>
      </c>
      <c r="B31" s="1199">
        <f ca="1">'预评函-2'!D15</f>
        <v>1697</v>
      </c>
    </row>
    <row r="32" spans="1:2" s="1200" customFormat="1">
      <c r="A32" s="1198" t="s">
        <v>543</v>
      </c>
      <c r="B32" s="1199" t="str">
        <f ca="1">'预评函-2'!D14</f>
        <v>肆仟伍佰捌拾捌万元整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北京市出让国有建设用地使用权及在建建筑物房地产</v>
      </c>
    </row>
    <row r="42" spans="1:2" s="1200" customFormat="1">
      <c r="A42" s="1198" t="s">
        <v>590</v>
      </c>
      <c r="B42" s="1199" t="str">
        <f>'预评函-3'!B2</f>
        <v>建筑面积</v>
      </c>
    </row>
    <row r="43" spans="1:2" s="1200" customFormat="1">
      <c r="A43" s="1198" t="s">
        <v>591</v>
      </c>
      <c r="B43" s="1199">
        <f>'预评函-3'!B4</f>
        <v>27041.94</v>
      </c>
    </row>
    <row r="44" spans="1:2" s="1200" customFormat="1">
      <c r="A44" s="1198" t="s">
        <v>575</v>
      </c>
      <c r="B44" s="1199" t="str">
        <f>'预评函-3'!C2</f>
        <v>(分摊)土地面积</v>
      </c>
    </row>
    <row r="45" spans="1:2" s="1200" customFormat="1">
      <c r="A45" s="1198" t="s">
        <v>547</v>
      </c>
      <c r="B45" s="1199">
        <f>'预评函-3'!C4</f>
        <v>17315.580000000002</v>
      </c>
    </row>
    <row r="46" spans="1:2" s="1200" customFormat="1">
      <c r="A46" s="1198" t="s">
        <v>573</v>
      </c>
      <c r="B46" s="1199" t="str">
        <f>'预评函-3'!D2</f>
        <v>出让国有建设用地使用权价值</v>
      </c>
    </row>
    <row r="47" spans="1:2" s="1200" customFormat="1">
      <c r="A47" s="1198" t="s">
        <v>548</v>
      </c>
      <c r="B47" s="1199">
        <f ca="1">'预评函-3'!D4</f>
        <v>3657</v>
      </c>
    </row>
    <row r="48" spans="1:2" s="1200" customFormat="1">
      <c r="A48" s="1198" t="s">
        <v>549</v>
      </c>
      <c r="B48" s="1199">
        <f ca="1">'预评函-3'!E4</f>
        <v>1353</v>
      </c>
    </row>
    <row r="49" spans="1:2" s="1200" customFormat="1">
      <c r="A49" s="1198" t="s">
        <v>550</v>
      </c>
      <c r="B49" s="1199" t="str">
        <f ca="1">'预评函-3'!D5</f>
        <v>叁仟陆佰伍拾柒万元整</v>
      </c>
    </row>
    <row r="50" spans="1:2" s="1200" customFormat="1">
      <c r="A50" s="1198" t="s">
        <v>574</v>
      </c>
      <c r="B50" s="1199" t="str">
        <f>'预评函-3'!F2</f>
        <v>在建建筑物价值</v>
      </c>
    </row>
    <row r="51" spans="1:2" s="1200" customFormat="1">
      <c r="A51" s="1198" t="s">
        <v>551</v>
      </c>
      <c r="B51" s="1199">
        <f ca="1">'预评函-3'!F4</f>
        <v>931</v>
      </c>
    </row>
    <row r="52" spans="1:2" s="1200" customFormat="1">
      <c r="A52" s="1198" t="s">
        <v>552</v>
      </c>
      <c r="B52" s="1199">
        <f ca="1">'预评函-3'!G4</f>
        <v>344</v>
      </c>
    </row>
    <row r="53" spans="1:2" s="1200" customFormat="1">
      <c r="A53" s="1198" t="s">
        <v>580</v>
      </c>
      <c r="B53" s="1199" t="str">
        <f ca="1">'预评函-3'!F5</f>
        <v>玖佰叁拾壹万元整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3328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3329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3331</v>
      </c>
    </row>
    <row r="8" spans="1:23">
      <c r="A8" s="1543" t="s">
        <v>1026</v>
      </c>
      <c r="B8" s="1543" t="s">
        <v>1027</v>
      </c>
      <c r="C8" s="1544" t="s">
        <v>319</v>
      </c>
      <c r="F8" s="1545" t="s">
        <v>1028</v>
      </c>
      <c r="H8" s="1545" t="s">
        <v>2564</v>
      </c>
      <c r="I8" s="1545" t="s">
        <v>3332</v>
      </c>
    </row>
    <row r="9" spans="1:23">
      <c r="A9" s="1543" t="s">
        <v>1029</v>
      </c>
      <c r="B9" s="1543" t="s">
        <v>1030</v>
      </c>
      <c r="C9" s="1544" t="s">
        <v>320</v>
      </c>
      <c r="F9" s="1545" t="s">
        <v>1031</v>
      </c>
      <c r="H9" s="1545"/>
      <c r="I9" s="1548" t="s">
        <v>3333</v>
      </c>
    </row>
    <row r="10" spans="1:23">
      <c r="A10" s="1543" t="s">
        <v>1032</v>
      </c>
      <c r="B10" s="1543" t="s">
        <v>1033</v>
      </c>
      <c r="C10" s="1544" t="s">
        <v>321</v>
      </c>
      <c r="F10" s="1545" t="s">
        <v>2565</v>
      </c>
      <c r="I10" s="1548" t="s">
        <v>3334</v>
      </c>
    </row>
    <row r="11" spans="1:23">
      <c r="A11" s="1543" t="s">
        <v>1034</v>
      </c>
      <c r="B11" s="1543" t="s">
        <v>1035</v>
      </c>
      <c r="C11" s="1544" t="s">
        <v>322</v>
      </c>
      <c r="F11" s="1545" t="s">
        <v>13</v>
      </c>
      <c r="I11" s="1548" t="s">
        <v>3335</v>
      </c>
    </row>
    <row r="12" spans="1:23">
      <c r="A12" s="1543" t="s">
        <v>1036</v>
      </c>
      <c r="B12" s="1543" t="s">
        <v>1037</v>
      </c>
      <c r="C12" s="1544" t="s">
        <v>323</v>
      </c>
      <c r="I12" s="1548" t="s">
        <v>3336</v>
      </c>
    </row>
    <row r="13" spans="1:23">
      <c r="A13" s="1543" t="s">
        <v>1038</v>
      </c>
      <c r="B13" s="1543" t="s">
        <v>1039</v>
      </c>
      <c r="C13" s="1544" t="s">
        <v>324</v>
      </c>
      <c r="I13" s="1548" t="s">
        <v>3337</v>
      </c>
    </row>
    <row r="14" spans="1:23">
      <c r="A14" s="1543" t="s">
        <v>1040</v>
      </c>
      <c r="B14" s="1543" t="s">
        <v>1041</v>
      </c>
      <c r="C14" s="1545" t="s">
        <v>13</v>
      </c>
      <c r="I14" s="1548" t="s">
        <v>3338</v>
      </c>
    </row>
    <row r="15" spans="1:23">
      <c r="A15" s="1543" t="s">
        <v>1042</v>
      </c>
      <c r="B15" s="1543" t="s">
        <v>1043</v>
      </c>
      <c r="C15" s="1544"/>
      <c r="I15" s="1548" t="s">
        <v>3339</v>
      </c>
    </row>
    <row r="16" spans="1:23">
      <c r="A16" s="1543" t="s">
        <v>1044</v>
      </c>
      <c r="B16" s="1543" t="s">
        <v>312</v>
      </c>
      <c r="C16" s="1544"/>
    </row>
    <row r="17" spans="1:3">
      <c r="A17" s="1543" t="s">
        <v>1045</v>
      </c>
      <c r="B17" s="1543" t="s">
        <v>2277</v>
      </c>
      <c r="C17" s="1544"/>
    </row>
    <row r="18" spans="1:3">
      <c r="A18" s="1543" t="s">
        <v>1046</v>
      </c>
      <c r="B18" s="1543" t="s">
        <v>2420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1" t="s">
        <v>385</v>
      </c>
      <c r="C54" s="1548" t="s">
        <v>583</v>
      </c>
    </row>
    <row r="55" spans="1:4">
      <c r="A55" s="3508"/>
      <c r="B55" s="1551" t="s">
        <v>386</v>
      </c>
      <c r="C55" s="1548" t="s">
        <v>584</v>
      </c>
    </row>
    <row r="56" spans="1:4">
      <c r="A56" s="3508"/>
      <c r="B56" s="1551" t="s">
        <v>387</v>
      </c>
      <c r="C56" s="1548" t="s">
        <v>588</v>
      </c>
    </row>
    <row r="57" spans="1:4">
      <c r="A57" s="350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509" t="s">
        <v>2567</v>
      </c>
      <c r="J2" s="3509"/>
      <c r="K2" s="3509"/>
      <c r="L2" s="3509"/>
      <c r="M2" s="3509"/>
      <c r="N2" s="3509"/>
      <c r="O2" s="3509"/>
      <c r="P2" s="3509"/>
      <c r="Q2" s="3509"/>
      <c r="R2" s="3509"/>
    </row>
    <row r="3" spans="1:18">
      <c r="A3" s="3011" t="s">
        <v>2488</v>
      </c>
      <c r="B3" s="3012">
        <f>项目基本情况!D3</f>
        <v>45072</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3.56</v>
      </c>
      <c r="D5" s="3016">
        <f>IF(ISERROR(ROUND(POWER(1+E5,A5-C5)*(POWER(1+E5,C5)-1)/(POWER(1+E5,A5)-1),3)),0,ROUND(POWER(1+E5,A5-C5)*(POWER(1+E5,C5)-1)/(POWER(1+E5,A5)-1),4))</f>
        <v>0.1646</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13.57</v>
      </c>
      <c r="D6" s="3016">
        <f>IF(ISERROR(ROUND(POWER(1+E6,A6-C6)*(POWER(1+E6,C6)-1)/(POWER(1+E6,A6)-1),3)),0,ROUND(POWER(1+E6,A6-C6)*(POWER(1+E6,C6)-1)/(POWER(1+E6,A6)-1),4))</f>
        <v>0.4803</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33.590000000000003</v>
      </c>
      <c r="D7" s="3016">
        <f>IF(ISERROR(ROUND(POWER(1+E7,A7-C7)*(POWER(1+E7,C7)-1)/(POWER(1+E7,A7)-1),3)),0,ROUND(POWER(1+E7,A7-C7)*(POWER(1+E7,C7)-1)/(POWER(1+E7,A7)-1),4))</f>
        <v>0.78239999999999998</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O25" sqref="O2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2165</v>
      </c>
      <c r="B1" s="351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511"/>
      <c r="D1" s="3511"/>
      <c r="E1" s="3511"/>
      <c r="F1" s="3511"/>
      <c r="G1" s="3511"/>
      <c r="H1" s="3511"/>
      <c r="I1" s="3512"/>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742"/>
      <c r="U1" s="1742"/>
      <c r="V1" s="1742"/>
      <c r="W1" s="1742"/>
      <c r="X1" s="1742"/>
      <c r="Y1" s="1742"/>
      <c r="Z1" s="1742"/>
      <c r="AA1" s="1742"/>
      <c r="AB1" s="1742"/>
    </row>
    <row r="2" spans="1:30">
      <c r="A2" s="2363" t="s">
        <v>2166</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北京市出让国有建设用地使用权及在建建筑物房地产</v>
      </c>
      <c r="T2" s="1742"/>
      <c r="U2" s="1742"/>
      <c r="V2" s="1742"/>
      <c r="W2" s="1742"/>
      <c r="X2" s="1742"/>
      <c r="Y2" s="1742"/>
      <c r="Z2" s="1742"/>
      <c r="AA2" s="1742"/>
      <c r="AB2" s="1742"/>
    </row>
    <row r="3" spans="1:30">
      <c r="A3" s="302" t="s">
        <v>2167</v>
      </c>
      <c r="B3" s="2369">
        <v>45072</v>
      </c>
      <c r="C3" s="2370" t="s">
        <v>2168</v>
      </c>
      <c r="D3" s="2369">
        <f>B3</f>
        <v>45072</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2169</v>
      </c>
      <c r="B4" s="2371" t="s">
        <v>3361</v>
      </c>
      <c r="C4" s="2372">
        <f ca="1">SUMIF(注册房地产估价师,B4,估价师及机构信息!B3:B24)</f>
        <v>1120100036</v>
      </c>
      <c r="D4" s="3441" t="s">
        <v>3362</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2170</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2171</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2172</v>
      </c>
      <c r="B7" s="2383"/>
      <c r="C7" s="2381"/>
      <c r="D7" s="2382"/>
      <c r="E7" s="2653"/>
      <c r="F7" s="2655"/>
      <c r="G7" s="2655"/>
      <c r="H7" s="2655"/>
      <c r="I7" s="2655"/>
      <c r="J7" s="2435"/>
      <c r="K7" s="2607"/>
      <c r="L7" s="2604"/>
      <c r="M7" s="2604"/>
      <c r="N7" s="2435"/>
      <c r="O7" s="2446"/>
      <c r="P7" s="2435"/>
      <c r="Q7" s="2435"/>
      <c r="R7" s="2435"/>
    </row>
    <row r="8" spans="1:30">
      <c r="A8" s="2384" t="s">
        <v>2173</v>
      </c>
      <c r="B8" s="2385" t="s">
        <v>3363</v>
      </c>
      <c r="C8" s="2386"/>
      <c r="D8" s="3513" t="s">
        <v>2174</v>
      </c>
      <c r="E8" s="2387" t="s">
        <v>3364</v>
      </c>
      <c r="F8" s="2388"/>
      <c r="G8" s="2654"/>
      <c r="H8" s="2654"/>
      <c r="I8" s="2654"/>
      <c r="J8" s="2435"/>
      <c r="K8" s="2605"/>
      <c r="L8" s="2604"/>
      <c r="M8" s="2604"/>
      <c r="N8" s="2435"/>
      <c r="O8" s="2446"/>
      <c r="P8" s="2435"/>
      <c r="Q8" s="2435"/>
      <c r="R8" s="2435"/>
    </row>
    <row r="9" spans="1:30" ht="13.5" thickBot="1">
      <c r="A9" s="2389" t="s">
        <v>2175</v>
      </c>
      <c r="B9" s="2390" t="s">
        <v>3364</v>
      </c>
      <c r="C9" s="2391"/>
      <c r="D9" s="3514"/>
      <c r="E9" s="2390" t="s">
        <v>43</v>
      </c>
      <c r="F9" s="2392"/>
      <c r="G9" s="2656"/>
      <c r="H9" s="2656"/>
      <c r="I9" s="2656"/>
      <c r="J9" s="2435"/>
      <c r="K9" s="2607"/>
      <c r="L9" s="2604"/>
      <c r="M9" s="2604"/>
      <c r="N9" s="2435"/>
      <c r="O9" s="2446"/>
      <c r="P9" s="2435"/>
      <c r="Q9" s="2435"/>
      <c r="R9" s="2435"/>
    </row>
    <row r="10" spans="1:30" ht="13.5" thickTop="1">
      <c r="A10" s="2393" t="s">
        <v>2176</v>
      </c>
      <c r="B10" s="2394" t="s">
        <v>3365</v>
      </c>
      <c r="C10" s="2395"/>
      <c r="D10" s="2378"/>
      <c r="E10" s="2396" t="s">
        <v>2177</v>
      </c>
      <c r="F10" s="2657"/>
      <c r="G10" s="2658"/>
      <c r="H10" s="2659"/>
      <c r="I10" s="2660"/>
      <c r="J10" s="2435"/>
      <c r="K10" s="2607"/>
      <c r="L10" s="2604"/>
      <c r="M10" s="2604"/>
      <c r="N10" s="2435"/>
      <c r="O10" s="2446"/>
      <c r="P10" s="2435"/>
      <c r="Q10" s="2435"/>
      <c r="R10" s="2435"/>
    </row>
    <row r="11" spans="1:30">
      <c r="A11" s="2397" t="s">
        <v>2178</v>
      </c>
      <c r="B11" s="2398" t="s">
        <v>3366</v>
      </c>
      <c r="C11" s="2399"/>
      <c r="D11" s="2400"/>
      <c r="E11" s="2366"/>
      <c r="F11" s="2366"/>
      <c r="G11" s="2366"/>
      <c r="H11" s="2366"/>
      <c r="I11" s="2366"/>
      <c r="J11" s="3052"/>
      <c r="K11" s="3051"/>
      <c r="L11" s="2604"/>
      <c r="M11" s="2604"/>
      <c r="N11" s="2435"/>
      <c r="O11" s="2446"/>
      <c r="P11" s="2435"/>
      <c r="Q11" s="2435"/>
      <c r="R11" s="2435"/>
    </row>
    <row r="12" spans="1:30">
      <c r="A12" s="2401" t="s">
        <v>2179</v>
      </c>
      <c r="B12" s="323" t="s">
        <v>2180</v>
      </c>
      <c r="C12" s="2402" t="s">
        <v>2181</v>
      </c>
      <c r="D12" s="2402" t="s">
        <v>2182</v>
      </c>
      <c r="E12" s="2402" t="s">
        <v>2183</v>
      </c>
      <c r="F12" s="2402" t="s">
        <v>2184</v>
      </c>
      <c r="G12" s="2402" t="s">
        <v>2185</v>
      </c>
      <c r="H12" s="2402" t="s">
        <v>2186</v>
      </c>
      <c r="I12" s="3050" t="s">
        <v>2563</v>
      </c>
      <c r="J12" s="3053"/>
      <c r="K12" s="2604"/>
      <c r="L12" s="2604"/>
      <c r="M12" s="2435"/>
      <c r="N12" s="2446"/>
      <c r="O12" s="2435"/>
      <c r="P12" s="2435"/>
      <c r="Q12" s="2435"/>
      <c r="AD12" s="1742"/>
    </row>
    <row r="13" spans="1:30">
      <c r="A13" s="3414" t="s">
        <v>3321</v>
      </c>
      <c r="B13" s="2403" t="s">
        <v>2187</v>
      </c>
      <c r="C13" s="853"/>
      <c r="D13" s="853"/>
      <c r="E13" s="853"/>
      <c r="F13" s="853">
        <f>H13</f>
        <v>51718</v>
      </c>
      <c r="G13" s="853"/>
      <c r="H13" s="853">
        <v>51718</v>
      </c>
      <c r="I13" s="853"/>
      <c r="J13" s="3053"/>
      <c r="K13" s="2604"/>
      <c r="L13" s="2604"/>
      <c r="M13" s="2435"/>
      <c r="N13" s="2446"/>
      <c r="O13" s="2435"/>
      <c r="P13" s="2435"/>
      <c r="Q13" s="2435"/>
      <c r="AD13" s="1742"/>
    </row>
    <row r="14" spans="1:30">
      <c r="A14" s="1078"/>
      <c r="B14" s="2403" t="s">
        <v>2188</v>
      </c>
      <c r="C14" s="2404">
        <v>70</v>
      </c>
      <c r="D14" s="2404">
        <v>40</v>
      </c>
      <c r="E14" s="2404">
        <v>50</v>
      </c>
      <c r="F14" s="2404">
        <v>20</v>
      </c>
      <c r="G14" s="2404">
        <v>50</v>
      </c>
      <c r="H14" s="2404">
        <v>20</v>
      </c>
      <c r="I14" s="2404">
        <v>50</v>
      </c>
      <c r="J14" s="3054"/>
      <c r="K14" s="2604"/>
      <c r="L14" s="2604"/>
      <c r="M14" s="2435"/>
      <c r="N14" s="2446"/>
      <c r="O14" s="2435"/>
      <c r="P14" s="2435"/>
      <c r="Q14" s="2435"/>
      <c r="AD14" s="1742"/>
    </row>
    <row r="15" spans="1:30">
      <c r="A15" s="320"/>
      <c r="B15" s="2405" t="s">
        <v>2189</v>
      </c>
      <c r="C15" s="2406" t="str">
        <f>IF(A13="出让",IF(C13="","",ROUNDDOWN(MIN((C13-$D$3)/365,C14),2)),C14)</f>
        <v/>
      </c>
      <c r="D15" s="2406" t="str">
        <f>IF(A13="出让",IF(D13="","",ROUNDDOWN(MIN((D13-$D$3)/365,D14),2)),D14)</f>
        <v/>
      </c>
      <c r="E15" s="2406" t="str">
        <f>IF(A13="出让",IF(E13="","",ROUNDDOWN(MIN((E13-$D$3)/365,E14),2)),E14)</f>
        <v/>
      </c>
      <c r="F15" s="2406">
        <f>IF(A13="出让",IF(F13="","",ROUNDDOWN(MIN((F13-$D$3)/365,F14),2)),F14)</f>
        <v>18.2</v>
      </c>
      <c r="G15" s="2406" t="str">
        <f>IF(A13="出让",IF(G13="","",ROUNDDOWN(MIN((G13-$D$3)/365,G14),2)),G14)</f>
        <v/>
      </c>
      <c r="H15" s="2406">
        <f>IF(A13="出让",IF(H13="","",ROUNDDOWN(MIN((H13-$D$3)/365,H14),2)),H14)</f>
        <v>18.2</v>
      </c>
      <c r="I15" s="2406" t="str">
        <f>IF(A13="出让",IF(I13="","",ROUNDDOWN(MIN((I13-$D$3)/365,I14),2)),I14)</f>
        <v/>
      </c>
      <c r="J15" s="3055"/>
      <c r="K15" s="2447"/>
      <c r="L15" s="2447"/>
      <c r="M15" s="2500"/>
      <c r="N15" s="2447"/>
      <c r="O15" s="2500"/>
      <c r="P15" s="2435"/>
      <c r="Q15" s="2435"/>
      <c r="AD15" s="1742"/>
    </row>
    <row r="16" spans="1:30">
      <c r="A16" s="2396" t="s">
        <v>2190</v>
      </c>
      <c r="B16" s="3520"/>
      <c r="C16" s="3521"/>
      <c r="D16" s="3522"/>
      <c r="E16" s="2409" t="s">
        <v>2191</v>
      </c>
      <c r="F16" s="3523"/>
      <c r="G16" s="3524"/>
      <c r="H16" s="3524"/>
      <c r="I16" s="3525"/>
      <c r="J16" s="2435"/>
      <c r="K16" s="2608"/>
      <c r="L16" s="2447"/>
      <c r="M16" s="2447"/>
      <c r="N16" s="2500"/>
      <c r="O16" s="2447"/>
      <c r="P16" s="2500"/>
      <c r="Q16" s="2435"/>
      <c r="R16" s="2435"/>
    </row>
    <row r="17" spans="1:28">
      <c r="A17" s="313" t="s">
        <v>2192</v>
      </c>
      <c r="B17" s="302" t="s">
        <v>2193</v>
      </c>
      <c r="C17" s="8">
        <f>'数据-汇总表'!E3</f>
        <v>27041.94</v>
      </c>
      <c r="D17" s="2318" t="s">
        <v>2194</v>
      </c>
      <c r="E17" s="3526" t="s">
        <v>2195</v>
      </c>
      <c r="F17" s="3527"/>
      <c r="G17" s="3527"/>
      <c r="H17" s="3527"/>
      <c r="I17" s="3528"/>
      <c r="J17" s="2435"/>
      <c r="K17" s="2609"/>
      <c r="L17" s="2447"/>
      <c r="M17" s="2447"/>
      <c r="N17" s="2500"/>
      <c r="O17" s="2447"/>
      <c r="P17" s="2500"/>
      <c r="Q17" s="2435"/>
      <c r="R17" s="2435"/>
      <c r="S17" s="2435"/>
      <c r="T17" s="2435"/>
      <c r="U17" s="2435"/>
      <c r="V17" s="2435"/>
    </row>
    <row r="18" spans="1:28" ht="26.25" thickBot="1">
      <c r="A18" s="2410" t="s">
        <v>3367</v>
      </c>
      <c r="B18" s="1087" t="s">
        <v>2196</v>
      </c>
      <c r="C18" s="2411">
        <f>'数据-汇总表'!D3</f>
        <v>17315.580000000002</v>
      </c>
      <c r="D18" s="1089" t="s">
        <v>2197</v>
      </c>
      <c r="E18" s="3529" t="s">
        <v>2198</v>
      </c>
      <c r="F18" s="3530"/>
      <c r="G18" s="3530"/>
      <c r="H18" s="3530"/>
      <c r="I18" s="3531"/>
      <c r="J18" s="2435"/>
      <c r="K18" s="2609"/>
      <c r="L18" s="2447"/>
      <c r="M18" s="2447"/>
      <c r="N18" s="2500"/>
      <c r="O18" s="2447"/>
      <c r="P18" s="2500"/>
      <c r="Q18" s="2435"/>
      <c r="R18" s="2435"/>
      <c r="S18" s="2435"/>
      <c r="T18" s="2435"/>
      <c r="U18" s="2435"/>
      <c r="V18" s="2435"/>
    </row>
    <row r="19" spans="1:28" ht="37.5" thickTop="1" thickBot="1">
      <c r="A19" s="327" t="s">
        <v>1055</v>
      </c>
      <c r="B19" s="307" t="s">
        <v>2199</v>
      </c>
      <c r="C19" s="1560"/>
      <c r="D19" s="1561" t="s">
        <v>2200</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2201</v>
      </c>
      <c r="B20" s="3516" t="s">
        <v>2202</v>
      </c>
      <c r="C20" s="3517"/>
      <c r="D20" s="3518" t="s">
        <v>2203</v>
      </c>
      <c r="E20" s="3519"/>
      <c r="F20" s="2638" t="s">
        <v>1056</v>
      </c>
      <c r="G20" s="2655"/>
      <c r="H20" s="2655"/>
      <c r="I20" s="2655"/>
      <c r="J20" s="2435"/>
      <c r="K20" s="3515" t="s">
        <v>2204</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3368</v>
      </c>
      <c r="C21" s="2625" t="s">
        <v>3546</v>
      </c>
      <c r="D21" s="1565"/>
      <c r="E21" s="2626"/>
      <c r="F21" s="2639"/>
      <c r="G21" s="2655"/>
      <c r="H21" s="2655"/>
      <c r="I21" s="2655"/>
      <c r="J21" s="2435"/>
      <c r="K21" s="351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13.5" thickBot="1">
      <c r="A22" s="2623"/>
      <c r="B22" s="2627"/>
      <c r="C22" s="2625"/>
      <c r="D22" s="2654"/>
      <c r="E22" s="2654"/>
      <c r="F22" s="2654"/>
      <c r="G22" s="2655"/>
      <c r="H22" s="2655"/>
      <c r="I22" s="2655"/>
      <c r="J22" s="2435"/>
      <c r="K22" s="351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2205</v>
      </c>
      <c r="B23" s="2493" t="s">
        <v>2206</v>
      </c>
      <c r="C23" s="2629"/>
      <c r="D23" s="2630" t="s">
        <v>2206</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1057</v>
      </c>
      <c r="C24" s="2632"/>
      <c r="D24" s="2628" t="s">
        <v>1057</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1058</v>
      </c>
      <c r="C25" s="2632"/>
      <c r="D25" s="2628" t="s">
        <v>1058</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1059</v>
      </c>
      <c r="C26" s="2636"/>
      <c r="D26" s="2634" t="s">
        <v>1059</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33" t="s">
        <v>2207</v>
      </c>
      <c r="B27" s="320" t="s">
        <v>2208</v>
      </c>
      <c r="C27" s="2412" t="s">
        <v>3547</v>
      </c>
      <c r="D27" s="2413"/>
      <c r="E27" s="2655"/>
      <c r="F27" s="2655"/>
      <c r="G27" s="2655"/>
      <c r="H27" s="2655"/>
      <c r="I27" s="2655"/>
      <c r="J27" s="2435"/>
      <c r="K27" s="2608"/>
      <c r="L27" s="2447"/>
      <c r="M27" s="2447"/>
      <c r="N27" s="2500"/>
      <c r="O27" s="2447"/>
      <c r="P27" s="2500"/>
      <c r="Q27" s="2435"/>
      <c r="R27" s="2435"/>
      <c r="S27" s="2435"/>
      <c r="T27" s="2435"/>
      <c r="U27" s="2435"/>
      <c r="V27" s="2435"/>
    </row>
    <row r="28" spans="1:28">
      <c r="A28" s="3533"/>
      <c r="B28" s="302" t="s">
        <v>2209</v>
      </c>
      <c r="C28" s="2414" t="s">
        <v>3369</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33"/>
      <c r="B29" s="302" t="s">
        <v>2210</v>
      </c>
      <c r="C29" s="2416" t="s">
        <v>3370</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34"/>
      <c r="B30" s="302" t="s">
        <v>2211</v>
      </c>
      <c r="C30" s="3535"/>
      <c r="D30" s="3536"/>
      <c r="E30" s="2655"/>
      <c r="F30" s="2655"/>
      <c r="G30" s="2655"/>
      <c r="H30" s="2655"/>
      <c r="I30" s="2655"/>
      <c r="J30" s="2435"/>
      <c r="K30" s="2607"/>
      <c r="L30" s="2604"/>
      <c r="M30" s="2604"/>
      <c r="N30" s="2435"/>
      <c r="O30" s="2446"/>
      <c r="P30" s="2435"/>
      <c r="Q30" s="2435"/>
      <c r="R30" s="2435"/>
      <c r="S30" s="2435"/>
      <c r="T30" s="2435"/>
      <c r="U30" s="2435"/>
      <c r="V30" s="2435"/>
    </row>
    <row r="31" spans="1:28">
      <c r="A31" s="3537" t="s">
        <v>2212</v>
      </c>
      <c r="B31" s="2418"/>
      <c r="C31" s="2319" t="str">
        <f>IF(B31="现房","成新及维护状况正常否",IF(B31="在建","工程状态是否正常",IF(B31="土地","是否闲置","-")))</f>
        <v>-</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38"/>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38"/>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2213</v>
      </c>
      <c r="B34" s="2022" t="s">
        <v>3371</v>
      </c>
      <c r="C34" s="2022" t="s">
        <v>3372</v>
      </c>
      <c r="D34" s="2022" t="s">
        <v>3373</v>
      </c>
      <c r="E34" s="2022" t="s">
        <v>3374</v>
      </c>
      <c r="F34" s="2022" t="s">
        <v>3375</v>
      </c>
      <c r="G34" s="2022" t="s">
        <v>3376</v>
      </c>
      <c r="H34" s="2022"/>
      <c r="I34" s="2655"/>
      <c r="J34" s="2435"/>
      <c r="K34" s="2423">
        <f>COUNTIF(B34:H34,"——")</f>
        <v>0</v>
      </c>
      <c r="L34" s="323" t="s">
        <v>2214</v>
      </c>
      <c r="M34" s="323" t="s">
        <v>2215</v>
      </c>
      <c r="N34" s="323" t="s">
        <v>2216</v>
      </c>
      <c r="O34" s="323" t="s">
        <v>2217</v>
      </c>
      <c r="P34" s="323" t="s">
        <v>2218</v>
      </c>
      <c r="Q34" s="323" t="s">
        <v>2219</v>
      </c>
      <c r="R34" s="323" t="s">
        <v>2220</v>
      </c>
      <c r="S34" s="3532" t="s">
        <v>2221</v>
      </c>
      <c r="T34" s="2424" t="str">
        <f>NUMBERSTRING(7-K34,1)&amp;"通"</f>
        <v>七通</v>
      </c>
      <c r="U34" s="2435"/>
      <c r="V34" s="2435"/>
    </row>
    <row r="35" spans="1:30">
      <c r="A35" s="2425"/>
      <c r="B35" s="3539" t="s">
        <v>2222</v>
      </c>
      <c r="C35" s="3539"/>
      <c r="D35" s="3539"/>
      <c r="E35" s="3539"/>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5"/>
      <c r="V35" s="2435"/>
    </row>
    <row r="36" spans="1:30">
      <c r="A36" s="2426"/>
      <c r="B36" s="661" t="s">
        <v>2182</v>
      </c>
      <c r="C36" s="661" t="s">
        <v>2183</v>
      </c>
      <c r="D36" s="661" t="s">
        <v>2181</v>
      </c>
      <c r="E36" s="661" t="s">
        <v>2186</v>
      </c>
      <c r="F36" s="3056" t="s">
        <v>2566</v>
      </c>
      <c r="G36" s="2655"/>
      <c r="H36" s="2655"/>
      <c r="I36" s="2655"/>
      <c r="J36" s="2435"/>
      <c r="K36" s="2607"/>
      <c r="L36" s="2604"/>
      <c r="M36" s="2604"/>
      <c r="N36" s="2435"/>
      <c r="O36" s="2446"/>
      <c r="P36" s="2435"/>
      <c r="Q36" s="2435"/>
      <c r="R36" s="2435"/>
      <c r="S36" s="2435"/>
      <c r="T36" s="2435"/>
      <c r="U36" s="2435"/>
      <c r="V36" s="2435"/>
    </row>
    <row r="37" spans="1:30">
      <c r="A37" s="2621" t="s">
        <v>2223</v>
      </c>
      <c r="B37" s="2427"/>
      <c r="C37" s="2427"/>
      <c r="D37" s="2427"/>
      <c r="E37" s="2427" t="s">
        <v>305</v>
      </c>
      <c r="F37" s="2427"/>
      <c r="G37" s="2655"/>
      <c r="H37" s="2655"/>
      <c r="I37" s="2655"/>
      <c r="J37" s="2435"/>
      <c r="K37" s="2607"/>
      <c r="L37" s="2604"/>
      <c r="M37" s="2604"/>
      <c r="N37" s="2435"/>
      <c r="O37" s="2446"/>
      <c r="P37" s="2435"/>
      <c r="Q37" s="2435"/>
      <c r="R37" s="2435"/>
      <c r="S37" s="2435"/>
      <c r="T37" s="2435"/>
      <c r="U37" s="2435"/>
      <c r="V37" s="2435"/>
    </row>
    <row r="38" spans="1:30" ht="24" customHeight="1" thickBot="1">
      <c r="A38" s="2622" t="s">
        <v>2224</v>
      </c>
      <c r="B38" s="2428"/>
      <c r="C38" s="2428"/>
      <c r="D38" s="2428"/>
      <c r="E38" s="2428" t="s">
        <v>3548</v>
      </c>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2226</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2227</v>
      </c>
      <c r="B42" s="8" t="s">
        <v>2228</v>
      </c>
      <c r="C42" s="8" t="s">
        <v>2229</v>
      </c>
      <c r="D42" s="8" t="s">
        <v>2230</v>
      </c>
      <c r="E42" s="8" t="s">
        <v>2231</v>
      </c>
      <c r="F42" s="8" t="s">
        <v>2232</v>
      </c>
      <c r="G42" s="8" t="s">
        <v>2233</v>
      </c>
      <c r="H42" s="8" t="s">
        <v>2234</v>
      </c>
      <c r="I42" s="8" t="s">
        <v>2235</v>
      </c>
      <c r="J42" s="2617" t="s">
        <v>2236</v>
      </c>
      <c r="K42" s="2618" t="s">
        <v>2237</v>
      </c>
      <c r="L42" s="2618" t="s">
        <v>2238</v>
      </c>
      <c r="M42" s="2618" t="s">
        <v>2239</v>
      </c>
      <c r="N42" s="2611" t="s">
        <v>2240</v>
      </c>
      <c r="O42" s="2611" t="s">
        <v>2241</v>
      </c>
      <c r="P42" s="2611" t="s">
        <v>2242</v>
      </c>
      <c r="Q42" s="2612" t="s">
        <v>2243</v>
      </c>
      <c r="R42" s="2612" t="s">
        <v>2244</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J24" sqref="J2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资料!B3</f>
        <v>17315.577000000001</v>
      </c>
      <c r="B3" s="11">
        <f>IF(C3="否",G5-AT5,G5)</f>
        <v>27041.94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28950.09</v>
      </c>
      <c r="H5" s="13">
        <f t="shared" ref="H5:AT5" si="0">SUM(H13:H656)</f>
        <v>25270.32</v>
      </c>
      <c r="I5" s="13">
        <f t="shared" si="0"/>
        <v>20593.5</v>
      </c>
      <c r="J5" s="13">
        <f t="shared" si="0"/>
        <v>0</v>
      </c>
      <c r="K5" s="13">
        <f t="shared" si="0"/>
        <v>4676.82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1771.62</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v>
      </c>
      <c r="AM5" s="13">
        <f t="shared" si="0"/>
        <v>0</v>
      </c>
      <c r="AN5" s="13">
        <f t="shared" si="0"/>
        <v>1636.62</v>
      </c>
      <c r="AO5" s="13">
        <f t="shared" si="0"/>
        <v>0</v>
      </c>
      <c r="AP5" s="13">
        <f t="shared" si="0"/>
        <v>0</v>
      </c>
      <c r="AQ5" s="13">
        <f t="shared" si="0"/>
        <v>0</v>
      </c>
      <c r="AR5" s="13">
        <f t="shared" si="0"/>
        <v>0</v>
      </c>
      <c r="AS5" s="13">
        <f t="shared" si="0"/>
        <v>0</v>
      </c>
      <c r="AT5" s="13">
        <f t="shared" si="0"/>
        <v>1908.15</v>
      </c>
      <c r="AU5" s="1343"/>
      <c r="AV5" s="12" t="s">
        <v>1069</v>
      </c>
      <c r="AW5" s="1344"/>
      <c r="AX5" s="1344"/>
      <c r="AY5" s="14" t="s">
        <v>2</v>
      </c>
      <c r="AZ5" s="15">
        <f t="shared" ref="AZ5:BT5" si="1">SUM(AZ13:AZ656)</f>
        <v>27041.94</v>
      </c>
      <c r="BA5" s="15">
        <f t="shared" si="1"/>
        <v>25270.32</v>
      </c>
      <c r="BB5" s="15">
        <f t="shared" si="1"/>
        <v>20593.5</v>
      </c>
      <c r="BC5" s="15">
        <f t="shared" si="1"/>
        <v>4676.82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1771.62</v>
      </c>
      <c r="BM5" s="15">
        <f t="shared" si="1"/>
        <v>0</v>
      </c>
      <c r="BN5" s="15">
        <f t="shared" si="1"/>
        <v>0</v>
      </c>
      <c r="BO5" s="15">
        <f t="shared" si="1"/>
        <v>0</v>
      </c>
      <c r="BP5" s="15">
        <f t="shared" si="1"/>
        <v>0</v>
      </c>
      <c r="BQ5" s="15">
        <f t="shared" si="1"/>
        <v>135</v>
      </c>
      <c r="BR5" s="15">
        <f t="shared" si="1"/>
        <v>1636.62</v>
      </c>
      <c r="BS5" s="15">
        <f t="shared" si="1"/>
        <v>0</v>
      </c>
      <c r="BT5" s="16">
        <f t="shared" si="1"/>
        <v>0</v>
      </c>
    </row>
    <row r="6" spans="1:72" s="1586" customFormat="1" ht="12.75">
      <c r="A6" s="12" t="s">
        <v>1070</v>
      </c>
      <c r="B6" s="1583"/>
      <c r="C6" s="1583"/>
      <c r="D6" s="1584"/>
      <c r="E6" s="13">
        <f>H6+AC6+AT6</f>
        <v>17315.580000000002</v>
      </c>
      <c r="F6" s="13" t="s">
        <v>0</v>
      </c>
      <c r="G6" s="13" t="s">
        <v>1</v>
      </c>
      <c r="H6" s="17">
        <f>SUMIF(I$12:AB$12,"总值",I6:AB6)</f>
        <v>16181.17</v>
      </c>
      <c r="I6" s="13">
        <f t="shared" ref="I6:AB6" si="2">ROUND($A$3*I5/$B$3,2)</f>
        <v>13186.49</v>
      </c>
      <c r="J6" s="13">
        <f t="shared" si="2"/>
        <v>0</v>
      </c>
      <c r="K6" s="13">
        <f t="shared" si="2"/>
        <v>2994.68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1134.4100000000001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86.44</v>
      </c>
      <c r="AM6" s="13">
        <f t="shared" si="3"/>
        <v>0</v>
      </c>
      <c r="AN6" s="13">
        <f t="shared" si="3"/>
        <v>1047.97</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17315.580000000002</v>
      </c>
      <c r="AZ6" s="13" t="s">
        <v>2</v>
      </c>
      <c r="BA6" s="13">
        <f>ROUND($AY$6*BA5/$AZ$5,2)</f>
        <v>16181.17</v>
      </c>
      <c r="BB6" s="13">
        <f>ROUND($AY$6*BB5/$AZ$5,2)</f>
        <v>13186.49</v>
      </c>
      <c r="BC6" s="13">
        <f t="shared" ref="BC6:BH6" si="4">ROUND($AY$6*BC5/$AZ$5,2)</f>
        <v>2994.68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1134.4100000000001</v>
      </c>
      <c r="BM6" s="13">
        <f t="shared" si="5"/>
        <v>0</v>
      </c>
      <c r="BN6" s="13">
        <f t="shared" si="5"/>
        <v>0</v>
      </c>
      <c r="BO6" s="13">
        <f t="shared" si="5"/>
        <v>0</v>
      </c>
      <c r="BP6" s="13">
        <f t="shared" si="5"/>
        <v>0</v>
      </c>
      <c r="BQ6" s="13">
        <f t="shared" si="5"/>
        <v>86.44</v>
      </c>
      <c r="BR6" s="13">
        <f t="shared" si="5"/>
        <v>1047.97</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1089</v>
      </c>
      <c r="I9" s="1600" t="s">
        <v>3664</v>
      </c>
      <c r="J9" s="806"/>
      <c r="K9" s="1600" t="s">
        <v>3529</v>
      </c>
      <c r="L9" s="806"/>
      <c r="M9" s="1600"/>
      <c r="N9" s="806"/>
      <c r="O9" s="1600"/>
      <c r="P9" s="806"/>
      <c r="Q9" s="1600"/>
      <c r="R9" s="806"/>
      <c r="S9" s="1600"/>
      <c r="T9" s="806"/>
      <c r="U9" s="1600"/>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3322</v>
      </c>
      <c r="L10" s="806"/>
      <c r="M10" s="1606"/>
      <c r="N10" s="806"/>
      <c r="O10" s="1606"/>
      <c r="P10" s="806"/>
      <c r="Q10" s="1606"/>
      <c r="R10" s="806"/>
      <c r="S10" s="1606"/>
      <c r="T10" s="806"/>
      <c r="U10" s="1606"/>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3665</v>
      </c>
      <c r="J11" s="1612"/>
      <c r="K11" s="1611" t="s">
        <v>3322</v>
      </c>
      <c r="L11" s="1612"/>
      <c r="M11" s="1611"/>
      <c r="N11" s="1612"/>
      <c r="O11" s="1611"/>
      <c r="P11" s="1612"/>
      <c r="Q11" s="1611"/>
      <c r="R11" s="1612"/>
      <c r="S11" s="1611"/>
      <c r="T11" s="1612"/>
      <c r="U11" s="1611"/>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车库</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办公楼</v>
      </c>
      <c r="BC12" s="1621" t="str">
        <f>K11</f>
        <v>车库</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3377</v>
      </c>
      <c r="E13" s="13">
        <f>IF($C$3="是",ROUND($A$3*G13/$B$3,2),ROUND($A$3*(G13-AT13)/$B$3,2))</f>
        <v>17315.580000000002</v>
      </c>
      <c r="F13" s="29"/>
      <c r="G13" s="30">
        <f>H13+AC13+AT13</f>
        <v>28950.09</v>
      </c>
      <c r="H13" s="17">
        <f>SUMIF(I$12:AB$12,"总值",I13:AB13)</f>
        <v>25270.32</v>
      </c>
      <c r="I13" s="1623">
        <f>指标!C12</f>
        <v>20593.5</v>
      </c>
      <c r="J13" s="1623"/>
      <c r="K13" s="1623">
        <f>指标!D13</f>
        <v>4676.82</v>
      </c>
      <c r="L13" s="1623"/>
      <c r="M13" s="1623"/>
      <c r="N13" s="1623"/>
      <c r="O13" s="1623"/>
      <c r="P13" s="1623"/>
      <c r="Q13" s="1623"/>
      <c r="R13" s="1623"/>
      <c r="S13" s="1623"/>
      <c r="T13" s="1623"/>
      <c r="U13" s="1623"/>
      <c r="V13" s="1623"/>
      <c r="W13" s="1623"/>
      <c r="X13" s="1623"/>
      <c r="Y13" s="1623"/>
      <c r="Z13" s="1623"/>
      <c r="AA13" s="1623"/>
      <c r="AB13" s="1623"/>
      <c r="AC13" s="13">
        <f>SUMIF(AD$12:AS$12,"总值",AD13:AS13)</f>
        <v>1771.62</v>
      </c>
      <c r="AD13" s="1624"/>
      <c r="AE13" s="1624"/>
      <c r="AF13" s="1624"/>
      <c r="AG13" s="1624"/>
      <c r="AH13" s="1624"/>
      <c r="AI13" s="1624"/>
      <c r="AJ13" s="1624"/>
      <c r="AK13" s="1624"/>
      <c r="AL13" s="1624">
        <f>指标!C14</f>
        <v>135</v>
      </c>
      <c r="AM13" s="1624"/>
      <c r="AN13" s="1624">
        <f>指标!D14</f>
        <v>1636.62</v>
      </c>
      <c r="AO13" s="1624"/>
      <c r="AP13" s="1624"/>
      <c r="AQ13" s="1624"/>
      <c r="AR13" s="1624"/>
      <c r="AS13" s="1624"/>
      <c r="AT13" s="1625">
        <f>指标!D15+指标!C15</f>
        <v>1908.15</v>
      </c>
      <c r="AU13" s="1626"/>
      <c r="AV13" s="8">
        <f t="shared" ref="AV13:AX17" si="6">A13</f>
        <v>0</v>
      </c>
      <c r="AW13" s="8">
        <f t="shared" si="6"/>
        <v>0</v>
      </c>
      <c r="AX13" s="8">
        <f t="shared" si="6"/>
        <v>0</v>
      </c>
      <c r="AY13" s="1346">
        <f>ROUND($AY$6*AZ13/$AZ$5,2)</f>
        <v>17315.580000000002</v>
      </c>
      <c r="AZ13" s="13">
        <f>BA13+BL13</f>
        <v>27041.94</v>
      </c>
      <c r="BA13" s="13">
        <f>SUM(BB13:BK13)</f>
        <v>25270.32</v>
      </c>
      <c r="BB13" s="13">
        <f>IF($D13="是",I13-J13,0)</f>
        <v>20593.5</v>
      </c>
      <c r="BC13" s="13">
        <f>IF($D13="是",K13-L13,0)</f>
        <v>4676.82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1771.62</v>
      </c>
      <c r="BM13" s="13">
        <f>IF($D13="是",AD13-AE13,0)</f>
        <v>0</v>
      </c>
      <c r="BN13" s="13">
        <f>IF($D13="是",AF13-AG13,0)</f>
        <v>0</v>
      </c>
      <c r="BO13" s="13">
        <f>IF($D13="是",AH13-AI13,0)</f>
        <v>0</v>
      </c>
      <c r="BP13" s="13">
        <f>IF($D13="是",AJ13-AK13,0)</f>
        <v>0</v>
      </c>
      <c r="BQ13" s="13">
        <f>IF($D13="是",AL13-AM13,0)</f>
        <v>135</v>
      </c>
      <c r="BR13" s="13">
        <f>IF($D13="是",AN13-AO13,0)</f>
        <v>1636.62</v>
      </c>
      <c r="BS13" s="13">
        <f>IF($D13="是",AP13-AQ13,0)</f>
        <v>0</v>
      </c>
      <c r="BT13" s="19">
        <f>IF($D13="是",AR13-AS13,0)</f>
        <v>0</v>
      </c>
    </row>
    <row r="14" spans="1:72" s="1576" customFormat="1" ht="12.75">
      <c r="A14" s="1048"/>
      <c r="B14" s="1048"/>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F32" sqref="F32"/>
    </sheetView>
  </sheetViews>
  <sheetFormatPr defaultRowHeight="13.5"/>
  <cols>
    <col min="1" max="1" width="9" style="3458"/>
    <col min="2" max="2" width="12.125" style="3458" customWidth="1"/>
    <col min="3" max="3" width="10.25" style="3458" customWidth="1"/>
    <col min="4" max="16384" width="9" style="3458"/>
  </cols>
  <sheetData>
    <row r="1" spans="1:11">
      <c r="A1" s="3457" t="s">
        <v>3549</v>
      </c>
      <c r="B1" s="3458">
        <v>28950.09</v>
      </c>
    </row>
    <row r="2" spans="1:11">
      <c r="C2" s="3457" t="s">
        <v>3550</v>
      </c>
      <c r="F2" s="3457" t="s">
        <v>3551</v>
      </c>
      <c r="H2" s="3457" t="s">
        <v>3552</v>
      </c>
    </row>
    <row r="3" spans="1:11" ht="26.25" customHeight="1">
      <c r="A3" s="3457" t="s">
        <v>3553</v>
      </c>
      <c r="B3" s="3459" t="s">
        <v>3554</v>
      </c>
      <c r="C3" s="3457" t="s">
        <v>3555</v>
      </c>
      <c r="D3" s="3457" t="s">
        <v>3556</v>
      </c>
      <c r="E3" s="3457" t="s">
        <v>3557</v>
      </c>
      <c r="F3" s="3457" t="s">
        <v>3556</v>
      </c>
      <c r="G3" s="3457" t="s">
        <v>3557</v>
      </c>
    </row>
    <row r="4" spans="1:11">
      <c r="A4" s="3458">
        <v>1</v>
      </c>
      <c r="B4" s="3457" t="s">
        <v>3558</v>
      </c>
      <c r="C4" s="3458">
        <f>D4+E4</f>
        <v>4993.75</v>
      </c>
      <c r="D4" s="3458">
        <v>4993.75</v>
      </c>
      <c r="E4" s="3458">
        <v>0</v>
      </c>
      <c r="F4" s="3458">
        <v>5</v>
      </c>
      <c r="G4" s="3458">
        <v>0</v>
      </c>
      <c r="H4" s="3458">
        <v>24</v>
      </c>
    </row>
    <row r="5" spans="1:11">
      <c r="A5" s="3458">
        <v>2</v>
      </c>
      <c r="B5" s="3457" t="s">
        <v>3559</v>
      </c>
      <c r="C5" s="3458">
        <f>D5+E5</f>
        <v>4933.75</v>
      </c>
      <c r="D5" s="3458">
        <v>4933.75</v>
      </c>
      <c r="E5" s="3458">
        <v>0</v>
      </c>
      <c r="F5" s="3458">
        <v>5</v>
      </c>
      <c r="G5" s="3458">
        <v>0</v>
      </c>
      <c r="H5" s="3458">
        <v>24</v>
      </c>
    </row>
    <row r="6" spans="1:11">
      <c r="A6" s="3458">
        <v>3</v>
      </c>
      <c r="B6" s="3457" t="s">
        <v>3560</v>
      </c>
      <c r="C6" s="3458">
        <f>D6+E6</f>
        <v>10666</v>
      </c>
      <c r="D6" s="3458">
        <v>10666</v>
      </c>
      <c r="E6" s="3458">
        <v>0</v>
      </c>
      <c r="F6" s="3458">
        <v>5</v>
      </c>
      <c r="G6" s="3458">
        <v>0</v>
      </c>
      <c r="H6" s="3458">
        <v>24</v>
      </c>
      <c r="J6" s="3457" t="s">
        <v>3561</v>
      </c>
      <c r="K6" s="3457">
        <v>135</v>
      </c>
    </row>
    <row r="7" spans="1:11">
      <c r="A7" s="3458">
        <v>4</v>
      </c>
      <c r="B7" s="3457" t="s">
        <v>3562</v>
      </c>
      <c r="C7" s="3458">
        <f>D7+E7</f>
        <v>8306.4</v>
      </c>
      <c r="D7" s="3458">
        <v>135</v>
      </c>
      <c r="E7" s="3458">
        <v>8171.4</v>
      </c>
      <c r="F7" s="3458">
        <v>1</v>
      </c>
      <c r="G7" s="3458">
        <v>-1</v>
      </c>
      <c r="H7" s="3458">
        <v>4.2</v>
      </c>
      <c r="J7" s="3457" t="s">
        <v>3563</v>
      </c>
      <c r="K7" s="3457">
        <v>1857.96</v>
      </c>
    </row>
    <row r="8" spans="1:11">
      <c r="A8" s="3458">
        <v>5</v>
      </c>
      <c r="B8" s="3457" t="s">
        <v>3564</v>
      </c>
      <c r="C8" s="3458">
        <f>D8+E8</f>
        <v>50.19</v>
      </c>
      <c r="D8" s="3458">
        <v>50.19</v>
      </c>
      <c r="E8" s="3458">
        <v>0</v>
      </c>
      <c r="F8" s="3458">
        <v>1</v>
      </c>
      <c r="G8" s="3458">
        <v>0</v>
      </c>
      <c r="H8" s="3458">
        <v>4.2</v>
      </c>
      <c r="J8" s="3457" t="s">
        <v>3565</v>
      </c>
      <c r="K8" s="3458">
        <v>1636.62</v>
      </c>
    </row>
    <row r="9" spans="1:11">
      <c r="K9" s="3457" t="s">
        <v>3566</v>
      </c>
    </row>
    <row r="11" spans="1:11">
      <c r="B11" s="3460"/>
      <c r="C11" s="3461" t="s">
        <v>3556</v>
      </c>
      <c r="D11" s="3461" t="s">
        <v>3557</v>
      </c>
    </row>
    <row r="12" spans="1:11">
      <c r="B12" s="3461" t="s">
        <v>3567</v>
      </c>
      <c r="C12" s="3460">
        <f>SUM(D4:D6)</f>
        <v>20593.5</v>
      </c>
      <c r="D12" s="3460">
        <v>0</v>
      </c>
      <c r="F12" s="3457" t="s">
        <v>3568</v>
      </c>
    </row>
    <row r="13" spans="1:11">
      <c r="B13" s="3461" t="s">
        <v>3569</v>
      </c>
      <c r="C13" s="3460">
        <v>0</v>
      </c>
      <c r="D13" s="3460">
        <f>E7-D14-D15</f>
        <v>4676.82</v>
      </c>
      <c r="F13" s="3458">
        <v>121</v>
      </c>
    </row>
    <row r="14" spans="1:11">
      <c r="B14" s="3461" t="s">
        <v>3570</v>
      </c>
      <c r="C14" s="3460">
        <f>D7</f>
        <v>135</v>
      </c>
      <c r="D14" s="3460">
        <f>K8</f>
        <v>1636.62</v>
      </c>
    </row>
    <row r="15" spans="1:11">
      <c r="B15" s="3461" t="s">
        <v>3571</v>
      </c>
      <c r="C15" s="3460">
        <f>D8</f>
        <v>50.19</v>
      </c>
      <c r="D15" s="3460">
        <f>K7</f>
        <v>1857.96</v>
      </c>
    </row>
    <row r="16" spans="1:11">
      <c r="B16" s="3462" t="s">
        <v>3572</v>
      </c>
      <c r="C16" s="3462">
        <f>SUM(C12:C15)</f>
        <v>20778.689999999999</v>
      </c>
      <c r="D16" s="3462">
        <f>SUM(D12:D15)</f>
        <v>8171.4</v>
      </c>
    </row>
    <row r="17" spans="2:4">
      <c r="B17" s="3462" t="s">
        <v>3555</v>
      </c>
      <c r="C17" s="3462">
        <f>C16+D16</f>
        <v>28950.089999999997</v>
      </c>
      <c r="D17" s="3462"/>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49" t="s">
        <v>1129</v>
      </c>
      <c r="B2" s="3549"/>
      <c r="C2" s="3549"/>
      <c r="D2" s="793" t="s">
        <v>1105</v>
      </c>
      <c r="E2" s="1636" t="s">
        <v>1106</v>
      </c>
      <c r="F2" s="2650"/>
      <c r="G2" s="2641"/>
      <c r="H2" s="2642"/>
      <c r="I2" s="2321" t="s">
        <v>1130</v>
      </c>
      <c r="J2" s="2650"/>
      <c r="K2" s="2650"/>
      <c r="L2" s="2650"/>
      <c r="M2" s="2650"/>
      <c r="N2" s="2652"/>
      <c r="O2" s="2650"/>
      <c r="P2" s="2650"/>
    </row>
    <row r="3" spans="1:16" ht="15.75" thickBot="1">
      <c r="A3" s="3550" t="s">
        <v>1103</v>
      </c>
      <c r="B3" s="3550"/>
      <c r="C3" s="3550"/>
      <c r="D3" s="43">
        <f>'数据-基础表'!AY6</f>
        <v>17315.580000000002</v>
      </c>
      <c r="E3" s="43">
        <f>'数据-基础表'!AZ5</f>
        <v>27041.94</v>
      </c>
      <c r="F3" s="2650"/>
      <c r="G3" s="1142"/>
      <c r="H3" s="1023" t="s">
        <v>1104</v>
      </c>
      <c r="I3" s="852">
        <f>ROUND('数据-基础表'!B3/'数据-基础表'!A3,2)</f>
        <v>1.56</v>
      </c>
      <c r="J3" s="2650"/>
      <c r="K3" s="2650"/>
      <c r="L3" s="2650"/>
      <c r="M3" s="2650"/>
      <c r="N3" s="2652"/>
      <c r="O3" s="2650"/>
      <c r="P3" s="2650"/>
    </row>
    <row r="4" spans="1:16" ht="15">
      <c r="A4" s="3551"/>
      <c r="B4" s="3552"/>
      <c r="C4" s="3553"/>
      <c r="D4" s="1638" t="s">
        <v>1105</v>
      </c>
      <c r="E4" s="1639" t="s">
        <v>1106</v>
      </c>
      <c r="F4" s="2650"/>
      <c r="G4" s="2643" t="s">
        <v>1131</v>
      </c>
      <c r="H4" s="1023" t="s">
        <v>1111</v>
      </c>
      <c r="I4" s="852">
        <f>ROUND(SUMIF('数据-基础表'!I9:AS9,"地上",'数据-基础表'!I5:AS5)/'数据-基础表'!A3,2)</f>
        <v>1.2</v>
      </c>
      <c r="J4" s="2650"/>
      <c r="K4" s="2650"/>
      <c r="L4" s="2650"/>
      <c r="M4" s="2650"/>
      <c r="N4" s="2652"/>
      <c r="O4" s="2650"/>
      <c r="P4" s="2650"/>
    </row>
    <row r="5" spans="1:16">
      <c r="A5" s="44" t="s">
        <v>1107</v>
      </c>
      <c r="B5" s="3554" t="s">
        <v>1108</v>
      </c>
      <c r="C5" s="3554"/>
      <c r="D5" s="45">
        <f>ROUND($D$3*E5/$E$3,2)</f>
        <v>0</v>
      </c>
      <c r="E5" s="46">
        <f>SUMIF('数据-基础表'!$11:$11,"住宅",'数据-基础表'!$5:$5)</f>
        <v>0</v>
      </c>
      <c r="F5" s="2650"/>
      <c r="G5" s="1142"/>
      <c r="H5" s="1023" t="s">
        <v>1104</v>
      </c>
      <c r="I5" s="852">
        <f>ROUND(E31/D31,2)</f>
        <v>1.56</v>
      </c>
      <c r="J5" s="2650"/>
      <c r="K5" s="2650"/>
      <c r="L5" s="2650"/>
      <c r="M5" s="2650"/>
      <c r="N5" s="2650"/>
      <c r="O5" s="2650"/>
      <c r="P5" s="2650"/>
    </row>
    <row r="6" spans="1:16" ht="15" thickBot="1">
      <c r="A6" s="1641"/>
      <c r="B6" s="3554" t="s">
        <v>1109</v>
      </c>
      <c r="C6" s="3554"/>
      <c r="D6" s="45">
        <f>ROUND($D$3*E6/$E$3,2)</f>
        <v>17315.580000000002</v>
      </c>
      <c r="E6" s="46">
        <f>E3-E5</f>
        <v>27041.94</v>
      </c>
      <c r="F6" s="2650"/>
      <c r="G6" s="2644" t="s">
        <v>1110</v>
      </c>
      <c r="H6" s="1143" t="s">
        <v>1111</v>
      </c>
      <c r="I6" s="2645">
        <f>ROUND(F31/D31,2)</f>
        <v>1.2</v>
      </c>
      <c r="J6" s="2650"/>
      <c r="K6" s="2650"/>
      <c r="L6" s="2650"/>
      <c r="M6" s="2650"/>
      <c r="N6" s="2650"/>
      <c r="O6" s="2650"/>
      <c r="P6" s="2650"/>
    </row>
    <row r="7" spans="1:16" ht="15.75" thickBot="1">
      <c r="A7" s="3546"/>
      <c r="B7" s="3547"/>
      <c r="C7" s="3548"/>
      <c r="D7" s="1638" t="s">
        <v>1105</v>
      </c>
      <c r="E7" s="1642" t="s">
        <v>1112</v>
      </c>
      <c r="F7" s="2650"/>
      <c r="G7" s="2646" t="s">
        <v>1113</v>
      </c>
      <c r="H7" s="2647"/>
      <c r="I7" s="2648"/>
      <c r="J7" s="2650"/>
      <c r="K7" s="2650"/>
      <c r="L7" s="2650"/>
      <c r="M7" s="2650"/>
      <c r="N7" s="2650"/>
      <c r="O7" s="2650"/>
      <c r="P7" s="2650"/>
    </row>
    <row r="8" spans="1:16">
      <c r="A8" s="44" t="s">
        <v>1114</v>
      </c>
      <c r="B8" s="47" t="s">
        <v>1115</v>
      </c>
      <c r="C8" s="45" t="s">
        <v>1116</v>
      </c>
      <c r="D8" s="45">
        <f t="shared" ref="D8:D15" si="0">ROUND($D$3*E8/$E$3,2)</f>
        <v>13186.49</v>
      </c>
      <c r="E8" s="48">
        <f>SUMIF('数据-基础表'!BB10:BK10,"地上",'数据-基础表'!BB5:BK5)</f>
        <v>20593.5</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2994.68</v>
      </c>
      <c r="E13" s="48">
        <f>SUMPRODUCT(('数据-基础表'!BB10:BK10="地下")*('数据-基础表'!BB11:BK11="车库")*('数据-基础表'!BB5:BK5))</f>
        <v>4676.82</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16181.17</v>
      </c>
      <c r="E16" s="50">
        <f>SUM(E8:E15)</f>
        <v>25270.32</v>
      </c>
      <c r="F16" s="2650"/>
      <c r="G16" s="2651"/>
      <c r="H16" s="1645" t="s">
        <v>1133</v>
      </c>
      <c r="I16" s="1646"/>
      <c r="J16" s="1136"/>
      <c r="K16" s="3543" t="s">
        <v>1133</v>
      </c>
      <c r="L16" s="3544"/>
      <c r="M16" s="3544"/>
      <c r="N16" s="3544"/>
      <c r="O16" s="3544"/>
      <c r="P16" s="3545"/>
    </row>
    <row r="17" spans="1:19" ht="15">
      <c r="A17" s="1647" t="s">
        <v>1134</v>
      </c>
      <c r="B17" s="1648" t="s">
        <v>1135</v>
      </c>
      <c r="C17" s="1649" t="s">
        <v>1136</v>
      </c>
      <c r="D17" s="1650" t="s">
        <v>1124</v>
      </c>
      <c r="E17" s="1651" t="s">
        <v>1125</v>
      </c>
      <c r="F17" s="1652"/>
      <c r="G17" s="1653"/>
      <c r="H17" s="1654" t="s">
        <v>1137</v>
      </c>
      <c r="I17" s="1655" t="s">
        <v>1122</v>
      </c>
      <c r="J17" s="1136"/>
      <c r="K17" s="3540" t="s">
        <v>1138</v>
      </c>
      <c r="L17" s="3541"/>
      <c r="M17" s="3542"/>
      <c r="N17" s="3540" t="s">
        <v>1139</v>
      </c>
      <c r="O17" s="3541"/>
      <c r="P17" s="3542"/>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08" t="s">
        <v>3667</v>
      </c>
      <c r="D19" s="45">
        <f>ROUND($D$3*E19/$E$3,2)</f>
        <v>13186.49</v>
      </c>
      <c r="E19" s="53">
        <f t="shared" ref="E19:E26" si="1">SUM(F19:G19)</f>
        <v>20593.5</v>
      </c>
      <c r="F19" s="2786">
        <f>'数据-基础表'!I5</f>
        <v>20593.5</v>
      </c>
      <c r="G19" s="2787"/>
      <c r="H19" s="667">
        <f>ROUND($D$3*I19/$E$3,2)</f>
        <v>924.46</v>
      </c>
      <c r="I19" s="48">
        <f t="shared" ref="I19:I26" si="2">IF($I$17="自定义",P19,M19)</f>
        <v>1443.74</v>
      </c>
      <c r="J19" s="1136"/>
      <c r="K19" s="1135">
        <f t="shared" ref="K19:K26" si="3">ROUND(E$28*E19/E$27,2)</f>
        <v>1443.74</v>
      </c>
      <c r="L19" s="1023">
        <f t="shared" ref="L19:L26" si="4">ROUND(IF(COUNTIF(C19,"*住宅*")&gt;0,E$29*E19/E$32,0),2)</f>
        <v>0</v>
      </c>
      <c r="M19" s="1147">
        <f>K19+L19</f>
        <v>1443.74</v>
      </c>
      <c r="N19" s="1665"/>
      <c r="O19" s="1666"/>
      <c r="P19" s="1147">
        <f>N19+O19</f>
        <v>0</v>
      </c>
      <c r="R19" s="1023">
        <f t="shared" ref="R19:S26" si="5">D19+H19</f>
        <v>14110.95</v>
      </c>
      <c r="S19" s="1024">
        <f t="shared" si="5"/>
        <v>22037.24</v>
      </c>
    </row>
    <row r="20" spans="1:19">
      <c r="A20" s="1667"/>
      <c r="B20" s="47" t="s">
        <v>1151</v>
      </c>
      <c r="C20" s="3408" t="s">
        <v>3668</v>
      </c>
      <c r="D20" s="45">
        <f t="shared" ref="D20:D26" si="6">ROUND($D$3*E20/$E$3,2)</f>
        <v>2994.68</v>
      </c>
      <c r="E20" s="53">
        <f t="shared" si="1"/>
        <v>4676.82</v>
      </c>
      <c r="F20" s="2786"/>
      <c r="G20" s="2787">
        <f>'数据-基础表'!K5</f>
        <v>4676.82</v>
      </c>
      <c r="H20" s="667">
        <f t="shared" ref="H20:H26" si="7">ROUND($D$3*I20/$E$3,2)</f>
        <v>209.95</v>
      </c>
      <c r="I20" s="48">
        <f t="shared" si="2"/>
        <v>327.88</v>
      </c>
      <c r="J20" s="1136"/>
      <c r="K20" s="1135">
        <f t="shared" si="3"/>
        <v>327.88</v>
      </c>
      <c r="L20" s="1023">
        <f t="shared" si="4"/>
        <v>0</v>
      </c>
      <c r="M20" s="1147">
        <f t="shared" ref="M20:M26" si="8">K20+L20</f>
        <v>327.88</v>
      </c>
      <c r="N20" s="1665"/>
      <c r="O20" s="1666"/>
      <c r="P20" s="1147">
        <f t="shared" ref="P20:P26" si="9">N20+O20</f>
        <v>0</v>
      </c>
      <c r="R20" s="1023">
        <f t="shared" si="5"/>
        <v>3204.6299999999997</v>
      </c>
      <c r="S20" s="1024">
        <f t="shared" si="5"/>
        <v>5004.7</v>
      </c>
    </row>
    <row r="21" spans="1:19">
      <c r="A21" s="1667"/>
      <c r="B21" s="47" t="s">
        <v>1151</v>
      </c>
      <c r="C21" s="3408"/>
      <c r="D21" s="45">
        <f t="shared" si="6"/>
        <v>0</v>
      </c>
      <c r="E21" s="53">
        <f t="shared" si="1"/>
        <v>0</v>
      </c>
      <c r="F21" s="2786"/>
      <c r="G21" s="2787"/>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1151</v>
      </c>
      <c r="C22" s="3409"/>
      <c r="D22" s="45">
        <f t="shared" si="6"/>
        <v>0</v>
      </c>
      <c r="E22" s="53">
        <f t="shared" si="1"/>
        <v>0</v>
      </c>
      <c r="F22" s="2788"/>
      <c r="G22" s="2789"/>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09"/>
      <c r="D23" s="45">
        <f>ROUND($D$3*E23/$E$3,2)</f>
        <v>0</v>
      </c>
      <c r="E23" s="53">
        <f>SUM(F23:G23)</f>
        <v>0</v>
      </c>
      <c r="F23" s="2788"/>
      <c r="G23" s="2789"/>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09"/>
      <c r="D24" s="45">
        <f>ROUND($D$3*E24/$E$3,2)</f>
        <v>0</v>
      </c>
      <c r="E24" s="53">
        <f>SUM(F24:G24)</f>
        <v>0</v>
      </c>
      <c r="F24" s="2788"/>
      <c r="G24" s="2789"/>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09"/>
      <c r="D25" s="45">
        <f t="shared" si="6"/>
        <v>0</v>
      </c>
      <c r="E25" s="53">
        <f t="shared" si="1"/>
        <v>0</v>
      </c>
      <c r="F25" s="2788"/>
      <c r="G25" s="2789"/>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88"/>
      <c r="G26" s="2789"/>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16181.17</v>
      </c>
      <c r="E27" s="1138">
        <f>IF(SUM(E19:E26)='数据-基础表'!BA5,SUM(E19:E26),IF(F27="地上面积有误","面积有误","地下面积有误"))</f>
        <v>25270.32</v>
      </c>
      <c r="F27" s="1137">
        <f>IF(SUM(F19:F26)=E8,SUM(F19:F26),"地上面积有误")</f>
        <v>20593.5</v>
      </c>
      <c r="G27" s="1139">
        <f>SUM(G19:G26)</f>
        <v>4676.82</v>
      </c>
      <c r="H27" s="1140">
        <f>SUM(H19:H26)</f>
        <v>1134.4100000000001</v>
      </c>
      <c r="I27" s="1141">
        <f>SUM(I19:I26)</f>
        <v>1771.62</v>
      </c>
      <c r="J27" s="1136"/>
      <c r="K27" s="1144">
        <f>SUM(K19:K26)</f>
        <v>1771.62</v>
      </c>
      <c r="L27" s="1145">
        <f>SUM(L19:L26)</f>
        <v>0</v>
      </c>
      <c r="M27" s="1148">
        <f>SUM(M19:M26)</f>
        <v>1771.62</v>
      </c>
      <c r="N27" s="1144">
        <f t="shared" ref="N27:O27" si="10">SUM(N19:N26)</f>
        <v>0</v>
      </c>
      <c r="O27" s="1145">
        <f t="shared" si="10"/>
        <v>0</v>
      </c>
      <c r="P27" s="1146">
        <f>SUM(P19:P26)</f>
        <v>0</v>
      </c>
      <c r="R27" s="1025">
        <f>IF(SUM(R19:R26)=$D$3,SUM(R19:R26),SUM(R19:R26)&amp;"误差"&amp;ROUND(SUM(R19:R26)-$D$3,2))</f>
        <v>17315.580000000002</v>
      </c>
      <c r="S27" s="1023">
        <f>IF(SUM(S19:S26)=$E$3,SUM(S19:S26),SUM(S19:S26)&amp;"误差"&amp;ROUND(SUM(S19:S26)-E3,2))</f>
        <v>27041.940000000002</v>
      </c>
    </row>
    <row r="28" spans="1:19">
      <c r="A28" s="1667"/>
      <c r="B28" s="47" t="s">
        <v>1153</v>
      </c>
      <c r="C28" s="1035" t="s">
        <v>1154</v>
      </c>
      <c r="D28" s="45">
        <f>ROUND($D$3*E28/$E$3,2)</f>
        <v>1134.4100000000001</v>
      </c>
      <c r="E28" s="53">
        <f>SUM(F28:G28)</f>
        <v>1771.62</v>
      </c>
      <c r="F28" s="56">
        <f>'数据-基础表'!BQ5+'数据-基础表'!BS5</f>
        <v>135</v>
      </c>
      <c r="G28" s="57">
        <f>'数据-基础表'!BR5+'数据-基础表'!BT5</f>
        <v>1636.62</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7">
        <f>SUM(D28:D29)</f>
        <v>1134.4100000000001</v>
      </c>
      <c r="E30" s="1137">
        <f>SUM(E28:E29)</f>
        <v>1771.62</v>
      </c>
      <c r="F30" s="1137">
        <f>SUM(F28:F29)</f>
        <v>135</v>
      </c>
      <c r="G30" s="1139">
        <f>SUM(G28:G29)</f>
        <v>1636.62</v>
      </c>
      <c r="H30" s="2650"/>
      <c r="I30" s="2650"/>
      <c r="J30" s="2650"/>
      <c r="K30" s="2650"/>
      <c r="L30" s="2650"/>
      <c r="M30" s="2650"/>
      <c r="N30" s="2650"/>
      <c r="O30" s="2650"/>
      <c r="P30" s="2650"/>
    </row>
    <row r="31" spans="1:19" ht="15.75" thickBot="1">
      <c r="A31" s="1673"/>
      <c r="B31" s="1674"/>
      <c r="C31" s="832" t="s">
        <v>1156</v>
      </c>
      <c r="D31" s="673">
        <f>D27+D30</f>
        <v>17315.580000000002</v>
      </c>
      <c r="E31" s="673">
        <f>E27+E30</f>
        <v>27041.94</v>
      </c>
      <c r="F31" s="674">
        <f>F27+F30</f>
        <v>20728.5</v>
      </c>
      <c r="G31" s="675">
        <f>G27+G30</f>
        <v>6313.44</v>
      </c>
      <c r="H31" s="2650"/>
      <c r="I31" s="2650"/>
      <c r="J31" s="2650"/>
      <c r="K31" s="2650"/>
      <c r="L31" s="2650"/>
      <c r="M31" s="2650"/>
      <c r="N31" s="2650"/>
      <c r="O31" s="2650"/>
      <c r="P31" s="2650"/>
    </row>
    <row r="32" spans="1:19">
      <c r="A32" s="1640"/>
      <c r="B32" s="1640" t="s">
        <v>1157</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N7" sqref="N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1159</v>
      </c>
      <c r="B2" s="1042">
        <f>项目基本情况!D3</f>
        <v>45072</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3669</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科研办公</v>
      </c>
      <c r="B6" s="1710" t="str">
        <f>IF(A6=0,"","经营性")</f>
        <v>经营性</v>
      </c>
      <c r="C6" s="1711" t="s">
        <v>3</v>
      </c>
      <c r="D6" s="855">
        <f>SUMIF(项目基本情况!C$12:I$12,C6,项目基本情况!C$14:I$14)</f>
        <v>20</v>
      </c>
      <c r="E6" s="854">
        <f>IF(B6="","",SUMIF(项目基本情况!C$12:I$12,C6,项目基本情况!C$13:I$13))</f>
        <v>51718</v>
      </c>
      <c r="F6" s="64">
        <f>SUMIF(项目基本情况!C$12:I$12,C6,项目基本情况!C$15:I$15)</f>
        <v>18.2</v>
      </c>
      <c r="G6" s="65">
        <f>IF(ISERROR(ROUND(POWER(1+H6,D6-F6)*(POWER(1+H6,F6)-1)/(POWER(1+H6,D6)-1),3)),0,ROUND(POWER(1+H6,D6-F6)*(POWER(1+H6,F6)-1)/(POWER(1+H6,D6)-1),3))</f>
        <v>0.94199999999999995</v>
      </c>
      <c r="H6" s="729">
        <v>4.4999999999999998E-2</v>
      </c>
      <c r="I6" s="729">
        <v>0.05</v>
      </c>
      <c r="J6" s="66">
        <v>0.08</v>
      </c>
      <c r="K6" s="1027">
        <f>SUMIF('数据-汇总表'!C$19:C$33,A6,'数据-汇总表'!E$19:E$33)</f>
        <v>20593.5</v>
      </c>
      <c r="L6" s="730">
        <v>4000</v>
      </c>
      <c r="M6" s="67">
        <f t="shared" ref="M6:M14" si="0">ROUND(K6*L6/10000,0)</f>
        <v>8237</v>
      </c>
      <c r="N6" s="728">
        <v>0.08</v>
      </c>
      <c r="O6" s="67">
        <f>IF($N$5="成新度","——",ROUND(M6*N6,0))</f>
        <v>659</v>
      </c>
      <c r="P6" s="68">
        <f>IF($N$5="成新度","——",M6-O6)</f>
        <v>7578</v>
      </c>
      <c r="Q6" s="731">
        <v>0.1</v>
      </c>
      <c r="R6" s="69">
        <f ca="1">SUMIF('数据-汇总表'!C$19:C$33,A6,'数据-汇总表'!R$19:R$27)</f>
        <v>14110.95</v>
      </c>
      <c r="S6" s="51">
        <f>IF('数据-汇总表'!$I$17="按面积比例",SUMIF('数据-汇总表'!C$19:C$33,A6,'数据-汇总表'!K$19:K$33),SUMIF('数据-汇总表'!C$19:C$33,A6,'数据-汇总表'!N$19:N$33))</f>
        <v>1443.74</v>
      </c>
      <c r="T6" s="1169">
        <f>ROUND($L$14*S6/10000,0)</f>
        <v>577</v>
      </c>
      <c r="U6" s="3419">
        <v>2</v>
      </c>
      <c r="V6" s="70">
        <v>0.03</v>
      </c>
      <c r="W6" s="70">
        <v>0.05</v>
      </c>
      <c r="X6" s="1037"/>
      <c r="Y6" s="71">
        <v>1</v>
      </c>
      <c r="Z6" s="72"/>
      <c r="AA6" s="66"/>
      <c r="AB6" s="66"/>
      <c r="AC6" s="1037"/>
      <c r="AD6" s="73"/>
      <c r="AE6" s="1038">
        <f ca="1">IF(AN6="",0,SUMIF(INDIRECT("'"&amp;AN6&amp;"'"&amp;"!E:E"),$AE$5,INDIRECT("'"&amp;AN6&amp;"'"&amp;"!F:F")))</f>
        <v>16.36</v>
      </c>
      <c r="AF6" s="1345"/>
      <c r="AG6" s="138">
        <f>IF(AF6="",0,AE6-AF6)</f>
        <v>0</v>
      </c>
      <c r="AH6" s="74"/>
      <c r="AI6" s="76">
        <v>365</v>
      </c>
      <c r="AJ6" s="77"/>
      <c r="AK6" s="78">
        <v>2E-3</v>
      </c>
      <c r="AL6" s="79">
        <v>1.5E-3</v>
      </c>
      <c r="AM6" s="80">
        <v>2E-3</v>
      </c>
      <c r="AN6" s="1712" t="s">
        <v>3670</v>
      </c>
      <c r="AO6" s="52">
        <f ca="1">SUMIF(INDIRECT("'"&amp;AN6&amp;"'"&amp;"!A:A"),"总价",INDIRECT("'"&amp;AN6&amp;"'"&amp;"!B:B"))</f>
        <v>17762</v>
      </c>
      <c r="AP6" s="1713">
        <f>IF(C6="住宅",K6*L6,0)</f>
        <v>0</v>
      </c>
      <c r="AQ6" s="52">
        <f>ROUND($L$14*$N$14*S6/10000,0)</f>
        <v>46</v>
      </c>
      <c r="AR6" s="52">
        <f>ROUND($L$14*(1-$N$14)*S6/10000,0)</f>
        <v>531</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3322</v>
      </c>
      <c r="D7" s="855">
        <f>SUMIF(项目基本情况!C$12:I$12,C7,项目基本情况!C$14:I$14)</f>
        <v>20</v>
      </c>
      <c r="E7" s="854">
        <f>IF(B7="","",SUMIF(项目基本情况!C$12:I$12,C7,项目基本情况!C$13:I$13))</f>
        <v>51718</v>
      </c>
      <c r="F7" s="64">
        <f>SUMIF(项目基本情况!C$12:I$12,C7,项目基本情况!C$15:I$15)</f>
        <v>18.2</v>
      </c>
      <c r="G7" s="65">
        <f t="shared" ref="G7:G11" si="2">IF(ISERROR(ROUND(POWER(1+H7,D7-F7)*(POWER(1+H7,F7)-1)/(POWER(1+H7,D7)-1),3)),0,ROUND(POWER(1+H7,D7-F7)*(POWER(1+H7,F7)-1)/(POWER(1+H7,D7)-1),3))</f>
        <v>0.94199999999999995</v>
      </c>
      <c r="H7" s="729">
        <f>H6</f>
        <v>4.4999999999999998E-2</v>
      </c>
      <c r="I7" s="729">
        <f>I6</f>
        <v>0.05</v>
      </c>
      <c r="J7" s="66">
        <f>J6</f>
        <v>0.08</v>
      </c>
      <c r="K7" s="1027">
        <f>SUMIF('数据-汇总表'!C$19:C$33,A7,'数据-汇总表'!E$19:E$33)</f>
        <v>4676.82</v>
      </c>
      <c r="L7" s="730">
        <v>4000</v>
      </c>
      <c r="M7" s="67">
        <f t="shared" si="0"/>
        <v>1871</v>
      </c>
      <c r="N7" s="728">
        <f>N6</f>
        <v>0.08</v>
      </c>
      <c r="O7" s="67">
        <f t="shared" ref="O7:O14" si="3">IF($N$5="成新度","——",ROUND(M7*N7,0))</f>
        <v>150</v>
      </c>
      <c r="P7" s="68">
        <f t="shared" ref="P7:P14" si="4">IF($N$5="成新度","——",M7-O7)</f>
        <v>1721</v>
      </c>
      <c r="Q7" s="731">
        <v>0.03</v>
      </c>
      <c r="R7" s="69">
        <f ca="1">SUMIF('数据-汇总表'!C$19:C$33,A7,'数据-汇总表'!R$19:R$27)</f>
        <v>3204.6299999999997</v>
      </c>
      <c r="S7" s="51">
        <f>IF('数据-汇总表'!$I$17="按面积比例",SUMIF('数据-汇总表'!C$19:C$33,A7,'数据-汇总表'!K$19:K$33),SUMIF('数据-汇总表'!C$19:C$33,A7,'数据-汇总表'!N$19:N$33))</f>
        <v>327.88</v>
      </c>
      <c r="T7" s="1169">
        <f t="shared" ref="T7:T13" si="5">ROUND($L$14*S7/10000,0)</f>
        <v>131</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10</v>
      </c>
      <c r="AR7" s="52">
        <f t="shared" ref="AR7:AR13" si="11">ROUND($L$14*(1-$N$14)*S7/10000,0)</f>
        <v>121</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1771.62</v>
      </c>
      <c r="L14" s="82">
        <f>L7</f>
        <v>4000</v>
      </c>
      <c r="M14" s="67">
        <f t="shared" si="0"/>
        <v>709</v>
      </c>
      <c r="N14" s="83">
        <f>N6</f>
        <v>0.08</v>
      </c>
      <c r="O14" s="67">
        <f t="shared" si="3"/>
        <v>57</v>
      </c>
      <c r="P14" s="68">
        <f t="shared" si="4"/>
        <v>652</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0.94199999999999995</v>
      </c>
      <c r="H16" s="90">
        <f>ROUND(SUMPRODUCT(H6:H13,K6:K13)/SUMPRODUCT((H6:H13&gt;0)*(K6:K13)),3)</f>
        <v>4.4999999999999998E-2</v>
      </c>
      <c r="I16" s="91"/>
      <c r="J16" s="91"/>
      <c r="K16" s="92">
        <f>SUM(K6:K15)</f>
        <v>27041.94</v>
      </c>
      <c r="L16" s="93">
        <f>ROUND(M16*10000/SUM(K6:K14),0)</f>
        <v>4000</v>
      </c>
      <c r="M16" s="93">
        <f>SUM(M6:M14)</f>
        <v>10817</v>
      </c>
      <c r="N16" s="94">
        <f>ROUND(SUMPRODUCT(M6:M14,N6:N14)/M16,3)</f>
        <v>0.08</v>
      </c>
      <c r="O16" s="93">
        <f>SUM(O6:O14)</f>
        <v>866</v>
      </c>
      <c r="P16" s="93">
        <f>SUM(P6:P14)</f>
        <v>9951</v>
      </c>
      <c r="Q16" s="95">
        <f>ROUND(SUMPRODUCT(Q6:Q13,K6:K13)/SUMPRODUCT((Q6:Q13&gt;0)*(K6:K13)),2)</f>
        <v>0.09</v>
      </c>
      <c r="R16" s="1031">
        <f ca="1">SUM(R6:R13)</f>
        <v>17315.580000000002</v>
      </c>
      <c r="S16" s="96">
        <f>SUM(S6:S13)</f>
        <v>1771.62</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3378</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c r="J18" s="2664"/>
      <c r="K18" s="2663"/>
      <c r="L18" s="2663"/>
      <c r="M18" s="3442" t="s">
        <v>3379</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1209</v>
      </c>
      <c r="B19" s="103">
        <v>0</v>
      </c>
      <c r="C19" s="2790" t="s">
        <v>2289</v>
      </c>
      <c r="D19" s="2667"/>
      <c r="E19" s="2664"/>
      <c r="F19" s="2664"/>
      <c r="G19" s="2664"/>
      <c r="H19" s="2664"/>
      <c r="I19" s="2664"/>
      <c r="J19" s="2664"/>
      <c r="K19" s="2663"/>
      <c r="L19" s="2663"/>
      <c r="M19" s="3442" t="s">
        <v>3380</v>
      </c>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1210</v>
      </c>
      <c r="B20" s="104">
        <v>2</v>
      </c>
      <c r="C20" s="2791" t="s">
        <v>2287</v>
      </c>
      <c r="D20" s="2667"/>
      <c r="E20" s="2664"/>
      <c r="F20" s="2664"/>
      <c r="G20" s="2664"/>
      <c r="H20" s="2664"/>
      <c r="I20" s="2664"/>
      <c r="J20" s="2664"/>
      <c r="K20" s="2663"/>
      <c r="L20" s="2663"/>
      <c r="M20" s="3442" t="s">
        <v>3381</v>
      </c>
      <c r="N20" s="2662">
        <f>ROUND((N18+N19)/2,2)</f>
        <v>-16.36</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1211</v>
      </c>
      <c r="B21" s="104">
        <f>ROUND(B20*N16,2)</f>
        <v>0.16</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1212</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1213</v>
      </c>
      <c r="B23" s="105">
        <f>B19+B21</f>
        <v>0.16</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1214</v>
      </c>
      <c r="B24" s="106">
        <f>B20-B21</f>
        <v>1.84</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1215</v>
      </c>
      <c r="B26" s="1723" t="s">
        <v>1216</v>
      </c>
      <c r="C26" s="2668" t="s">
        <v>1217</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1218</v>
      </c>
      <c r="B27" s="107">
        <v>60</v>
      </c>
      <c r="C27" s="2792" t="s">
        <v>2291</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100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成本法!C9+成本法!C10</f>
        <v>270</v>
      </c>
      <c r="C29" s="2793" t="s">
        <v>2278</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68">
        <v>150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50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69">
        <v>100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0">
        <v>0.03</v>
      </c>
      <c r="C33" s="2794" t="s">
        <v>2279</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794" t="s">
        <v>2280</v>
      </c>
      <c r="D34" s="2675" t="s">
        <v>2288</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f>B30</f>
        <v>150</v>
      </c>
      <c r="C35" s="2794" t="s">
        <v>2281</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794" t="s">
        <v>2282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1228</v>
      </c>
      <c r="B37" s="115">
        <v>0.02</v>
      </c>
      <c r="C37" s="2794" t="s">
        <v>2283</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1229</v>
      </c>
      <c r="B38" s="113">
        <v>0.02</v>
      </c>
      <c r="C38" s="2794" t="s">
        <v>2283</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3382</v>
      </c>
      <c r="B40" s="1075">
        <f ca="1">IF(A40="利息：取LPR",存贷款利率!G1,存贷款利率!G1+C40)</f>
        <v>4.1499999999999995E-2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1231</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1233</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1234</v>
      </c>
      <c r="B44" s="119">
        <v>0.05</v>
      </c>
      <c r="C44" s="2794" t="s">
        <v>2292</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1235</v>
      </c>
      <c r="B45" s="117">
        <v>0.03</v>
      </c>
      <c r="C45" s="2793" t="s">
        <v>2284</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1236</v>
      </c>
      <c r="B46" s="117">
        <v>0.02</v>
      </c>
      <c r="C46" s="2793" t="s">
        <v>2285</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1237</v>
      </c>
      <c r="B47" s="120">
        <v>0</v>
      </c>
      <c r="C47" s="2796" t="s">
        <v>2293</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1238</v>
      </c>
      <c r="B48" s="121">
        <v>0.03</v>
      </c>
      <c r="C48" s="2793" t="s">
        <v>2284</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1239</v>
      </c>
      <c r="B49" s="117">
        <v>5.0000000000000001E-4</v>
      </c>
      <c r="C49" s="2793" t="s">
        <v>2286</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1240</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1241</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1242</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1243</v>
      </c>
      <c r="B53" s="1735" t="s">
        <v>29</v>
      </c>
      <c r="C53" s="2652" t="s">
        <v>1244</v>
      </c>
      <c r="D53" s="2795" t="s">
        <v>2290</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1245</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1246</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1247</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1248</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1249</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1250</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55" t="s">
        <v>2270</v>
      </c>
      <c r="B1" s="3556"/>
      <c r="C1" s="3556"/>
      <c r="D1" s="3556"/>
      <c r="E1" s="3556"/>
      <c r="F1" s="3556"/>
      <c r="G1" s="355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2267</v>
      </c>
      <c r="D2" s="2457"/>
      <c r="E2" s="2454"/>
      <c r="F2" s="2458"/>
      <c r="G2" s="2456" t="s">
        <v>2268</v>
      </c>
      <c r="H2" s="796"/>
      <c r="I2" s="796"/>
      <c r="J2" s="796"/>
      <c r="K2" s="796"/>
      <c r="L2" s="796"/>
      <c r="M2" s="796"/>
      <c r="N2" s="796"/>
      <c r="O2" s="796"/>
      <c r="P2" s="796"/>
      <c r="Q2" s="796"/>
      <c r="R2" s="796"/>
    </row>
    <row r="3" spans="1:29" ht="24">
      <c r="A3" s="2437" t="s">
        <v>2269</v>
      </c>
      <c r="B3" s="2459" t="s">
        <v>2245</v>
      </c>
      <c r="C3" s="3443" t="s">
        <v>3384</v>
      </c>
      <c r="D3" s="2460"/>
      <c r="E3" s="2438" t="s">
        <v>2269</v>
      </c>
      <c r="F3" s="2461" t="s">
        <v>2246</v>
      </c>
      <c r="G3" s="3447" t="s">
        <v>3384</v>
      </c>
      <c r="H3" s="796"/>
      <c r="I3" s="796"/>
      <c r="J3" s="796"/>
      <c r="K3" s="796"/>
      <c r="L3" s="796"/>
      <c r="M3" s="796"/>
      <c r="N3" s="796"/>
      <c r="O3" s="796"/>
      <c r="P3" s="796"/>
      <c r="Q3" s="796"/>
      <c r="R3" s="796"/>
    </row>
    <row r="4" spans="1:29">
      <c r="A4" s="2438"/>
      <c r="B4" s="323" t="s">
        <v>2247</v>
      </c>
      <c r="C4" s="3444" t="s">
        <v>3385</v>
      </c>
      <c r="D4" s="2460"/>
      <c r="E4" s="2462"/>
      <c r="F4" s="1370" t="s">
        <v>2248</v>
      </c>
      <c r="G4" s="3445" t="s">
        <v>3386</v>
      </c>
      <c r="H4" s="796"/>
      <c r="I4" s="796"/>
      <c r="J4" s="796"/>
      <c r="K4" s="796"/>
      <c r="L4" s="796"/>
      <c r="M4" s="796"/>
      <c r="N4" s="796"/>
      <c r="O4" s="796"/>
      <c r="P4" s="796"/>
      <c r="Q4" s="796"/>
      <c r="R4" s="796"/>
    </row>
    <row r="5" spans="1:29">
      <c r="A5" s="2438"/>
      <c r="B5" s="323" t="s">
        <v>2249</v>
      </c>
      <c r="C5" s="3444" t="s">
        <v>3385</v>
      </c>
      <c r="D5" s="2460"/>
      <c r="E5" s="2462"/>
      <c r="F5" s="323" t="s">
        <v>2250</v>
      </c>
      <c r="G5" s="3445" t="s">
        <v>3672</v>
      </c>
      <c r="H5" s="796"/>
      <c r="I5" s="796"/>
      <c r="J5" s="796"/>
      <c r="K5" s="796"/>
      <c r="L5" s="796"/>
      <c r="M5" s="796"/>
      <c r="N5" s="796"/>
      <c r="O5" s="796"/>
      <c r="P5" s="796"/>
      <c r="Q5" s="796"/>
      <c r="R5" s="796"/>
    </row>
    <row r="6" spans="1:29">
      <c r="A6" s="2438"/>
      <c r="B6" s="323" t="s">
        <v>2251</v>
      </c>
      <c r="C6" s="3445" t="s">
        <v>3386</v>
      </c>
      <c r="D6" s="2460"/>
      <c r="E6" s="2462"/>
      <c r="F6" s="323" t="s">
        <v>2252</v>
      </c>
      <c r="G6" s="3445" t="s">
        <v>3388</v>
      </c>
      <c r="H6" s="796"/>
      <c r="I6" s="796"/>
      <c r="J6" s="796"/>
      <c r="K6" s="796"/>
      <c r="L6" s="796"/>
      <c r="M6" s="796"/>
      <c r="N6" s="796"/>
      <c r="O6" s="796"/>
      <c r="P6" s="796"/>
      <c r="Q6" s="796"/>
      <c r="R6" s="796"/>
    </row>
    <row r="7" spans="1:29" ht="15" thickBot="1">
      <c r="A7" s="2438"/>
      <c r="B7" s="323" t="s">
        <v>2250</v>
      </c>
      <c r="C7" s="3445" t="s">
        <v>3386</v>
      </c>
      <c r="D7" s="2463"/>
      <c r="E7" s="2464"/>
      <c r="F7" s="2465" t="s">
        <v>2253</v>
      </c>
      <c r="G7" s="3448" t="s">
        <v>3386</v>
      </c>
      <c r="H7" s="796"/>
      <c r="I7" s="796"/>
      <c r="J7" s="796"/>
      <c r="K7" s="796"/>
      <c r="L7" s="796"/>
      <c r="M7" s="796"/>
      <c r="N7" s="796"/>
      <c r="O7" s="796"/>
      <c r="P7" s="796"/>
      <c r="Q7" s="796"/>
      <c r="R7" s="796"/>
    </row>
    <row r="8" spans="1:29">
      <c r="A8" s="2438"/>
      <c r="B8" s="323" t="s">
        <v>2252</v>
      </c>
      <c r="C8" s="3445" t="s">
        <v>3388</v>
      </c>
      <c r="D8" s="2463"/>
      <c r="E8" s="2463"/>
      <c r="F8" s="2466"/>
      <c r="G8" s="2466"/>
      <c r="H8" s="796"/>
      <c r="I8" s="796"/>
      <c r="J8" s="796"/>
      <c r="K8" s="796"/>
      <c r="L8" s="796"/>
      <c r="M8" s="796"/>
      <c r="N8" s="796"/>
      <c r="O8" s="796"/>
      <c r="P8" s="796"/>
      <c r="Q8" s="796"/>
      <c r="R8" s="796"/>
    </row>
    <row r="9" spans="1:29">
      <c r="A9" s="2438"/>
      <c r="B9" s="323" t="s">
        <v>2254</v>
      </c>
      <c r="C9" s="3444" t="s">
        <v>3386</v>
      </c>
      <c r="D9" s="2460"/>
      <c r="E9" s="2463"/>
      <c r="F9" s="2466"/>
      <c r="G9" s="2466"/>
      <c r="H9" s="796"/>
      <c r="I9" s="796"/>
      <c r="J9" s="796"/>
      <c r="K9" s="796"/>
      <c r="L9" s="796"/>
      <c r="M9" s="796"/>
      <c r="N9" s="796"/>
      <c r="O9" s="796"/>
      <c r="P9" s="796"/>
      <c r="Q9" s="796"/>
      <c r="R9" s="796"/>
    </row>
    <row r="10" spans="1:29" s="2472" customFormat="1" ht="15" thickBot="1">
      <c r="A10" s="2439"/>
      <c r="B10" s="2467" t="s">
        <v>2255</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2271</v>
      </c>
      <c r="B13" s="2475"/>
      <c r="C13" s="2475"/>
      <c r="D13" s="2473"/>
      <c r="E13" s="2475"/>
      <c r="F13" s="2475"/>
      <c r="G13" s="2475"/>
    </row>
    <row r="14" spans="1:29" ht="15" thickBot="1">
      <c r="A14" s="2485"/>
      <c r="B14" s="2485"/>
      <c r="C14" s="2486" t="s">
        <v>2256</v>
      </c>
      <c r="D14" s="2460"/>
      <c r="E14" s="2487"/>
      <c r="F14" s="2487"/>
      <c r="G14" s="2456" t="s">
        <v>2257</v>
      </c>
    </row>
    <row r="15" spans="1:29" ht="24">
      <c r="A15" s="2440" t="s">
        <v>2258</v>
      </c>
      <c r="B15" s="2488" t="s">
        <v>2245</v>
      </c>
      <c r="C15" s="2489" t="str">
        <f>C3</f>
        <v>较好</v>
      </c>
      <c r="D15" s="2460"/>
      <c r="E15" s="2441" t="s">
        <v>2259</v>
      </c>
      <c r="F15" s="2488" t="s">
        <v>2260</v>
      </c>
      <c r="G15" s="2490" t="str">
        <f>G3</f>
        <v>较好</v>
      </c>
    </row>
    <row r="16" spans="1:29">
      <c r="A16" s="2442"/>
      <c r="B16" s="2491" t="s">
        <v>2247</v>
      </c>
      <c r="C16" s="2492" t="str">
        <f>C4</f>
        <v>较好</v>
      </c>
      <c r="D16" s="2460"/>
      <c r="E16" s="2443"/>
      <c r="F16" s="2493" t="s">
        <v>2248</v>
      </c>
      <c r="G16" s="2494" t="str">
        <f>G4</f>
        <v>较好</v>
      </c>
    </row>
    <row r="17" spans="1:18">
      <c r="A17" s="2442"/>
      <c r="B17" s="2491" t="s">
        <v>2249</v>
      </c>
      <c r="C17" s="2492" t="str">
        <f>C5</f>
        <v>较好</v>
      </c>
      <c r="D17" s="2463"/>
      <c r="E17" s="2443"/>
      <c r="F17" s="2493" t="s">
        <v>2261</v>
      </c>
      <c r="G17" s="3446" t="s">
        <v>3389</v>
      </c>
    </row>
    <row r="18" spans="1:18">
      <c r="A18" s="2442"/>
      <c r="B18" s="2493" t="s">
        <v>2251</v>
      </c>
      <c r="C18" s="2494" t="str">
        <f>C6</f>
        <v>较好</v>
      </c>
      <c r="D18" s="2463"/>
      <c r="E18" s="2443"/>
      <c r="F18" s="2493" t="s">
        <v>2253</v>
      </c>
      <c r="G18" s="2494" t="str">
        <f>G7</f>
        <v>较好</v>
      </c>
    </row>
    <row r="19" spans="1:18">
      <c r="A19" s="2442"/>
      <c r="B19" s="2493" t="s">
        <v>2262</v>
      </c>
      <c r="C19" s="3446" t="s">
        <v>3389</v>
      </c>
      <c r="D19" s="2460"/>
      <c r="E19" s="2443"/>
      <c r="F19" s="323" t="s">
        <v>2250</v>
      </c>
      <c r="G19" s="2494" t="str">
        <f>G5</f>
        <v>一般</v>
      </c>
    </row>
    <row r="20" spans="1:18">
      <c r="A20" s="2442"/>
      <c r="B20" s="2493" t="s">
        <v>2263</v>
      </c>
      <c r="C20" s="2492" t="str">
        <f>C9</f>
        <v>较好</v>
      </c>
      <c r="D20" s="2463"/>
      <c r="E20" s="2443"/>
      <c r="F20" s="323" t="s">
        <v>2252</v>
      </c>
      <c r="G20" s="2494" t="str">
        <f>G6</f>
        <v>七通</v>
      </c>
    </row>
    <row r="21" spans="1:18">
      <c r="A21" s="2442"/>
      <c r="B21" s="323" t="s">
        <v>2250</v>
      </c>
      <c r="C21" s="2494" t="str">
        <f>C7</f>
        <v>较好</v>
      </c>
      <c r="D21" s="2460"/>
      <c r="E21" s="2443"/>
      <c r="F21" s="2493" t="s">
        <v>2264</v>
      </c>
      <c r="G21" s="2496"/>
    </row>
    <row r="22" spans="1:18" ht="13.5" customHeight="1">
      <c r="A22" s="2442"/>
      <c r="B22" s="323" t="s">
        <v>2252</v>
      </c>
      <c r="C22" s="2494" t="str">
        <f>C8</f>
        <v>七通</v>
      </c>
      <c r="D22" s="2460"/>
      <c r="E22" s="2443"/>
      <c r="F22" s="2493" t="s">
        <v>2255</v>
      </c>
      <c r="G22" s="2495"/>
    </row>
    <row r="23" spans="1:18" s="796" customFormat="1" ht="15" thickBot="1">
      <c r="A23" s="2442"/>
      <c r="B23" s="2493" t="s">
        <v>2264</v>
      </c>
      <c r="C23" s="2496"/>
      <c r="D23" s="1738"/>
      <c r="E23" s="2444"/>
      <c r="F23" s="2497" t="s">
        <v>2265</v>
      </c>
      <c r="G23" s="2498"/>
      <c r="H23" s="2482"/>
      <c r="I23" s="2483"/>
      <c r="J23" s="2482"/>
      <c r="K23" s="2482"/>
      <c r="L23" s="2483"/>
      <c r="M23" s="2482"/>
      <c r="N23" s="2482"/>
      <c r="O23" s="2483"/>
      <c r="P23" s="2482"/>
      <c r="Q23" s="2482"/>
      <c r="R23" s="2484"/>
    </row>
    <row r="24" spans="1:18" s="796" customFormat="1" ht="15" thickBot="1">
      <c r="A24" s="2445"/>
      <c r="B24" s="2497" t="s">
        <v>2266</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I15" sqref="I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53704.159999999996</v>
      </c>
      <c r="C1" s="2677"/>
      <c r="D1" s="2677"/>
      <c r="E1" s="2677"/>
      <c r="F1" s="2677"/>
      <c r="G1" s="2678"/>
      <c r="H1" s="2679"/>
      <c r="I1" s="2679"/>
      <c r="J1" s="2679"/>
      <c r="K1" s="2679"/>
    </row>
    <row r="2" spans="1:11" ht="16.5">
      <c r="A2" s="2503" t="s">
        <v>653</v>
      </c>
      <c r="B2" s="2503">
        <f>SUM(C14:C23)</f>
        <v>27992.83</v>
      </c>
      <c r="C2" s="2677"/>
      <c r="D2" s="2677"/>
      <c r="E2" s="2677"/>
      <c r="F2" s="2677"/>
      <c r="G2" s="2678"/>
      <c r="H2" s="2679"/>
      <c r="I2" s="2679"/>
      <c r="J2" s="2679"/>
      <c r="K2" s="2679"/>
    </row>
    <row r="3" spans="1:11" ht="16.5">
      <c r="A3" s="2503" t="s">
        <v>662</v>
      </c>
      <c r="B3" s="2505">
        <f>项目基本情况!D3</f>
        <v>45072</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8909</v>
      </c>
      <c r="C5" s="2503">
        <f ca="1">IF(B5=D14,结果表!H102,ROUND(B5*10000/$B$1,0))</f>
        <v>1659</v>
      </c>
      <c r="D5" s="2503">
        <f ca="1">ROUND(B5*10000/$B$2,0)</f>
        <v>3183</v>
      </c>
      <c r="E5" s="2677"/>
      <c r="F5" s="2678"/>
      <c r="G5" s="2678"/>
      <c r="H5" s="2679"/>
      <c r="I5" s="2679"/>
      <c r="J5" s="2679"/>
      <c r="K5" s="2679"/>
    </row>
    <row r="6" spans="1:11" ht="16.5">
      <c r="A6" s="2503" t="s">
        <v>656</v>
      </c>
      <c r="B6" s="2503">
        <f ca="1">SUM(G14:G23)</f>
        <v>8909</v>
      </c>
      <c r="C6" s="2503">
        <f ca="1">IF(B6=G14,结果表!H108,ROUND(B6*10000/$B$1,0))</f>
        <v>1659</v>
      </c>
      <c r="D6" s="2503">
        <f ca="1">ROUND(B6*10000/$B$2,0)</f>
        <v>3183</v>
      </c>
      <c r="E6" s="2677"/>
      <c r="F6" s="2678"/>
      <c r="G6" s="2678"/>
      <c r="H6" s="2679"/>
      <c r="I6" s="2679"/>
      <c r="J6" s="2679"/>
      <c r="K6" s="2679"/>
    </row>
    <row r="7" spans="1:11" ht="16.5">
      <c r="A7" s="2503" t="s">
        <v>664</v>
      </c>
      <c r="B7" s="2503">
        <f>SUM(H14:H23)</f>
        <v>0</v>
      </c>
      <c r="C7" s="2503">
        <f>IF(B7=H14,结果表!H110,ROUND(B7*10000/$B$1,0))</f>
        <v>0</v>
      </c>
      <c r="D7" s="2503">
        <f>ROUND(B7*10000/$B$2,0)</f>
        <v>0</v>
      </c>
      <c r="E7" s="2677"/>
      <c r="F7" s="2678"/>
      <c r="G7" s="2678"/>
      <c r="H7" s="2679"/>
      <c r="I7" s="2679"/>
      <c r="J7" s="2679"/>
      <c r="K7" s="2679"/>
    </row>
    <row r="8" spans="1:11" ht="16.5">
      <c r="A8" s="2503" t="s">
        <v>587</v>
      </c>
      <c r="B8" s="2503">
        <f>SUM(I14:I23)</f>
        <v>0</v>
      </c>
      <c r="C8" s="2503">
        <f>IF(B8=I14,结果表!H112,ROUND(B8*10000/$B$1,0))</f>
        <v>0</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3344</v>
      </c>
      <c r="D10" s="2503" t="s">
        <v>3345</v>
      </c>
      <c r="E10" s="3432"/>
      <c r="F10" s="3436" t="s">
        <v>3346</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27041.94</v>
      </c>
      <c r="C14" s="2509">
        <f>结果表!C118</f>
        <v>17315.580000000002</v>
      </c>
      <c r="D14" s="2509">
        <f ca="1">结果表!H101</f>
        <v>4588</v>
      </c>
      <c r="E14" s="2509">
        <f ca="1">ROUND(D14*10000/B14,0)</f>
        <v>1697</v>
      </c>
      <c r="F14" s="2509">
        <f ca="1">ROUND(D14*10000/C14,0)</f>
        <v>2650</v>
      </c>
      <c r="G14" s="2509">
        <f ca="1">结果表!H107</f>
        <v>4588</v>
      </c>
      <c r="H14" s="2509" t="str">
        <f>结果表!H109</f>
        <v>——</v>
      </c>
      <c r="I14" s="2509" t="str">
        <f>结果表!H111</f>
        <v>——</v>
      </c>
      <c r="J14" s="2678"/>
      <c r="K14" s="2679"/>
    </row>
    <row r="15" spans="1:11" ht="16.5">
      <c r="A15" s="2508" t="s">
        <v>649</v>
      </c>
      <c r="B15" s="2510">
        <f>[4]系统读取表!B14</f>
        <v>26662.219999999998</v>
      </c>
      <c r="C15" s="2510">
        <f>[4]系统读取表!C14</f>
        <v>10677.25</v>
      </c>
      <c r="D15" s="2510">
        <f ca="1">[4]系统读取表!D14</f>
        <v>4321</v>
      </c>
      <c r="E15" s="2509">
        <f t="shared" ref="E15:E23" ca="1" si="0">ROUND(D15*10000/B15,0)</f>
        <v>1621</v>
      </c>
      <c r="F15" s="2509">
        <f t="shared" ref="F15:F23" ca="1" si="1">ROUND(D15*10000/C15,0)</f>
        <v>4047</v>
      </c>
      <c r="G15" s="2510">
        <f ca="1">[4]系统读取表!G14</f>
        <v>4321</v>
      </c>
      <c r="H15" s="2510" t="str">
        <f>[4]系统读取表!H14</f>
        <v>——</v>
      </c>
      <c r="I15" s="2510" t="str">
        <f>[4]系统读取表!I14</f>
        <v>——</v>
      </c>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40" sqref="H40"/>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1260</v>
      </c>
      <c r="B1" s="1744"/>
      <c r="C1" s="1745"/>
      <c r="D1" s="1744"/>
      <c r="E1" s="1744"/>
      <c r="F1" s="1746" t="s">
        <v>1261</v>
      </c>
      <c r="G1" s="1558" t="s">
        <v>3673</v>
      </c>
      <c r="H1" s="1747" t="str">
        <f>IF(G1="现房","——","估价对象范围")</f>
        <v>估价对象范围</v>
      </c>
      <c r="I1" s="1748" t="s">
        <v>3390</v>
      </c>
    </row>
    <row r="2" spans="1:12" ht="21.75" customHeight="1" thickBot="1">
      <c r="A2" s="3624" t="str">
        <f>项目基本情况!S2</f>
        <v>北京市出让国有建设用地使用权及在建建筑物房地产</v>
      </c>
      <c r="B2" s="3625"/>
      <c r="C2" s="3625"/>
      <c r="D2" s="3625"/>
      <c r="E2" s="3625"/>
      <c r="F2" s="3625"/>
      <c r="G2" s="3625"/>
      <c r="H2" s="3625"/>
      <c r="I2" s="3626"/>
    </row>
    <row r="3" spans="1:12" ht="12.75">
      <c r="A3" s="3628" t="s">
        <v>1262</v>
      </c>
      <c r="B3" s="3629"/>
      <c r="C3" s="3629"/>
      <c r="D3" s="3629"/>
      <c r="E3" s="3629"/>
      <c r="F3" s="3629"/>
      <c r="G3" s="3629"/>
      <c r="H3" s="3629"/>
      <c r="I3" s="3629"/>
    </row>
    <row r="4" spans="1:12" ht="14.25">
      <c r="A4" s="1751" t="s">
        <v>1263</v>
      </c>
      <c r="B4" s="1752" t="s">
        <v>1264</v>
      </c>
      <c r="C4" s="1753" t="s">
        <v>3393</v>
      </c>
      <c r="D4" s="1753" t="s">
        <v>3674</v>
      </c>
      <c r="E4" s="3633" t="s">
        <v>1265</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2" t="s">
        <v>1266</v>
      </c>
      <c r="B5" s="3627">
        <v>25</v>
      </c>
      <c r="C5" s="3630"/>
      <c r="D5" s="3618"/>
      <c r="E5" s="131" t="s">
        <v>1267</v>
      </c>
      <c r="F5" s="1754"/>
      <c r="G5" s="1754"/>
      <c r="H5" s="1754"/>
      <c r="I5" s="1370"/>
    </row>
    <row r="6" spans="1:12" ht="12.75">
      <c r="A6" s="3572"/>
      <c r="B6" s="3627"/>
      <c r="C6" s="3632"/>
      <c r="D6" s="3618"/>
      <c r="E6" s="131" t="s">
        <v>1268</v>
      </c>
      <c r="F6" s="1754"/>
      <c r="G6" s="1754"/>
      <c r="H6" s="1754"/>
      <c r="I6" s="1370"/>
    </row>
    <row r="7" spans="1:12" ht="12.75">
      <c r="A7" s="3572"/>
      <c r="B7" s="3627"/>
      <c r="C7" s="3631"/>
      <c r="D7" s="3618"/>
      <c r="E7" s="131" t="s">
        <v>1269</v>
      </c>
      <c r="F7" s="1754"/>
      <c r="G7" s="1754"/>
      <c r="H7" s="1754"/>
      <c r="I7" s="1370"/>
    </row>
    <row r="8" spans="1:12" ht="12.75">
      <c r="A8" s="3572" t="s">
        <v>1270</v>
      </c>
      <c r="B8" s="3627">
        <v>15</v>
      </c>
      <c r="C8" s="3630"/>
      <c r="D8" s="3618"/>
      <c r="E8" s="131" t="s">
        <v>1271</v>
      </c>
      <c r="F8" s="1754"/>
      <c r="G8" s="1754"/>
      <c r="H8" s="1754"/>
      <c r="I8" s="1370"/>
    </row>
    <row r="9" spans="1:12" ht="12.75">
      <c r="A9" s="3572"/>
      <c r="B9" s="3627"/>
      <c r="C9" s="3631"/>
      <c r="D9" s="3618"/>
      <c r="E9" s="131" t="s">
        <v>1272</v>
      </c>
      <c r="F9" s="1754"/>
      <c r="G9" s="1754"/>
      <c r="H9" s="1754"/>
      <c r="I9" s="1370"/>
    </row>
    <row r="10" spans="1:12" ht="12.75">
      <c r="A10" s="3572" t="s">
        <v>1273</v>
      </c>
      <c r="B10" s="3627">
        <v>15</v>
      </c>
      <c r="C10" s="3630"/>
      <c r="D10" s="3618"/>
      <c r="E10" s="131" t="s">
        <v>1274</v>
      </c>
      <c r="F10" s="1754"/>
      <c r="G10" s="1754"/>
      <c r="H10" s="1754"/>
      <c r="I10" s="1370"/>
    </row>
    <row r="11" spans="1:12" ht="12.75">
      <c r="A11" s="3572"/>
      <c r="B11" s="3627"/>
      <c r="C11" s="3631"/>
      <c r="D11" s="3618"/>
      <c r="E11" s="131" t="s">
        <v>1275</v>
      </c>
      <c r="F11" s="1754"/>
      <c r="G11" s="1754"/>
      <c r="H11" s="1754"/>
      <c r="I11" s="1370"/>
    </row>
    <row r="12" spans="1:12" ht="12.75">
      <c r="A12" s="3572" t="s">
        <v>1276</v>
      </c>
      <c r="B12" s="3627">
        <v>15</v>
      </c>
      <c r="C12" s="3630"/>
      <c r="D12" s="3618"/>
      <c r="E12" s="131" t="s">
        <v>1277</v>
      </c>
      <c r="F12" s="1754"/>
      <c r="G12" s="1754"/>
      <c r="H12" s="1754"/>
      <c r="I12" s="1370"/>
    </row>
    <row r="13" spans="1:12" ht="12.75">
      <c r="A13" s="3572"/>
      <c r="B13" s="3627"/>
      <c r="C13" s="3631"/>
      <c r="D13" s="3618"/>
      <c r="E13" s="131" t="s">
        <v>1278</v>
      </c>
      <c r="F13" s="1754"/>
      <c r="G13" s="1754"/>
      <c r="H13" s="1754"/>
      <c r="I13" s="1370"/>
    </row>
    <row r="14" spans="1:12" ht="12.75">
      <c r="A14" s="3572" t="s">
        <v>1279</v>
      </c>
      <c r="B14" s="3627">
        <v>30</v>
      </c>
      <c r="C14" s="3630">
        <v>6</v>
      </c>
      <c r="D14" s="3618">
        <f>10-C14</f>
        <v>4</v>
      </c>
      <c r="E14" s="131" t="s">
        <v>1280</v>
      </c>
      <c r="F14" s="1754"/>
      <c r="G14" s="1754"/>
      <c r="H14" s="1754"/>
      <c r="I14" s="1370"/>
    </row>
    <row r="15" spans="1:12" ht="12.75">
      <c r="A15" s="3572"/>
      <c r="B15" s="3627"/>
      <c r="C15" s="3632"/>
      <c r="D15" s="3618"/>
      <c r="E15" s="131" t="s">
        <v>1281</v>
      </c>
      <c r="F15" s="1754"/>
      <c r="G15" s="1754"/>
      <c r="H15" s="1754"/>
      <c r="I15" s="1370"/>
    </row>
    <row r="16" spans="1:12" ht="12.75">
      <c r="A16" s="3572"/>
      <c r="B16" s="3627"/>
      <c r="C16" s="3631"/>
      <c r="D16" s="3618"/>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49" t="s">
        <v>2128</v>
      </c>
      <c r="F18" s="3650"/>
      <c r="G18" s="3650"/>
      <c r="H18" s="3650"/>
      <c r="I18" s="3650"/>
      <c r="K18" s="302" t="s">
        <v>1287</v>
      </c>
      <c r="L18" s="302">
        <f>IF(C1="",'数据-汇总表'!E3,SUMIF(项目类型,C1,'数据-汇总表'!E17:E26)+SUMIF(项目类型,C1,'数据-汇总表'!I17:I26))</f>
        <v>27041.94</v>
      </c>
      <c r="M18" s="302">
        <f>IF(C1="",'数据-汇总表'!E3,SUMIF(项目类型,C1,'数据-汇总表'!E17:E26))</f>
        <v>27041.94</v>
      </c>
    </row>
    <row r="19" spans="1:36" ht="15">
      <c r="A19" s="1758" t="s">
        <v>1288</v>
      </c>
      <c r="B19" s="1759" t="s">
        <v>1289</v>
      </c>
      <c r="C19" s="134">
        <f ca="1">SUMIF(INDIRECT("'"&amp;C4&amp;"'"&amp;"!A:A"),结果表!B19,INDIRECT("'"&amp;C4&amp;"'"&amp;"!B:B"))</f>
        <v>5550</v>
      </c>
      <c r="D19" s="135">
        <f ca="1">SUMIF(INDIRECT("'"&amp;D4&amp;"'"&amp;"!A:A"),结果表!B19,INDIRECT("'"&amp;D4&amp;"'"&amp;"!B:B"))</f>
        <v>3146</v>
      </c>
      <c r="E19" s="1758" t="s">
        <v>1290</v>
      </c>
      <c r="F19" s="1759" t="s">
        <v>1289</v>
      </c>
      <c r="G19" s="136">
        <f ca="1">ROUND(C19*$C$18+D19*$D$18,0)</f>
        <v>4588</v>
      </c>
      <c r="H19" s="1760" t="s">
        <v>1291</v>
      </c>
      <c r="I19" s="129"/>
      <c r="K19" s="302" t="s">
        <v>1292</v>
      </c>
      <c r="L19" s="302">
        <f>IF(C1="",'数据-汇总表'!D3,SUMIF(项目类型,C1,'数据-汇总表'!D17:D26)+SUMIF(项目类型,C1,'数据-汇总表'!H17:H27))</f>
        <v>17315.580000000002</v>
      </c>
      <c r="M19" s="302">
        <f>IF(C1="",'数据-汇总表'!D3,SUMIF(项目类型,C1,'数据-汇总表'!D17:D26))</f>
        <v>17315.580000000002</v>
      </c>
    </row>
    <row r="20" spans="1:36" ht="15">
      <c r="A20" s="1761"/>
      <c r="B20" s="1023" t="s">
        <v>1293</v>
      </c>
      <c r="C20" s="137">
        <f ca="1">SUMIF(INDIRECT("'"&amp;C4&amp;"'"&amp;"!A:A"),结果表!B20,INDIRECT("'"&amp;C4&amp;"'"&amp;"!B:B"))</f>
        <v>2052</v>
      </c>
      <c r="D20" s="138">
        <f ca="1">SUMIF(INDIRECT("'"&amp;D4&amp;"'"&amp;"!A:A"),结果表!B20,INDIRECT("'"&amp;D4&amp;"'"&amp;"!B:B"))</f>
        <v>1163</v>
      </c>
      <c r="E20" s="1761"/>
      <c r="F20" s="1023" t="s">
        <v>1293</v>
      </c>
      <c r="G20" s="139">
        <f ca="1">ROUND(C20*$C$18+D20*$D$18,0)</f>
        <v>1696</v>
      </c>
      <c r="H20" s="805" t="s">
        <v>1294</v>
      </c>
      <c r="I20" s="129"/>
    </row>
    <row r="21" spans="1:36" ht="15" customHeight="1" thickBot="1">
      <c r="A21" s="825"/>
      <c r="B21" s="1762" t="s">
        <v>1295</v>
      </c>
      <c r="C21" s="716">
        <f ca="1">ROUND(C19*10000/L19,0)</f>
        <v>3205</v>
      </c>
      <c r="D21" s="717">
        <f ca="1">ROUND(D19*10000/L19,0)</f>
        <v>1817</v>
      </c>
      <c r="E21" s="825"/>
      <c r="F21" s="1762" t="s">
        <v>1295</v>
      </c>
      <c r="G21" s="140">
        <f ca="1">ROUND(G19*10000/L19,0)</f>
        <v>2650</v>
      </c>
      <c r="H21" s="1763" t="s">
        <v>1294</v>
      </c>
      <c r="I21" s="129"/>
    </row>
    <row r="22" spans="1:36" ht="15" thickBot="1">
      <c r="A22" s="1685" t="s">
        <v>1296</v>
      </c>
      <c r="B22" s="1764"/>
      <c r="C22" s="1765"/>
      <c r="D22" s="718">
        <f ca="1">IF(C19&lt;D19,D19/C19-1,C19/D19-1)</f>
        <v>0.76414494596312776</v>
      </c>
      <c r="E22" s="129"/>
      <c r="F22" s="129"/>
      <c r="G22" s="129"/>
      <c r="H22" s="129"/>
      <c r="I22" s="129"/>
    </row>
    <row r="23" spans="1:36" ht="13.5" thickBot="1">
      <c r="A23" s="1744"/>
      <c r="B23" s="1744"/>
      <c r="C23" s="1744"/>
      <c r="D23" s="1744"/>
      <c r="E23" s="129"/>
      <c r="F23" s="129"/>
      <c r="G23" s="129"/>
      <c r="H23" s="129"/>
      <c r="I23" s="129"/>
    </row>
    <row r="24" spans="1:36" ht="14.25">
      <c r="A24" s="3642" t="s">
        <v>1297</v>
      </c>
      <c r="B24" s="1759" t="s">
        <v>1289</v>
      </c>
      <c r="C24" s="136">
        <f>IF(B30=0,0,D30)</f>
        <v>0</v>
      </c>
      <c r="D24" s="1766"/>
      <c r="E24" s="129"/>
      <c r="F24" s="129"/>
      <c r="G24" s="129"/>
      <c r="H24" s="129"/>
      <c r="I24" s="129"/>
    </row>
    <row r="25" spans="1:36" ht="14.25">
      <c r="A25" s="3643"/>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1303</v>
      </c>
      <c r="B32" s="1771"/>
      <c r="C32" s="144">
        <f ca="1">IF(D32="总价",G19-C24,G20-C25)</f>
        <v>4588</v>
      </c>
      <c r="D32" s="1772" t="s">
        <v>3391</v>
      </c>
      <c r="E32" s="129"/>
      <c r="F32" s="129"/>
      <c r="G32" s="129"/>
      <c r="H32" s="129"/>
      <c r="I32" s="129"/>
    </row>
    <row r="33" spans="1:15" ht="15">
      <c r="A33" s="783" t="s">
        <v>1304</v>
      </c>
      <c r="B33" s="1773"/>
      <c r="C33" s="1774" t="s">
        <v>3392</v>
      </c>
      <c r="D33" s="1775" t="s">
        <v>3393</v>
      </c>
      <c r="E33" s="1776" t="s">
        <v>1305</v>
      </c>
      <c r="F33" s="1777" t="str">
        <f>IF(D32="楼面单价","取值（单价）","取值（总价）")</f>
        <v>取值（总价）</v>
      </c>
      <c r="G33" s="129"/>
      <c r="H33" s="129"/>
      <c r="I33" s="129"/>
    </row>
    <row r="34" spans="1:15" ht="15">
      <c r="A34" s="1778"/>
      <c r="B34" s="1779" t="s">
        <v>1306</v>
      </c>
      <c r="C34" s="148">
        <f ca="1">IF(C33="自定义",F34,C32-C35)</f>
        <v>3657</v>
      </c>
      <c r="D34" s="858">
        <f ca="1">IF(C33="自定义",ROUND(C34/C32,3),IF(C33="收益比率",SUMIF(INDIRECT("'"&amp;D33&amp;"'"&amp;"!b:b"),"土地收益比率",INDIRECT("'"&amp;D33&amp;"'"&amp;"!c:c")),SUMIF(INDIRECT("'"&amp;D33&amp;"'"&amp;"!b:b"),"土地成本比率",INDIRECT("'"&amp;D33&amp;"'"&amp;"!c:c"))))</f>
        <v>0.79699999999999993</v>
      </c>
      <c r="E34" s="1780" t="s">
        <v>1307</v>
      </c>
      <c r="F34" s="1327"/>
      <c r="G34" s="129"/>
      <c r="H34" s="129"/>
      <c r="I34" s="129"/>
    </row>
    <row r="35" spans="1:15" ht="15.75" thickBot="1">
      <c r="A35" s="1781"/>
      <c r="B35" s="1782" t="s">
        <v>1308</v>
      </c>
      <c r="C35" s="1167">
        <f ca="1">IF(C33="自定义",F35,ROUND(C32*D35,0))</f>
        <v>931</v>
      </c>
      <c r="D35" s="1168">
        <f ca="1">IF(C33="自定义",ROUND(C35/C32,3),IF(C33="收益比率",SUMIF(INDIRECT("'"&amp;D33&amp;"'"&amp;"!b:b"),"建筑物收益比率",INDIRECT("'"&amp;D33&amp;"'"&amp;"!c:c")),SUMIF(INDIRECT("'"&amp;D33&amp;"'"&amp;"!b:b"),"建筑物成本比率",INDIRECT("'"&amp;D33&amp;"'"&amp;"!c:c"))))</f>
        <v>0.20300000000000001</v>
      </c>
      <c r="E35" s="1783" t="s">
        <v>1309</v>
      </c>
      <c r="F35" s="154"/>
      <c r="G35" s="129"/>
      <c r="H35" s="129"/>
      <c r="I35" s="129"/>
    </row>
    <row r="36" spans="1:15" ht="15.75" thickBot="1">
      <c r="A36" s="3619" t="s">
        <v>1310</v>
      </c>
      <c r="B36" s="1784" t="s">
        <v>1311</v>
      </c>
      <c r="C36" s="145"/>
      <c r="D36" s="1785" t="s">
        <v>3394</v>
      </c>
      <c r="E36" s="1786"/>
      <c r="F36" s="1787"/>
      <c r="G36" s="129"/>
      <c r="H36" s="129"/>
      <c r="I36" s="129"/>
    </row>
    <row r="37" spans="1:15" ht="15.75" thickBot="1">
      <c r="A37" s="3620"/>
      <c r="B37" s="1671" t="s">
        <v>1312</v>
      </c>
      <c r="C37" s="147"/>
      <c r="D37" s="1136"/>
      <c r="E37" s="1136"/>
      <c r="F37" s="1787"/>
      <c r="G37" s="129"/>
      <c r="H37" s="129"/>
      <c r="I37" s="129"/>
    </row>
    <row r="38" spans="1:15" ht="15.75" thickBot="1">
      <c r="A38" s="3621"/>
      <c r="B38" s="1788" t="s">
        <v>1313</v>
      </c>
      <c r="C38" s="671"/>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639" t="s">
        <v>1324</v>
      </c>
      <c r="B45" s="3640"/>
      <c r="C45" s="3641"/>
      <c r="D45" s="155">
        <f ca="1">ROUND(H101*F45,0)</f>
        <v>4588</v>
      </c>
      <c r="E45" s="156" t="s">
        <v>1325</v>
      </c>
      <c r="F45" s="157">
        <v>1</v>
      </c>
      <c r="G45" s="158" t="s">
        <v>1326</v>
      </c>
      <c r="H45" s="129"/>
      <c r="I45" s="129"/>
      <c r="J45" s="3559" t="s">
        <v>1327</v>
      </c>
      <c r="K45" s="3559"/>
      <c r="L45" s="3559"/>
      <c r="M45" s="3559"/>
      <c r="N45" s="3559"/>
      <c r="O45" s="3559"/>
    </row>
    <row r="46" spans="1:15" ht="14.25" hidden="1" customHeight="1">
      <c r="A46" s="3636" t="s">
        <v>1328</v>
      </c>
      <c r="B46" s="3637"/>
      <c r="C46" s="3637"/>
      <c r="D46" s="3637"/>
      <c r="E46" s="3637"/>
      <c r="F46" s="3637"/>
      <c r="G46" s="3638"/>
      <c r="H46" s="1803"/>
      <c r="I46" s="159"/>
      <c r="J46" s="2514">
        <v>1</v>
      </c>
      <c r="K46" s="3560" t="s">
        <v>1329</v>
      </c>
      <c r="L46" s="3560"/>
      <c r="M46" s="3561"/>
      <c r="N46" s="3561"/>
      <c r="O46" s="3561"/>
    </row>
    <row r="47" spans="1:15" ht="12" hidden="1" customHeight="1">
      <c r="A47" s="160" t="s">
        <v>1330</v>
      </c>
      <c r="B47" s="161"/>
      <c r="C47" s="162"/>
      <c r="D47" s="1084" t="s">
        <v>1331</v>
      </c>
      <c r="E47" s="302" t="s">
        <v>1332</v>
      </c>
      <c r="F47" s="163" t="s">
        <v>1333</v>
      </c>
      <c r="G47" s="2537" t="s">
        <v>1334</v>
      </c>
      <c r="H47" s="2538"/>
      <c r="I47" s="159"/>
      <c r="J47" s="2514">
        <v>2</v>
      </c>
      <c r="K47" s="3560" t="s">
        <v>1335</v>
      </c>
      <c r="L47" s="3560"/>
      <c r="M47" s="3562">
        <f>'数据-取费表'!B2</f>
        <v>45072</v>
      </c>
      <c r="N47" s="3562"/>
      <c r="O47" s="3562"/>
    </row>
    <row r="48" spans="1:15" ht="25.5" hidden="1">
      <c r="A48" s="3622" t="s">
        <v>1336</v>
      </c>
      <c r="B48" s="3623"/>
      <c r="C48" s="3623"/>
      <c r="D48" s="2320">
        <f ca="1">IF(H48="情况1",0,IF(H48="情况2",D52,IF(H48="情况3",D53,IF(H48="情况4",D54))))</f>
        <v>240</v>
      </c>
      <c r="E48" s="2330" t="str">
        <f>IF(H48="情况4","(销售额-原购置价)×税（费）率","销售额×税（费）率")</f>
        <v>(销售额-原购置价)×税（费）率</v>
      </c>
      <c r="F48" s="2539">
        <f>IF(H48="情况1","免征",'数据-取费表'!B41)</f>
        <v>5.5000000000000007E-2</v>
      </c>
      <c r="G48" s="2540" t="s">
        <v>1337</v>
      </c>
      <c r="H48" s="2541" t="s">
        <v>3395</v>
      </c>
      <c r="I48" s="1803"/>
      <c r="J48" s="2514">
        <v>3</v>
      </c>
      <c r="K48" s="3560" t="s">
        <v>1338</v>
      </c>
      <c r="L48" s="3560"/>
      <c r="M48" s="3563">
        <f ca="1">H101</f>
        <v>4588</v>
      </c>
      <c r="N48" s="3563"/>
      <c r="O48" s="3563"/>
    </row>
    <row r="49" spans="1:35" ht="25.5" hidden="1" customHeight="1">
      <c r="A49" s="2329" t="s">
        <v>1339</v>
      </c>
      <c r="B49" s="3608" t="s">
        <v>1340</v>
      </c>
      <c r="C49" s="3608"/>
      <c r="D49" s="1587">
        <v>0</v>
      </c>
      <c r="E49" s="324" t="s">
        <v>1341</v>
      </c>
      <c r="F49" s="2420" t="s">
        <v>28</v>
      </c>
      <c r="G49" s="3591"/>
      <c r="H49" s="2306" t="s">
        <v>2131</v>
      </c>
      <c r="I49" s="2307"/>
      <c r="J49" s="2514">
        <v>4</v>
      </c>
      <c r="K49" s="3560" t="str">
        <f>IF(项目基本情况!E8="房地产抵押价值","房地产抵押价值","抵押担保权已注销时的房地产抵押价值")</f>
        <v>房地产抵押价值</v>
      </c>
      <c r="L49" s="3560"/>
      <c r="M49" s="3563">
        <f ca="1">IF(项目基本情况!E8="房地产抵押价值",H107,H109)</f>
        <v>4588</v>
      </c>
      <c r="N49" s="3563"/>
      <c r="O49" s="3563"/>
    </row>
    <row r="50" spans="1:35" ht="25.5" hidden="1" customHeight="1">
      <c r="A50" s="2542"/>
      <c r="B50" s="3608" t="s">
        <v>1342</v>
      </c>
      <c r="C50" s="3608"/>
      <c r="D50" s="2543"/>
      <c r="E50" s="332"/>
      <c r="F50" s="2420"/>
      <c r="G50" s="3592"/>
      <c r="H50" s="2308" t="s">
        <v>2132</v>
      </c>
      <c r="I50" s="2307"/>
      <c r="J50" s="3559" t="s">
        <v>1343</v>
      </c>
      <c r="K50" s="3559"/>
      <c r="L50" s="3559"/>
      <c r="M50" s="3559"/>
      <c r="N50" s="3559"/>
      <c r="O50" s="3559"/>
    </row>
    <row r="51" spans="1:35" ht="20.45" hidden="1" customHeight="1">
      <c r="A51" s="2544"/>
      <c r="B51" s="3608" t="s">
        <v>1344</v>
      </c>
      <c r="C51" s="3608"/>
      <c r="D51" s="1084"/>
      <c r="E51" s="327"/>
      <c r="F51" s="2420"/>
      <c r="G51" s="3593"/>
      <c r="H51" s="2308" t="s">
        <v>2133</v>
      </c>
      <c r="I51" s="2307"/>
      <c r="J51" s="2515" t="s">
        <v>1345</v>
      </c>
      <c r="K51" s="3560" t="s">
        <v>1346</v>
      </c>
      <c r="L51" s="3560"/>
      <c r="M51" s="2515" t="s">
        <v>1347</v>
      </c>
      <c r="N51" s="2515" t="s">
        <v>1348</v>
      </c>
      <c r="O51" s="2515" t="s">
        <v>1349</v>
      </c>
    </row>
    <row r="52" spans="1:35" ht="24" hidden="1" customHeight="1">
      <c r="A52" s="2331" t="s">
        <v>1350</v>
      </c>
      <c r="B52" s="3608" t="s">
        <v>1351</v>
      </c>
      <c r="C52" s="3608"/>
      <c r="D52" s="1084">
        <f ca="1">ROUND(D45*'数据-取费表'!B41/(1+'数据-取费表'!C42),0)</f>
        <v>240</v>
      </c>
      <c r="E52" s="2330" t="s">
        <v>1352</v>
      </c>
      <c r="F52" s="2545">
        <f>'数据-取费表'!B41</f>
        <v>5.5000000000000007E-2</v>
      </c>
      <c r="G52" s="2546"/>
      <c r="H52" s="2535"/>
      <c r="I52" s="1804"/>
      <c r="J52" s="2514">
        <v>1</v>
      </c>
      <c r="K52" s="3585" t="s">
        <v>1353</v>
      </c>
      <c r="L52" s="3585"/>
      <c r="M52" s="2516">
        <f ca="1">D48</f>
        <v>240</v>
      </c>
      <c r="N52" s="2514" t="str">
        <f>E48</f>
        <v>(销售额-原购置价)×税（费）率</v>
      </c>
      <c r="O52" s="2517">
        <f>F48</f>
        <v>5.5000000000000007E-2</v>
      </c>
    </row>
    <row r="53" spans="1:35" ht="12" hidden="1" customHeight="1">
      <c r="A53" s="2331" t="s">
        <v>1354</v>
      </c>
      <c r="B53" s="3609" t="s">
        <v>2275</v>
      </c>
      <c r="C53" s="3610"/>
      <c r="D53" s="1084">
        <f ca="1">ROUND(D45*'数据-取费表'!B41/(1+'数据-取费表'!C42),0)</f>
        <v>240</v>
      </c>
      <c r="E53" s="2330" t="s">
        <v>1352</v>
      </c>
      <c r="F53" s="2545">
        <f>'数据-取费表'!B41</f>
        <v>5.5000000000000007E-2</v>
      </c>
      <c r="G53" s="2546"/>
      <c r="H53" s="2535"/>
      <c r="I53" s="1804"/>
      <c r="J53" s="2514">
        <v>2</v>
      </c>
      <c r="K53" s="3585" t="s">
        <v>1355</v>
      </c>
      <c r="L53" s="3585"/>
      <c r="M53" s="2516">
        <f t="shared" ref="M53:O54" ca="1" si="0">D55</f>
        <v>2</v>
      </c>
      <c r="N53" s="2514" t="str">
        <f t="shared" si="0"/>
        <v>销售额×税（费）率</v>
      </c>
      <c r="O53" s="2517">
        <f t="shared" si="0"/>
        <v>5.0000000000000001E-4</v>
      </c>
    </row>
    <row r="54" spans="1:35" ht="12" hidden="1" customHeight="1">
      <c r="A54" s="2331" t="s">
        <v>1356</v>
      </c>
      <c r="B54" s="3609" t="s">
        <v>2276</v>
      </c>
      <c r="C54" s="3610"/>
      <c r="D54" s="1084">
        <f ca="1">C68</f>
        <v>240</v>
      </c>
      <c r="E54" s="327" t="s">
        <v>1357</v>
      </c>
      <c r="F54" s="2545">
        <f>'数据-取费表'!B41</f>
        <v>5.5000000000000007E-2</v>
      </c>
      <c r="G54" s="2546"/>
      <c r="H54" s="2547"/>
      <c r="I54" s="1804"/>
      <c r="J54" s="2514">
        <v>3</v>
      </c>
      <c r="K54" s="3585" t="s">
        <v>1358</v>
      </c>
      <c r="L54" s="3585"/>
      <c r="M54" s="2516">
        <f t="shared" ca="1" si="0"/>
        <v>2601</v>
      </c>
      <c r="N54" s="2514" t="str">
        <f t="shared" si="0"/>
        <v>增值额×税（费）率</v>
      </c>
      <c r="O54" s="2518" t="str">
        <f t="shared" si="0"/>
        <v>——</v>
      </c>
    </row>
    <row r="55" spans="1:35" ht="24" hidden="1" customHeight="1">
      <c r="A55" s="3645" t="s">
        <v>1359</v>
      </c>
      <c r="B55" s="3623"/>
      <c r="C55" s="3623"/>
      <c r="D55" s="2320">
        <f ca="1">IF(H55="个人住宅",0,ROUND(D45*I55,0))</f>
        <v>2</v>
      </c>
      <c r="E55" s="2330" t="s">
        <v>1360</v>
      </c>
      <c r="F55" s="2545">
        <f>IF(H55="正常",I55,"免征")</f>
        <v>5.0000000000000001E-4</v>
      </c>
      <c r="G55" s="2546"/>
      <c r="H55" s="2541" t="s">
        <v>3396</v>
      </c>
      <c r="I55" s="165">
        <f>'数据-取费表'!B49</f>
        <v>5.0000000000000001E-4</v>
      </c>
      <c r="J55" s="2514" t="str">
        <f>IF(H59="非个人房产","",4)</f>
        <v/>
      </c>
      <c r="K55" s="3585" t="str">
        <f>IF(H59="非个人房产","——","个人所得税")</f>
        <v>——</v>
      </c>
      <c r="L55" s="3585"/>
      <c r="M55" s="2519" t="str">
        <f>D59</f>
        <v>——</v>
      </c>
      <c r="N55" s="2036" t="str">
        <f>E59</f>
        <v>——</v>
      </c>
      <c r="O55" s="2520" t="str">
        <f>F59</f>
        <v>——</v>
      </c>
    </row>
    <row r="56" spans="1:35" ht="24.75" hidden="1">
      <c r="A56" s="3645" t="s">
        <v>1361</v>
      </c>
      <c r="B56" s="3623"/>
      <c r="C56" s="3623"/>
      <c r="D56" s="2320">
        <f ca="1">IF(H56="个人住宅",D57,D58)</f>
        <v>2601</v>
      </c>
      <c r="E56" s="2330" t="s">
        <v>1362</v>
      </c>
      <c r="F56" s="2545" t="str">
        <f>IF(H56="正常",F58,"免征")</f>
        <v>——</v>
      </c>
      <c r="G56" s="2548" t="s">
        <v>1363</v>
      </c>
      <c r="H56" s="2549" t="s">
        <v>3396</v>
      </c>
      <c r="I56" s="1805"/>
      <c r="J56" s="2514" t="str">
        <f>IF(项目基本情况!K6="上海银行",IF(J55="",4,J55+1),"")</f>
        <v/>
      </c>
      <c r="K56" s="3566" t="str">
        <f>IF(项目基本情况!K6="上海银行","其他处置费用","")</f>
        <v/>
      </c>
      <c r="L56" s="3567"/>
      <c r="M56" s="2516" t="str">
        <f>IF(项目基本情况!K6="上海银行",M69,"")</f>
        <v/>
      </c>
      <c r="N56" s="3566" t="str">
        <f>IF(项目基本情况!K6="上海银行","包含处置中涉及的律师、诉讼、拍卖、评估等费用","")</f>
        <v/>
      </c>
      <c r="O56" s="3569"/>
    </row>
    <row r="57" spans="1:35" ht="12.75" hidden="1">
      <c r="A57" s="2331" t="s">
        <v>1339</v>
      </c>
      <c r="B57" s="3609" t="s">
        <v>1364</v>
      </c>
      <c r="C57" s="3610"/>
      <c r="D57" s="1587">
        <v>0</v>
      </c>
      <c r="E57" s="324" t="s">
        <v>1341</v>
      </c>
      <c r="F57" s="302"/>
      <c r="G57" s="2546"/>
      <c r="H57" s="2550"/>
      <c r="I57" s="1805"/>
      <c r="J57" s="3585">
        <f>IF(AND(J55="",J56=""),4,IF(项目基本情况!K6="上海银行",结果表!J56+1,结果表!J55+1))</f>
        <v>4</v>
      </c>
      <c r="K57" s="3585" t="s">
        <v>1365</v>
      </c>
      <c r="L57" s="2521" t="s">
        <v>1366</v>
      </c>
      <c r="M57" s="2522"/>
      <c r="N57" s="2523">
        <f ca="1">SUMIF(M52:M56,"&lt;9e307")</f>
        <v>2843</v>
      </c>
      <c r="O57" s="2524"/>
      <c r="P57" s="2681">
        <f ca="1">N57/M49</f>
        <v>0.61965998256320842</v>
      </c>
    </row>
    <row r="58" spans="1:35" ht="24.75" hidden="1">
      <c r="A58" s="2331" t="s">
        <v>1350</v>
      </c>
      <c r="B58" s="3609" t="s">
        <v>1367</v>
      </c>
      <c r="C58" s="3608"/>
      <c r="D58" s="2320">
        <f ca="1">IF(H58="转让取得",C81,C97)</f>
        <v>2601</v>
      </c>
      <c r="E58" s="2330" t="s">
        <v>1362</v>
      </c>
      <c r="F58" s="302" t="s">
        <v>28</v>
      </c>
      <c r="G58" s="2546"/>
      <c r="H58" s="2549" t="s">
        <v>3397</v>
      </c>
      <c r="I58" s="1805"/>
      <c r="J58" s="3585"/>
      <c r="K58" s="3585"/>
      <c r="L58" s="2521" t="s">
        <v>1368</v>
      </c>
      <c r="M58" s="2525"/>
      <c r="N58" s="2526" t="str">
        <f ca="1">NUMBERSTRING(INT(N57*10000),2)&amp;"元整"</f>
        <v>贰仟捌佰肆拾叁万元整</v>
      </c>
      <c r="O58" s="2527"/>
    </row>
    <row r="59" spans="1:35" ht="24.75" hidden="1" thickBot="1">
      <c r="A59" s="3589" t="s">
        <v>1369</v>
      </c>
      <c r="B59" s="3590"/>
      <c r="C59" s="3590"/>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10" t="s">
        <v>3398</v>
      </c>
      <c r="I59" s="2309" t="s">
        <v>2134</v>
      </c>
      <c r="J59" s="3587">
        <f>J57+1</f>
        <v>5</v>
      </c>
      <c r="K59" s="3585" t="s">
        <v>1370</v>
      </c>
      <c r="L59" s="2514" t="s">
        <v>1366</v>
      </c>
      <c r="M59" s="2528"/>
      <c r="N59" s="2529">
        <f ca="1">M49-N57</f>
        <v>1745</v>
      </c>
      <c r="O59" s="2530"/>
    </row>
    <row r="60" spans="1:35" ht="12" hidden="1" customHeight="1">
      <c r="A60" s="1806"/>
      <c r="B60" s="1744"/>
      <c r="C60" s="1744"/>
      <c r="D60" s="1744"/>
      <c r="E60" s="1575"/>
      <c r="F60" s="1805"/>
      <c r="G60" s="1805"/>
      <c r="H60" s="1807"/>
      <c r="I60" s="129"/>
      <c r="J60" s="3588"/>
      <c r="K60" s="3585"/>
      <c r="L60" s="2521" t="s">
        <v>1368</v>
      </c>
      <c r="M60" s="2525"/>
      <c r="N60" s="2526" t="str">
        <f ca="1">NUMBERSTRING(INT(N59*10000),2)&amp;"元整"</f>
        <v>壹仟柒佰肆拾伍万元整</v>
      </c>
      <c r="O60" s="2527"/>
    </row>
    <row r="61" spans="1:35" ht="13.5" hidden="1" thickBot="1">
      <c r="A61" s="3644" t="s">
        <v>1371</v>
      </c>
      <c r="B61" s="3644"/>
      <c r="C61" s="3644"/>
      <c r="D61" s="3644"/>
      <c r="E61" s="3644"/>
      <c r="F61" s="1805"/>
      <c r="G61" s="1805"/>
      <c r="H61" s="1807"/>
      <c r="I61" s="129"/>
      <c r="J61" s="2514">
        <f>J59+1</f>
        <v>6</v>
      </c>
      <c r="K61" s="3585" t="s">
        <v>1372</v>
      </c>
      <c r="L61" s="3585"/>
      <c r="M61" s="2531"/>
      <c r="N61" s="2532">
        <f ca="1">ROUND(N59*10000/'数据-汇总表'!E3,0)</f>
        <v>645</v>
      </c>
      <c r="O61" s="2533"/>
    </row>
    <row r="62" spans="1:35" ht="12.75" hidden="1">
      <c r="A62" s="3604" t="s">
        <v>1373</v>
      </c>
      <c r="B62" s="3605"/>
      <c r="C62" s="2017"/>
      <c r="D62" s="2017" t="s">
        <v>1374</v>
      </c>
      <c r="E62" s="166" t="s">
        <v>1375</v>
      </c>
      <c r="F62" s="1805"/>
      <c r="G62" s="1805"/>
      <c r="H62" s="1807"/>
      <c r="I62" s="129"/>
    </row>
    <row r="63" spans="1:35" ht="12.75" hidden="1">
      <c r="A63" s="173" t="s">
        <v>330</v>
      </c>
      <c r="B63" s="167" t="s">
        <v>1376</v>
      </c>
      <c r="C63" s="2555">
        <f ca="1">ROUND((C64+C65)/(1+'数据-取费表'!C42),0)</f>
        <v>4370</v>
      </c>
      <c r="D63" s="167"/>
      <c r="E63" s="168"/>
      <c r="F63" s="1805"/>
      <c r="G63" s="1805"/>
      <c r="H63" s="1807"/>
      <c r="I63" s="129"/>
      <c r="J63" s="3568" t="s">
        <v>1377</v>
      </c>
      <c r="K63" s="1329" t="s">
        <v>1378</v>
      </c>
      <c r="L63" s="1329">
        <f ca="1">IF(M49&gt;10000,M49*0.5%,IF(AND(M49&gt;1000,M49&lt;=10000),M49*1%,IF(AND(M49&gt;100,M49&lt;=1000),M49*3%,IF(AND(M49&gt;10,M49&lt;=100),M49*5%,M49*8%))))</f>
        <v>45.88</v>
      </c>
      <c r="M63" s="302">
        <f ca="1">ROUND(L63,1)</f>
        <v>45.9</v>
      </c>
      <c r="N63" s="2534"/>
      <c r="Z63" s="1749"/>
      <c r="AI63" s="1750"/>
    </row>
    <row r="64" spans="1:35" ht="14.25" hidden="1" customHeight="1">
      <c r="A64" s="169" t="s">
        <v>325</v>
      </c>
      <c r="B64" s="170" t="s">
        <v>1379</v>
      </c>
      <c r="C64" s="2556">
        <f ca="1">D45</f>
        <v>4588</v>
      </c>
      <c r="D64" s="170" t="s">
        <v>26</v>
      </c>
      <c r="E64" s="172"/>
      <c r="F64" s="1805"/>
      <c r="G64" s="1805"/>
      <c r="H64" s="1807"/>
      <c r="I64" s="129"/>
      <c r="J64" s="3568"/>
      <c r="K64" s="1329" t="s">
        <v>1380</v>
      </c>
      <c r="L64" s="1329">
        <f ca="1">IF(M49&gt;2000,M49*0.5%,IF(AND(M49&gt;1000,M49&lt;=2000),M49*0.6%,IF(AND(M49&gt;500,M49&lt;=1000),M49*0.7%,IF(AND(M49&gt;200,M49&lt;=500),M49*0.8%,IF(AND(M49&gt;100,M49&lt;=200),M49*0.9%,IF(AND(M49&gt;50,M49&lt;=100),M49*1%,IF(AND(M49&gt;20,M49&lt;=50),M49*1.5%,IF(AND(M49&gt;10,M49&lt;=20),M49*2%,IF(AND(M49&gt;1,M49&lt;=10),M49*2.5%)))))))))</f>
        <v>22.94</v>
      </c>
      <c r="M64" s="302">
        <f t="shared" ref="M64:M65" ca="1" si="1">ROUND(L64,1)</f>
        <v>22.9</v>
      </c>
      <c r="N64" s="2535" t="s">
        <v>1381</v>
      </c>
      <c r="Z64" s="1749"/>
      <c r="AI64" s="1750"/>
    </row>
    <row r="65" spans="1:35" ht="14.25" hidden="1" customHeight="1">
      <c r="A65" s="169" t="s">
        <v>326</v>
      </c>
      <c r="B65" s="170" t="s">
        <v>1382</v>
      </c>
      <c r="C65" s="2557"/>
      <c r="D65" s="170"/>
      <c r="E65" s="172"/>
      <c r="F65" s="1805"/>
      <c r="G65" s="1805"/>
      <c r="H65" s="1807"/>
      <c r="I65" s="129"/>
      <c r="J65" s="3568"/>
      <c r="K65" s="1329" t="s">
        <v>1383</v>
      </c>
      <c r="L65" s="1329">
        <f ca="1">IF(M49&gt;1000,M49*0.1%,IF(AND(M49&gt;500,M49&lt;=1000),M49*0.5%,IF(AND(M49&gt;50,M49&lt;=500),M49*1%,IF(AND(M49&gt;1,M49&lt;=50),M49*1.5%))))</f>
        <v>4.5880000000000001</v>
      </c>
      <c r="M65" s="302">
        <f t="shared" ca="1" si="1"/>
        <v>4.5999999999999996</v>
      </c>
      <c r="N65" s="2535" t="s">
        <v>1381</v>
      </c>
      <c r="Z65" s="1749"/>
      <c r="AI65" s="1750"/>
    </row>
    <row r="66" spans="1:35" ht="14.25" hidden="1" customHeight="1">
      <c r="A66" s="173" t="s">
        <v>327</v>
      </c>
      <c r="B66" s="174" t="s">
        <v>1384</v>
      </c>
      <c r="C66" s="2558">
        <f>C75/1.05</f>
        <v>0</v>
      </c>
      <c r="D66" s="174" t="s">
        <v>26</v>
      </c>
      <c r="E66" s="1335" t="s">
        <v>671</v>
      </c>
      <c r="F66" s="1805"/>
      <c r="G66" s="1805"/>
      <c r="H66" s="1807"/>
      <c r="I66" s="129"/>
      <c r="J66" s="3568"/>
      <c r="K66" s="1329" t="s">
        <v>1385</v>
      </c>
      <c r="L66" s="1329">
        <f ca="1">M49*0.5%</f>
        <v>22.94</v>
      </c>
      <c r="M66" s="302">
        <f ca="1">IF(L66&gt;0.5,0.5,ROUND(L66,0))</f>
        <v>0.5</v>
      </c>
      <c r="N66" s="2535" t="s">
        <v>1386</v>
      </c>
      <c r="Z66" s="1749"/>
      <c r="AI66" s="1750"/>
    </row>
    <row r="67" spans="1:35" ht="14.25" hidden="1" customHeight="1">
      <c r="A67" s="173" t="s">
        <v>328</v>
      </c>
      <c r="B67" s="174" t="s">
        <v>1387</v>
      </c>
      <c r="C67" s="2559">
        <f ca="1">C63-C66</f>
        <v>4370</v>
      </c>
      <c r="D67" s="170" t="s">
        <v>26</v>
      </c>
      <c r="E67" s="172"/>
      <c r="F67" s="1805"/>
      <c r="G67" s="1805"/>
      <c r="H67" s="1807"/>
      <c r="I67" s="129"/>
      <c r="J67" s="3568"/>
      <c r="K67" s="1329" t="s">
        <v>1388</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4"/>
      <c r="Z67" s="1749"/>
      <c r="AI67" s="1750"/>
    </row>
    <row r="68" spans="1:35" ht="14.25" hidden="1" customHeight="1" thickBot="1">
      <c r="A68" s="176" t="s">
        <v>329</v>
      </c>
      <c r="B68" s="177" t="s">
        <v>1389</v>
      </c>
      <c r="C68" s="2560">
        <f ca="1">IF(C67&lt;=0,0,ROUND(C67*D68,0))</f>
        <v>240</v>
      </c>
      <c r="D68" s="2561">
        <f>'数据-取费表'!B41</f>
        <v>5.5000000000000007E-2</v>
      </c>
      <c r="E68" s="178"/>
      <c r="F68" s="1805"/>
      <c r="G68" s="1805"/>
      <c r="H68" s="1807"/>
      <c r="I68" s="129"/>
      <c r="J68" s="3568"/>
      <c r="K68" s="1329" t="s">
        <v>1390</v>
      </c>
      <c r="L68" s="1329">
        <f ca="1">IF(M49&gt;10000,M49*0.5%,IF(AND(M49&gt;5000,M49&lt;=10000),M49*1%,IF(AND(M49&gt;1000,M49&lt;=5000),M49*2%,IF(AND(M49&gt;200,M49&lt;=1000),M49*3%,M49*5%))))</f>
        <v>91.76</v>
      </c>
      <c r="M68" s="302">
        <f ca="1">ROUND(L68,1)</f>
        <v>91.8</v>
      </c>
      <c r="N68" s="2534"/>
      <c r="Z68" s="1749"/>
      <c r="AI68" s="1750"/>
    </row>
    <row r="69" spans="1:35" s="1769" customFormat="1" ht="16.5" hidden="1" customHeight="1">
      <c r="A69" s="1808"/>
      <c r="B69" s="1809"/>
      <c r="C69" s="1810"/>
      <c r="D69" s="1811"/>
      <c r="E69" s="1812"/>
      <c r="F69" s="1575"/>
      <c r="G69" s="1575"/>
      <c r="H69" s="1574"/>
      <c r="I69" s="1744"/>
      <c r="J69" s="3568"/>
      <c r="K69" s="1329" t="s">
        <v>1391</v>
      </c>
      <c r="L69" s="1329"/>
      <c r="M69" s="302">
        <f ca="1">ROUND(SUM(M63:M68),0)</f>
        <v>168</v>
      </c>
      <c r="N69" s="2536">
        <f ca="1">M69/M49</f>
        <v>3.6617262423714034E-2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12" t="s">
        <v>1392</v>
      </c>
      <c r="B70" s="3613"/>
      <c r="C70" s="3613"/>
      <c r="D70" s="3613"/>
      <c r="E70" s="3613"/>
      <c r="F70" s="3613"/>
      <c r="G70" s="3613"/>
      <c r="H70" s="3613"/>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04" t="s">
        <v>1373</v>
      </c>
      <c r="B71" s="3605"/>
      <c r="C71" s="2017"/>
      <c r="D71" s="2017" t="s">
        <v>1374</v>
      </c>
      <c r="E71" s="179" t="s">
        <v>1375</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9">
        <f ca="1">ROUND(D45/(1+'数据-取费表'!C42),0)</f>
        <v>4370</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9">
        <f ca="1">C74+C78</f>
        <v>22</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2"/>
      <c r="D75" s="170" t="s">
        <v>26</v>
      </c>
      <c r="E75" s="184" t="s">
        <v>1397</v>
      </c>
      <c r="F75" s="2563" t="s">
        <v>3399</v>
      </c>
      <c r="G75" s="184"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5">
        <v>0.05</v>
      </c>
      <c r="E76" s="3609" t="s">
        <v>1400</v>
      </c>
      <c r="F76" s="3608"/>
      <c r="G76" s="3608"/>
      <c r="H76" s="361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6">
        <f>'数据-取费表'!B48+'数据-取费表'!B49</f>
        <v>3.0499999999999999E-2</v>
      </c>
      <c r="E77" s="2320" t="s">
        <v>1402</v>
      </c>
      <c r="F77" s="186"/>
      <c r="G77" s="1819" t="s">
        <v>3400</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7">
        <f ca="1">ROUND(D45*D78/(1+'数据-取费表'!C42),0)</f>
        <v>22</v>
      </c>
      <c r="D78" s="2568">
        <f>'数据-取费表'!B43</f>
        <v>5.000000000000001E-3</v>
      </c>
      <c r="E78" s="3601" t="s">
        <v>1404</v>
      </c>
      <c r="F78" s="3602"/>
      <c r="G78" s="3602"/>
      <c r="H78" s="360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9">
        <f ca="1">C72-C73</f>
        <v>4348</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9">
        <f ca="1">IF(C79&lt;=0,0,C79/C73)</f>
        <v>197.63636363636363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0">
        <f ca="1">ROUND(IF(C79&lt;=0,0,IF(C80&gt;=200%,C79*60%-C73*35%,IF(C80&gt;=100%,C79*50%-C73*15%,IF(C80&gt;=50%,C79*40%-C73*5%,IF(C80&lt;50%,C79*30%,0))))),0)</f>
        <v>2601</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12" t="s">
        <v>1408</v>
      </c>
      <c r="B83" s="3613"/>
      <c r="C83" s="3613"/>
      <c r="D83" s="3613"/>
      <c r="E83" s="3613"/>
      <c r="F83" s="3613"/>
      <c r="G83" s="3613"/>
      <c r="H83" s="361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604" t="s">
        <v>1373</v>
      </c>
      <c r="B84" s="3605"/>
      <c r="C84" s="2017"/>
      <c r="D84" s="2017"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9">
        <f ca="1">ROUND(D45/(1+'数据-取费表'!C42),0)</f>
        <v>4370</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9">
        <f ca="1">IF(H88="仅含出让金",C87+C90+C91+C92+C93+C94,C87+C91+C92+C93+C94)</f>
        <v>1146</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3"/>
      <c r="D88" s="2568"/>
      <c r="E88" s="193" t="s">
        <v>1411</v>
      </c>
      <c r="F88" s="2323"/>
      <c r="G88" s="194" t="s">
        <v>1412</v>
      </c>
      <c r="H88" s="1821" t="s">
        <v>3401</v>
      </c>
      <c r="I88" s="1818"/>
      <c r="J88" s="2512" t="s">
        <v>2272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7">
        <f>ROUND(C88*D89,0)</f>
        <v>0</v>
      </c>
      <c r="D89" s="2568">
        <f>'数据-取费表'!B48+'数据-取费表'!B49</f>
        <v>3.0499999999999999E-2</v>
      </c>
      <c r="E89" s="193" t="s">
        <v>1413</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3"/>
      <c r="D90" s="2568"/>
      <c r="E90" s="193" t="str">
        <f>IF(H88="-","土地取得成本中已包含该笔费用"," ")</f>
        <v xml:space="preserve"> </v>
      </c>
      <c r="F90" s="2323"/>
      <c r="G90" s="3570" t="s">
        <v>2126</v>
      </c>
      <c r="H90" s="3571"/>
      <c r="I90" s="1818"/>
      <c r="J90" s="2512" t="s">
        <v>2273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7">
        <f ca="1">IF(H91="——",成本法!C33,I91)</f>
        <v>937</v>
      </c>
      <c r="D91" s="2568"/>
      <c r="E91" s="3601" t="s">
        <v>1417</v>
      </c>
      <c r="F91" s="3602"/>
      <c r="G91" s="360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7">
        <f ca="1">ROUND((C87+C90+C91)*D92,0)</f>
        <v>0</v>
      </c>
      <c r="D92" s="2574"/>
      <c r="E92" s="3601" t="s">
        <v>1420</v>
      </c>
      <c r="F92" s="3602"/>
      <c r="G92" s="3602"/>
      <c r="H92" s="3603"/>
      <c r="I92" s="1818"/>
      <c r="J92" s="2513" t="s">
        <v>2274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7">
        <f ca="1">ROUND(D45*D93/(1+'数据-取费表'!C42),0)</f>
        <v>22</v>
      </c>
      <c r="D93" s="2568">
        <f>'数据-取费表'!B43</f>
        <v>5.000000000000001E-3</v>
      </c>
      <c r="E93" s="3601" t="s">
        <v>1404</v>
      </c>
      <c r="F93" s="3602"/>
      <c r="G93" s="3602"/>
      <c r="H93" s="360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3">
        <f ca="1">ROUND((C87+C90+C91)*D94,0)</f>
        <v>187</v>
      </c>
      <c r="D94" s="2568">
        <v>0.2</v>
      </c>
      <c r="E94" s="3646" t="s">
        <v>1424</v>
      </c>
      <c r="F94" s="3647"/>
      <c r="G94" s="3647"/>
      <c r="H94" s="364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9">
        <f ca="1">ROUND(C85-C86,0)</f>
        <v>3224</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9">
        <f ca="1">IF(C95&lt;=0,0,C95/C86)</f>
        <v>2.8132635253054099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0">
        <f ca="1">ROUND(IF(C95&lt;=0,0,IF(C96&gt;=200%,C95*60%-C86*35%,IF(C96&gt;=100%,C95*50%-C86*15%,IF(C96&gt;=50%,C95*40%-C86*5%,IF(C96&lt;50%,C95*30%,0))))),0)</f>
        <v>1533</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51" t="s">
        <v>1426</v>
      </c>
      <c r="B100" s="3552"/>
      <c r="C100" s="3552"/>
      <c r="D100" s="3586"/>
      <c r="E100" s="3552" t="s">
        <v>1427</v>
      </c>
      <c r="F100" s="3552"/>
      <c r="G100" s="3552"/>
      <c r="H100" s="3586"/>
      <c r="I100" s="129"/>
    </row>
    <row r="101" spans="1:35" ht="18.75" customHeight="1">
      <c r="A101" s="3594" t="s">
        <v>1428</v>
      </c>
      <c r="B101" s="3595"/>
      <c r="C101" s="2576" t="str">
        <f>C4</f>
        <v>成本法</v>
      </c>
      <c r="D101" s="2577" t="str">
        <f>D4</f>
        <v>假设开发法</v>
      </c>
      <c r="E101" s="3564" t="s">
        <v>1429</v>
      </c>
      <c r="F101" s="3565"/>
      <c r="G101" s="1824" t="s">
        <v>1430</v>
      </c>
      <c r="H101" s="2586">
        <f ca="1">H118</f>
        <v>4588</v>
      </c>
      <c r="I101" s="129"/>
    </row>
    <row r="102" spans="1:35" ht="18.75" customHeight="1">
      <c r="A102" s="3596" t="s">
        <v>1431</v>
      </c>
      <c r="B102" s="2575" t="s">
        <v>1430</v>
      </c>
      <c r="C102" s="2576">
        <f ca="1">IF(D32="楼面单价",ROUND(C19,0),C19)</f>
        <v>5550</v>
      </c>
      <c r="D102" s="2577">
        <f ca="1">IF(D32="楼面单价",ROUND(D19,0),D19)</f>
        <v>3146</v>
      </c>
      <c r="E102" s="3564"/>
      <c r="F102" s="3565"/>
      <c r="G102" s="1824" t="s">
        <v>1432</v>
      </c>
      <c r="H102" s="2546">
        <f ca="1">I118</f>
        <v>1697</v>
      </c>
      <c r="I102" s="129"/>
    </row>
    <row r="103" spans="1:35" ht="42.75" customHeight="1">
      <c r="A103" s="3596"/>
      <c r="B103" s="2575" t="s">
        <v>1432</v>
      </c>
      <c r="C103" s="2578">
        <f ca="1">C20</f>
        <v>2052</v>
      </c>
      <c r="D103" s="2579">
        <f ca="1">D20</f>
        <v>1163</v>
      </c>
      <c r="E103" s="3557" t="s">
        <v>1433</v>
      </c>
      <c r="F103" s="3558"/>
      <c r="G103" s="1825" t="s">
        <v>1434</v>
      </c>
      <c r="H103" s="2586">
        <f>IF(D36="正常操作",H104+H105+H106,H105+H106)</f>
        <v>0</v>
      </c>
      <c r="I103" s="129"/>
    </row>
    <row r="104" spans="1:35" ht="18.75" customHeight="1">
      <c r="A104" s="3596" t="s">
        <v>1435</v>
      </c>
      <c r="B104" s="2580" t="s">
        <v>1430</v>
      </c>
      <c r="C104" s="2581">
        <f ca="1">H118</f>
        <v>4588</v>
      </c>
      <c r="D104" s="2582"/>
      <c r="E104" s="1671" t="s">
        <v>1436</v>
      </c>
      <c r="F104" s="1663"/>
      <c r="G104" s="1825" t="s">
        <v>1434</v>
      </c>
      <c r="H104" s="2587">
        <f>IF(D36="同一抵押权人同一抵押物续贷",C36&amp;"（续贷，未扣减，详见特别提示）",C36)</f>
        <v>0</v>
      </c>
      <c r="I104" s="129"/>
    </row>
    <row r="105" spans="1:35" ht="18.75" customHeight="1" thickBot="1">
      <c r="A105" s="3606"/>
      <c r="B105" s="2583" t="s">
        <v>1432</v>
      </c>
      <c r="C105" s="2584">
        <f ca="1">I118</f>
        <v>1697</v>
      </c>
      <c r="D105" s="2585"/>
      <c r="E105" s="1671" t="s">
        <v>1437</v>
      </c>
      <c r="F105" s="1663"/>
      <c r="G105" s="1825" t="s">
        <v>1434</v>
      </c>
      <c r="H105" s="2588">
        <f>C37</f>
        <v>0</v>
      </c>
      <c r="I105" s="129"/>
    </row>
    <row r="106" spans="1:35" ht="18.75" customHeight="1">
      <c r="A106" s="1744" t="s">
        <v>1438</v>
      </c>
      <c r="B106" s="1744"/>
      <c r="C106" s="1744"/>
      <c r="D106" s="1744"/>
      <c r="E106" s="1826" t="s">
        <v>1439</v>
      </c>
      <c r="F106" s="1663"/>
      <c r="G106" s="1825" t="s">
        <v>1434</v>
      </c>
      <c r="H106" s="2588">
        <f>C38</f>
        <v>0</v>
      </c>
      <c r="I106" s="129"/>
    </row>
    <row r="107" spans="1:35" ht="18.75" customHeight="1">
      <c r="A107" s="129"/>
      <c r="B107" s="129"/>
      <c r="C107" s="129"/>
      <c r="D107" s="129"/>
      <c r="E107" s="3597" t="str">
        <f>IF(项目基本情况!E8="已注销","——","3.房地产抵押价值")</f>
        <v>3.房地产抵押价值</v>
      </c>
      <c r="F107" s="3565"/>
      <c r="G107" s="1824" t="s">
        <v>1430</v>
      </c>
      <c r="H107" s="2586">
        <f ca="1">IF(E107="——","——",H101-H103)</f>
        <v>4588</v>
      </c>
      <c r="I107" s="129"/>
    </row>
    <row r="108" spans="1:35" ht="18.75" customHeight="1">
      <c r="A108" s="129"/>
      <c r="B108" s="129"/>
      <c r="C108" s="129"/>
      <c r="D108" s="129"/>
      <c r="E108" s="3597"/>
      <c r="F108" s="3565"/>
      <c r="G108" s="1824" t="s">
        <v>1432</v>
      </c>
      <c r="H108" s="2546">
        <f ca="1">IF(H107=H101,H102,ROUND(H107*10000/'数据-汇总表'!E3,0))</f>
        <v>1697</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4" t="s">
        <v>1430</v>
      </c>
      <c r="H109" s="2589" t="str">
        <f>IF(E109="——","——",H101-H105-H106)</f>
        <v>——</v>
      </c>
      <c r="I109" s="129"/>
    </row>
    <row r="110" spans="1:35" ht="18.75" customHeight="1">
      <c r="A110" s="129"/>
      <c r="B110" s="129"/>
      <c r="C110" s="129"/>
      <c r="D110" s="129"/>
      <c r="E110" s="3597"/>
      <c r="F110" s="3565"/>
      <c r="G110" s="1824" t="s">
        <v>1432</v>
      </c>
      <c r="H110" s="2546"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4" t="s">
        <v>1430</v>
      </c>
      <c r="H111" s="2586" t="str">
        <f>IF(E111="——","——",N59)</f>
        <v>——</v>
      </c>
      <c r="I111" s="129"/>
    </row>
    <row r="112" spans="1:35" ht="18.75" customHeight="1" thickBot="1">
      <c r="A112" s="129"/>
      <c r="B112" s="129"/>
      <c r="C112" s="129"/>
      <c r="D112" s="129"/>
      <c r="E112" s="3599"/>
      <c r="F112" s="3600"/>
      <c r="G112" s="1827" t="s">
        <v>1432</v>
      </c>
      <c r="H112" s="2590" t="str">
        <f>IF(E111="——","——",N61)</f>
        <v>——</v>
      </c>
      <c r="I112" s="129"/>
    </row>
    <row r="113" spans="1:27" ht="18.75" customHeight="1">
      <c r="A113" s="129"/>
      <c r="B113" s="129"/>
      <c r="C113" s="129"/>
      <c r="D113" s="129"/>
      <c r="E113" s="3607" t="s">
        <v>1438</v>
      </c>
      <c r="F113" s="3607"/>
      <c r="G113" s="3607"/>
      <c r="H113" s="3607"/>
      <c r="I113" s="129"/>
    </row>
    <row r="114" spans="1:27" ht="3.75" customHeight="1">
      <c r="A114" s="1744"/>
      <c r="B114" s="1744"/>
      <c r="C114" s="1744"/>
      <c r="D114" s="1744"/>
      <c r="E114" s="1806"/>
      <c r="F114" s="1806"/>
      <c r="G114" s="1806"/>
      <c r="H114" s="1806"/>
      <c r="I114" s="1744"/>
    </row>
    <row r="115" spans="1:27" ht="18.75" customHeight="1">
      <c r="A115" s="3615" t="s">
        <v>1440</v>
      </c>
      <c r="B115" s="3616"/>
      <c r="C115" s="3616"/>
      <c r="D115" s="3616"/>
      <c r="E115" s="3616"/>
      <c r="F115" s="3616"/>
      <c r="G115" s="3616"/>
      <c r="H115" s="3616"/>
      <c r="I115" s="3617"/>
    </row>
    <row r="116" spans="1:27" ht="27" customHeight="1">
      <c r="A116" s="3572" t="s">
        <v>1441</v>
      </c>
      <c r="B116" s="3576" t="s">
        <v>1442</v>
      </c>
      <c r="C116" s="3576" t="s">
        <v>1443</v>
      </c>
      <c r="D116" s="3582" t="s">
        <v>1444</v>
      </c>
      <c r="E116" s="3583"/>
      <c r="F116" s="3614" t="s">
        <v>1445</v>
      </c>
      <c r="G116" s="3614"/>
      <c r="H116" s="3572" t="s">
        <v>1446</v>
      </c>
      <c r="I116" s="3572"/>
    </row>
    <row r="117" spans="1:27" ht="18.75" customHeight="1">
      <c r="A117" s="3572"/>
      <c r="B117" s="3577"/>
      <c r="C117" s="3577"/>
      <c r="D117" s="2325" t="s">
        <v>1447</v>
      </c>
      <c r="E117" s="2325" t="s">
        <v>1448</v>
      </c>
      <c r="F117" s="2325" t="s">
        <v>1447</v>
      </c>
      <c r="G117" s="2325" t="s">
        <v>1449</v>
      </c>
      <c r="H117" s="2325" t="s">
        <v>1447</v>
      </c>
      <c r="I117" s="2325" t="s">
        <v>1449</v>
      </c>
    </row>
    <row r="118" spans="1:27" ht="24.75" customHeight="1">
      <c r="A118" s="2591" t="str">
        <f>项目基本情况!S2</f>
        <v>北京市出让国有建设用地使用权及在建建筑物房地产</v>
      </c>
      <c r="B118" s="2325">
        <f>M18</f>
        <v>27041.94</v>
      </c>
      <c r="C118" s="2325">
        <f>M19</f>
        <v>17315.580000000002</v>
      </c>
      <c r="D118" s="2325">
        <f ca="1">ROUND(IF(D32="总价",C34,E118*B118/10000),0)</f>
        <v>3657</v>
      </c>
      <c r="E118" s="2325">
        <f ca="1">ROUND(IF(C33="自定义",IF(D32="楼面单价",C34,D118*10000/B118),I118-G118),0)</f>
        <v>1353</v>
      </c>
      <c r="F118" s="2325">
        <f ca="1">ROUND(IF(D32="总价",C35,G118*B118/10000),0)</f>
        <v>931</v>
      </c>
      <c r="G118" s="2325">
        <f ca="1">ROUND(IF(D32="楼面单价",C35,F118*10000/B118),0)</f>
        <v>344</v>
      </c>
      <c r="H118" s="2325">
        <f ca="1">ROUND(IF(D32="总价",C32,I118*B118/10000),0)</f>
        <v>4588</v>
      </c>
      <c r="I118" s="2325">
        <f ca="1">ROUND(IF(D32="楼面单价",C32,H118*10000/B118),0)</f>
        <v>1697</v>
      </c>
    </row>
    <row r="119" spans="1:27" ht="18.75" customHeight="1">
      <c r="A119" s="3572" t="s">
        <v>1450</v>
      </c>
      <c r="B119" s="3572"/>
      <c r="C119" s="3572"/>
      <c r="D119" s="3578" t="str">
        <f ca="1">NUMBERSTRING(INT(D118*10000),2)&amp;"元整"</f>
        <v>叁仟陆佰伍拾柒万元整</v>
      </c>
      <c r="E119" s="3579"/>
      <c r="F119" s="3578" t="str">
        <f ca="1">NUMBERSTRING(INT(F118*10000),2)&amp;"元整"</f>
        <v>玖佰叁拾壹万元整</v>
      </c>
      <c r="G119" s="3579"/>
      <c r="H119" s="3578" t="str">
        <f ca="1">NUMBERSTRING(INT(H118*10000),2)&amp;"元整"</f>
        <v>肆仟伍佰捌拾捌万元整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78" t="s">
        <v>1450</v>
      </c>
      <c r="B121" s="3580"/>
      <c r="C121" s="3579"/>
      <c r="D121" s="3578" t="str">
        <f>IF(D120=0,"零元整",NUMBERSTRING(INT(D120*10000),2)&amp;"元整")</f>
        <v>零元整</v>
      </c>
      <c r="E121" s="3580"/>
      <c r="F121" s="3580"/>
      <c r="G121" s="3580"/>
      <c r="H121" s="3580"/>
      <c r="I121" s="3579"/>
      <c r="AA121" s="722"/>
    </row>
    <row r="122" spans="1:27" ht="18.75" customHeight="1">
      <c r="A122" s="3584" t="str">
        <f>IF(项目基本情况!B9="房地产市场价值","",MID(E107,3,LEN(E107)-2))</f>
        <v>房地产抵押价值</v>
      </c>
      <c r="B122" s="3584"/>
      <c r="C122" s="3584"/>
      <c r="D122" s="3573">
        <f ca="1">H107</f>
        <v>4588</v>
      </c>
      <c r="E122" s="3574"/>
      <c r="F122" s="3574"/>
      <c r="G122" s="3574"/>
      <c r="H122" s="3574"/>
      <c r="I122" s="3575"/>
      <c r="AA122" s="722"/>
    </row>
    <row r="123" spans="1:27" ht="18.75" customHeight="1">
      <c r="A123" s="3572" t="s">
        <v>1450</v>
      </c>
      <c r="B123" s="3572"/>
      <c r="C123" s="3572"/>
      <c r="D123" s="3578" t="str">
        <f ca="1">NUMBERSTRING(INT(D122*10000),2)&amp;"元整"</f>
        <v>肆仟伍佰捌拾捌万元整</v>
      </c>
      <c r="E123" s="3580"/>
      <c r="F123" s="3580"/>
      <c r="G123" s="3580"/>
      <c r="H123" s="3580"/>
      <c r="I123" s="3579"/>
      <c r="AA123" s="722"/>
    </row>
    <row r="124" spans="1:27" ht="18.75" customHeight="1">
      <c r="A124" s="3584" t="str">
        <f>IF(项目基本情况!B9="房地产市场价值","",MID(E109,3,LEN(E109)-2))</f>
        <v/>
      </c>
      <c r="B124" s="3584"/>
      <c r="C124" s="3584"/>
      <c r="D124" s="3573" t="str">
        <f>H109</f>
        <v>——</v>
      </c>
      <c r="E124" s="3574"/>
      <c r="F124" s="3574"/>
      <c r="G124" s="3574"/>
      <c r="H124" s="3574"/>
      <c r="I124" s="3575"/>
      <c r="AA124" s="722"/>
    </row>
    <row r="125" spans="1:27" ht="18.75" customHeight="1">
      <c r="A125" s="3572" t="s">
        <v>1450</v>
      </c>
      <c r="B125" s="3572"/>
      <c r="C125" s="3572"/>
      <c r="D125" s="3578" t="e">
        <f>NUMBERSTRING(INT(D124*10000),2)&amp;"元整"</f>
        <v>#VALUE!</v>
      </c>
      <c r="E125" s="3580"/>
      <c r="F125" s="3580"/>
      <c r="G125" s="3580"/>
      <c r="H125" s="3580"/>
      <c r="I125" s="3579"/>
      <c r="AA125" s="722"/>
    </row>
    <row r="126" spans="1:27" ht="18.75" customHeight="1">
      <c r="A126" s="3584" t="str">
        <f>IF(项目基本情况!B9="房地产市场价值","",MID(E111,3,LEN(E111)-2))</f>
        <v/>
      </c>
      <c r="B126" s="3584"/>
      <c r="C126" s="3584"/>
      <c r="D126" s="3573" t="str">
        <f>H111</f>
        <v>——</v>
      </c>
      <c r="E126" s="3574"/>
      <c r="F126" s="3574"/>
      <c r="G126" s="3574"/>
      <c r="H126" s="3574"/>
      <c r="I126" s="3575"/>
      <c r="AA126" s="722"/>
    </row>
    <row r="127" spans="1:27" ht="18.75" customHeight="1">
      <c r="A127" s="3572" t="s">
        <v>1450</v>
      </c>
      <c r="B127" s="3572"/>
      <c r="C127" s="3572"/>
      <c r="D127" s="3578" t="e">
        <f>NUMBERSTRING(INT(D126*10000),2)&amp;"元整"</f>
        <v>#VALUE!</v>
      </c>
      <c r="E127" s="3580"/>
      <c r="F127" s="3580"/>
      <c r="G127" s="3580"/>
      <c r="H127" s="3580"/>
      <c r="I127" s="3579"/>
      <c r="AA127" s="722"/>
    </row>
    <row r="128" spans="1:27" ht="21.75" customHeight="1">
      <c r="A128" s="3581" t="s">
        <v>1451</v>
      </c>
      <c r="B128" s="3581"/>
      <c r="C128" s="3581"/>
      <c r="D128" s="3581"/>
      <c r="E128" s="3581"/>
      <c r="F128" s="3581"/>
      <c r="G128" s="3581"/>
      <c r="H128" s="3581"/>
      <c r="I128" s="3581"/>
      <c r="AA128" s="722"/>
    </row>
    <row r="129" spans="1:35" ht="21.75" customHeight="1">
      <c r="A129" s="1828" t="s">
        <v>1452</v>
      </c>
      <c r="B129" s="1829"/>
      <c r="C129" s="1830" t="s">
        <v>1453</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1454</v>
      </c>
      <c r="G135" s="1845"/>
      <c r="H135" s="1845"/>
      <c r="I135" s="1846" t="s">
        <v>1455</v>
      </c>
    </row>
    <row r="136" spans="1:35" ht="21.75" customHeight="1">
      <c r="A136" s="722"/>
      <c r="B136" s="1847" t="s">
        <v>1456</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1457</v>
      </c>
    </row>
    <row r="139" spans="1:35" ht="21.75" customHeight="1">
      <c r="A139" s="722"/>
      <c r="B139" s="1847" t="s">
        <v>1458</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1457</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8" t="str">
        <f>项目基本情况!B1</f>
        <v>北京市出让国有建设用地使用权及在建建筑物房地产抵押价值预评估</v>
      </c>
      <c r="C37" s="3468"/>
      <c r="D37" s="3468"/>
      <c r="E37" s="3468"/>
      <c r="F37" s="3468"/>
      <c r="G37" s="3468"/>
      <c r="H37" s="3468"/>
      <c r="I37" s="346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8</v>
      </c>
    </row>
    <row r="2" spans="1:9" s="200" customFormat="1" ht="18" customHeight="1">
      <c r="A2" s="201" t="s">
        <v>1460</v>
      </c>
      <c r="B2" s="202">
        <f ca="1">IF(D2="——",C52,C52-E2)</f>
        <v>5550</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2052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3966</v>
      </c>
      <c r="D5" s="211" t="s">
        <v>1467</v>
      </c>
      <c r="E5" s="212" t="s">
        <v>1468</v>
      </c>
      <c r="F5" s="212" t="s">
        <v>1469</v>
      </c>
      <c r="G5" s="213"/>
    </row>
    <row r="6" spans="1:9" s="214" customFormat="1" ht="13.5" customHeight="1">
      <c r="A6" s="775" t="s">
        <v>1470</v>
      </c>
      <c r="B6" s="215" t="s">
        <v>1471</v>
      </c>
      <c r="C6" s="216">
        <f>'土地比较法-工业'!B2</f>
        <v>3587</v>
      </c>
      <c r="D6" s="217"/>
      <c r="E6" s="218"/>
      <c r="F6" s="218"/>
      <c r="G6" s="219"/>
    </row>
    <row r="7" spans="1:9" s="214" customFormat="1" ht="13.5" customHeight="1">
      <c r="A7" s="775" t="s">
        <v>1472</v>
      </c>
      <c r="B7" s="215" t="s">
        <v>1473</v>
      </c>
      <c r="C7" s="220">
        <f>ROUND(C6*F7,0)</f>
        <v>109</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270</v>
      </c>
      <c r="D8" s="222"/>
      <c r="E8" s="220"/>
      <c r="F8" s="221"/>
      <c r="G8" s="1853" t="s">
        <v>3402</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60</v>
      </c>
      <c r="F9" s="221"/>
      <c r="G9" s="1854"/>
      <c r="H9" s="1134"/>
      <c r="I9" s="1855" t="s">
        <v>1477</v>
      </c>
    </row>
    <row r="10" spans="1:9" s="214" customFormat="1" ht="13.5" customHeight="1">
      <c r="A10" s="776" t="s">
        <v>356</v>
      </c>
      <c r="B10" s="224" t="s">
        <v>1478</v>
      </c>
      <c r="C10" s="225">
        <f ca="1">ROUND(D10*E10/10000,0)</f>
        <v>270</v>
      </c>
      <c r="D10" s="842">
        <f ca="1">IF(B1="",'数据-汇总表'!E6,IF(INDIRECT("'数据-取费表'!c"&amp;$G$1)="住宅",INDIRECT("'数据-取费表'!s"&amp;$G$1),INDIRECT("'数据-取费表'!k"&amp;$G$1)+INDIRECT("'数据-取费表'!s"&amp;$G$1)))</f>
        <v>27041.94</v>
      </c>
      <c r="E10" s="225">
        <f>'数据-取费表'!B28</f>
        <v>100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27041.94</v>
      </c>
      <c r="E19" s="211">
        <f>'数据-取费表'!B31</f>
        <v>50</v>
      </c>
      <c r="F19" s="231"/>
      <c r="G19" s="1853" t="s">
        <v>3403</v>
      </c>
    </row>
    <row r="20" spans="1:7" s="214" customFormat="1" ht="13.5" customHeight="1">
      <c r="A20" s="255" t="s">
        <v>1491</v>
      </c>
      <c r="B20" s="210" t="s">
        <v>1492</v>
      </c>
      <c r="C20" s="232">
        <f ca="1">ROUND((C5+C19)*F20,0)</f>
        <v>79</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26</v>
      </c>
      <c r="D22" s="235">
        <f ca="1">C26</f>
        <v>1E-4</v>
      </c>
      <c r="E22" s="236" t="s">
        <v>1496</v>
      </c>
      <c r="F22" s="237">
        <f ca="1">'数据-取费表'!B40</f>
        <v>4.1499999999999995E-2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26</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0</v>
      </c>
      <c r="D25" s="238"/>
      <c r="E25" s="241"/>
      <c r="F25" s="239"/>
      <c r="G25" s="242" t="s">
        <v>1508</v>
      </c>
    </row>
    <row r="26" spans="1:7" s="214" customFormat="1">
      <c r="A26" s="777" t="s">
        <v>350</v>
      </c>
      <c r="B26" s="215" t="s">
        <v>1509</v>
      </c>
      <c r="C26" s="238">
        <f ca="1">ROUND(IF('数据-取费表'!B22&lt;=1,F21*F22*'数据-取费表'!B23/2,F21*(POWER((1+F22),'数据-取费表'!B23/2)-1)),4)</f>
        <v>1E-4</v>
      </c>
      <c r="D26" s="238"/>
      <c r="E26" s="241"/>
      <c r="F26" s="239"/>
      <c r="G26" s="243"/>
    </row>
    <row r="27" spans="1:7" s="214" customFormat="1" ht="24.75">
      <c r="A27" s="255" t="s">
        <v>1510</v>
      </c>
      <c r="B27" s="244" t="s">
        <v>1511</v>
      </c>
      <c r="C27" s="245">
        <f ca="1">C28</f>
        <v>29</v>
      </c>
      <c r="D27" s="235">
        <f ca="1">C29</f>
        <v>1E-4</v>
      </c>
      <c r="E27" s="236" t="s">
        <v>1512</v>
      </c>
      <c r="F27" s="246">
        <f ca="1">IF(B1="",'数据-取费表'!Q16,INDIRECT("'数据-取费表'!q"&amp;$G$1))</f>
        <v>0.09</v>
      </c>
      <c r="G27" s="247" t="s">
        <v>1513</v>
      </c>
    </row>
    <row r="28" spans="1:7" s="214" customFormat="1" ht="13.5" customHeight="1">
      <c r="A28" s="777" t="s">
        <v>346</v>
      </c>
      <c r="B28" s="248" t="s">
        <v>1514</v>
      </c>
      <c r="C28" s="249">
        <f ca="1">ROUND((C5+C19+C20)*F27*'数据-取费表'!B21/'数据-取费表'!B20,0)</f>
        <v>29</v>
      </c>
      <c r="D28" s="235"/>
      <c r="E28" s="236"/>
      <c r="F28" s="246"/>
      <c r="G28" s="247"/>
    </row>
    <row r="29" spans="1:7" s="214" customFormat="1" ht="13.5" customHeight="1">
      <c r="A29" s="777" t="s">
        <v>347</v>
      </c>
      <c r="B29" s="248" t="s">
        <v>1515</v>
      </c>
      <c r="C29" s="238">
        <f ca="1">ROUND(C21*F27*'数据-取费表'!B21/'数据-取费表'!B20,4)</f>
        <v>1E-4</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4421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937</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866</v>
      </c>
      <c r="D34" s="217"/>
      <c r="E34" s="220"/>
      <c r="F34" s="257">
        <f ca="1">IF('数据-取费表'!B24=0,1,IF(B1="",'数据-取费表'!N16,INDIRECT("'数据-取费表'!n"&amp;$G$1)))</f>
        <v>0.08</v>
      </c>
      <c r="G34" s="219" t="s">
        <v>1524</v>
      </c>
    </row>
    <row r="35" spans="1:7" ht="13.5" customHeight="1">
      <c r="A35" s="777" t="s">
        <v>351</v>
      </c>
      <c r="B35" s="215" t="s">
        <v>1525</v>
      </c>
      <c r="C35" s="220">
        <f ca="1">ROUND(C34*F35,0)</f>
        <v>26</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32</v>
      </c>
      <c r="D37" s="217">
        <f ca="1">D19</f>
        <v>27041.94</v>
      </c>
      <c r="E37" s="249">
        <f>'数据-取费表'!B35</f>
        <v>150</v>
      </c>
      <c r="F37" s="259"/>
      <c r="G37" s="261" t="s">
        <v>1530</v>
      </c>
    </row>
    <row r="38" spans="1:7" ht="13.5" customHeight="1">
      <c r="A38" s="777" t="s">
        <v>354</v>
      </c>
      <c r="B38" s="215" t="s">
        <v>1531</v>
      </c>
      <c r="C38" s="220">
        <f ca="1">ROUND(C34*F38,0)</f>
        <v>13</v>
      </c>
      <c r="D38" s="220"/>
      <c r="E38" s="220"/>
      <c r="F38" s="259">
        <f>'数据-取费表'!B36</f>
        <v>1.4999999999999999E-2</v>
      </c>
      <c r="G38" s="219" t="s">
        <v>1526</v>
      </c>
    </row>
    <row r="39" spans="1:7" s="214" customFormat="1" ht="13.5" customHeight="1">
      <c r="A39" s="255" t="s">
        <v>1532</v>
      </c>
      <c r="B39" s="210" t="s">
        <v>1533</v>
      </c>
      <c r="C39" s="232">
        <f ca="1">ROUND(C33*F20,0)</f>
        <v>19</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3</v>
      </c>
      <c r="D41" s="235">
        <f ca="1">C44</f>
        <v>1E-4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3</v>
      </c>
      <c r="D42" s="238"/>
      <c r="E42" s="238"/>
      <c r="F42" s="239"/>
      <c r="G42" s="3651" t="s">
        <v>1542</v>
      </c>
    </row>
    <row r="43" spans="1:7" ht="13.5" customHeight="1">
      <c r="A43" s="777" t="s">
        <v>347</v>
      </c>
      <c r="B43" s="215" t="s">
        <v>1543</v>
      </c>
      <c r="C43" s="238">
        <f ca="1">ROUND(IF('数据-取费表'!B22&lt;=1,C39*F22*'数据-取费表'!B21/2,C39*(POWER((1+F22),'数据-取费表'!B21/2)-1)),0)</f>
        <v>0</v>
      </c>
      <c r="D43" s="238"/>
      <c r="E43" s="238"/>
      <c r="F43" s="239"/>
      <c r="G43" s="3652"/>
    </row>
    <row r="44" spans="1:7" ht="13.5" customHeight="1">
      <c r="A44" s="777" t="s">
        <v>348</v>
      </c>
      <c r="B44" s="215" t="s">
        <v>1544</v>
      </c>
      <c r="C44" s="238">
        <f ca="1">ROUND(IF('数据-取费表'!B22&lt;=1,C40*F22*'数据-取费表'!B21/2,C40*(POWER((1+F22),'数据-取费表'!B21/2)-1)),4)</f>
        <v>1E-4</v>
      </c>
      <c r="D44" s="238"/>
      <c r="E44" s="238"/>
      <c r="F44" s="239"/>
      <c r="G44" s="3653"/>
    </row>
    <row r="45" spans="1:7" s="214" customFormat="1" ht="13.5" customHeight="1">
      <c r="A45" s="255" t="s">
        <v>1545</v>
      </c>
      <c r="B45" s="244" t="s">
        <v>1511</v>
      </c>
      <c r="C45" s="245">
        <f ca="1">C46</f>
        <v>86</v>
      </c>
      <c r="D45" s="235">
        <f ca="1">C47</f>
        <v>1.8E-3</v>
      </c>
      <c r="E45" s="236" t="s">
        <v>1537</v>
      </c>
      <c r="F45" s="246">
        <f ca="1">F27</f>
        <v>0.09</v>
      </c>
      <c r="G45" s="247" t="s">
        <v>1546</v>
      </c>
    </row>
    <row r="46" spans="1:7" s="214" customFormat="1" ht="13.5" customHeight="1">
      <c r="A46" s="777" t="s">
        <v>346</v>
      </c>
      <c r="B46" s="248" t="s">
        <v>1547</v>
      </c>
      <c r="C46" s="249">
        <f ca="1">ROUND((C33+C39)*F27,0)</f>
        <v>86</v>
      </c>
      <c r="D46" s="263"/>
      <c r="E46" s="236"/>
      <c r="F46" s="246"/>
      <c r="G46" s="247"/>
    </row>
    <row r="47" spans="1:7" s="214" customFormat="1" ht="13.5" customHeight="1">
      <c r="A47" s="777" t="s">
        <v>347</v>
      </c>
      <c r="B47" s="248" t="s">
        <v>1548</v>
      </c>
      <c r="C47" s="238">
        <f ca="1">ROUND(C40*F27,4)</f>
        <v>1.8E-3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1129</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1129</v>
      </c>
      <c r="D51" s="232"/>
      <c r="E51" s="232"/>
      <c r="F51" s="264"/>
      <c r="G51" s="234" t="s">
        <v>1558</v>
      </c>
    </row>
    <row r="52" spans="1:7" s="208" customFormat="1" ht="16.5" thickBot="1">
      <c r="A52" s="265" t="s">
        <v>1559</v>
      </c>
      <c r="B52" s="266"/>
      <c r="C52" s="267">
        <f ca="1">C31+C51</f>
        <v>5550</v>
      </c>
      <c r="D52" s="266"/>
      <c r="E52" s="266"/>
      <c r="F52" s="266"/>
      <c r="G52" s="268"/>
    </row>
    <row r="55" spans="1:7" ht="15">
      <c r="B55" s="270" t="s">
        <v>1560</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8</v>
      </c>
      <c r="H1" s="1058" t="str">
        <f>IF(ISERROR(FIND("住宅",B1)),"非住宅","住宅")</f>
        <v>非住宅</v>
      </c>
    </row>
    <row r="2" spans="1:8" s="200" customFormat="1" ht="18" customHeight="1">
      <c r="A2" s="201" t="s">
        <v>1460</v>
      </c>
      <c r="B2" s="3415">
        <f ca="1">ROUND(IF(D2="——",C52/10000,C52/10000-E2),4)</f>
        <v>14959.654</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5532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2704194</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2704194</v>
      </c>
      <c r="D8" s="222"/>
      <c r="E8" s="220"/>
      <c r="F8" s="221"/>
      <c r="G8" s="1853" t="s">
        <v>3402</v>
      </c>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60</v>
      </c>
      <c r="F9" s="221"/>
      <c r="G9" s="226"/>
    </row>
    <row r="10" spans="1:8" s="214" customFormat="1" ht="13.5" customHeight="1">
      <c r="A10" s="776" t="s">
        <v>356</v>
      </c>
      <c r="B10" s="224" t="s">
        <v>1478</v>
      </c>
      <c r="C10" s="225">
        <f ca="1">ROUND(D10*E10,0)</f>
        <v>2704194</v>
      </c>
      <c r="D10" s="842">
        <f ca="1">IF(B1="",'数据-汇总表'!E6,IF(INDIRECT("'数据-取费表'!c"&amp;$G$1)="住宅",INDIRECT("'数据-取费表'!s"&amp;$G$1),INDIRECT("'数据-取费表'!k"&amp;$G$1)+INDIRECT("'数据-取费表'!s"&amp;$G$1)))</f>
        <v>27041.94</v>
      </c>
      <c r="E10" s="225">
        <f>'数据-取费表'!B28</f>
        <v>100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t="str">
        <f>IF(G19="已包含在土地取得成本中","0",ROUND(D19*E19,0))</f>
        <v>0</v>
      </c>
      <c r="D19" s="846">
        <f ca="1">D9+D10</f>
        <v>27041.94</v>
      </c>
      <c r="E19" s="211">
        <f>'数据-取费表'!B31</f>
        <v>50</v>
      </c>
      <c r="F19" s="231"/>
      <c r="G19" s="1853" t="s">
        <v>3403</v>
      </c>
    </row>
    <row r="20" spans="1:7" s="214" customFormat="1" ht="13.5" customHeight="1">
      <c r="A20" s="255" t="s">
        <v>1572</v>
      </c>
      <c r="B20" s="210" t="s">
        <v>1573</v>
      </c>
      <c r="C20" s="232">
        <f ca="1">ROUND((C5+C19)*F20,0)</f>
        <v>54084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231349</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229105</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0</v>
      </c>
      <c r="D24" s="238"/>
      <c r="E24" s="238"/>
      <c r="F24" s="239"/>
      <c r="G24" s="240" t="s">
        <v>1584</v>
      </c>
    </row>
    <row r="25" spans="1:7" s="214" customFormat="1" ht="24">
      <c r="A25" s="777" t="s">
        <v>1474</v>
      </c>
      <c r="B25" s="215" t="s">
        <v>1585</v>
      </c>
      <c r="C25" s="1125">
        <f ca="1">ROUND(IF('数据-取费表'!B22&lt;=1,C20*F22*'数据-取费表'!B22/2,C20*(POWER((1+F22),'数据-取费表'!B22/2)-1)),0)</f>
        <v>2244</v>
      </c>
      <c r="D25" s="238"/>
      <c r="E25" s="241"/>
      <c r="F25" s="239"/>
      <c r="G25" s="242" t="s">
        <v>1586</v>
      </c>
    </row>
    <row r="26" spans="1:7" s="214" customFormat="1">
      <c r="A26" s="777"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248245</v>
      </c>
      <c r="D27" s="235">
        <f ca="1">C29</f>
        <v>1.8E-3</v>
      </c>
      <c r="E27" s="236" t="s">
        <v>1512</v>
      </c>
      <c r="F27" s="246">
        <f ca="1">IF(B1="",'数据-取费表'!Q16,INDIRECT("'数据-取费表'!q"&amp;$G$1))</f>
        <v>0.09</v>
      </c>
      <c r="G27" s="247" t="s">
        <v>1513</v>
      </c>
    </row>
    <row r="28" spans="1:7" s="214" customFormat="1" ht="13.5" customHeight="1">
      <c r="A28" s="777" t="s">
        <v>346</v>
      </c>
      <c r="B28" s="248" t="s">
        <v>1514</v>
      </c>
      <c r="C28" s="249">
        <f ca="1">ROUND((C5+C19+C20)*F27,0)</f>
        <v>248245</v>
      </c>
      <c r="D28" s="235"/>
      <c r="E28" s="236"/>
      <c r="F28" s="246"/>
      <c r="G28" s="247"/>
    </row>
    <row r="29" spans="1:7" s="214" customFormat="1" ht="13.5" customHeight="1">
      <c r="A29" s="777" t="s">
        <v>347</v>
      </c>
      <c r="B29" s="248" t="s">
        <v>1515</v>
      </c>
      <c r="C29" s="238">
        <f ca="1">ROUND(C21*F27,4)</f>
        <v>1.8E-3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3500402</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117091600</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108167760</v>
      </c>
      <c r="D34" s="217"/>
      <c r="E34" s="220"/>
      <c r="F34" s="257"/>
      <c r="G34" s="219"/>
    </row>
    <row r="35" spans="1:7" ht="13.5" customHeight="1">
      <c r="A35" s="777" t="s">
        <v>351</v>
      </c>
      <c r="B35" s="215" t="s">
        <v>1525</v>
      </c>
      <c r="C35" s="220">
        <f ca="1">ROUND(C34*F35,0)</f>
        <v>3245033</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4056291</v>
      </c>
      <c r="D37" s="217">
        <f ca="1">D19</f>
        <v>27041.94</v>
      </c>
      <c r="E37" s="249">
        <f>'数据-取费表'!B35</f>
        <v>150</v>
      </c>
      <c r="F37" s="259"/>
      <c r="G37" s="261"/>
    </row>
    <row r="38" spans="1:7" ht="13.5" customHeight="1">
      <c r="A38" s="777" t="s">
        <v>354</v>
      </c>
      <c r="B38" s="215" t="s">
        <v>1531</v>
      </c>
      <c r="C38" s="220">
        <f ca="1">ROUND(C34*F38,0)</f>
        <v>1622516</v>
      </c>
      <c r="D38" s="220"/>
      <c r="E38" s="220"/>
      <c r="F38" s="259">
        <f>'数据-取费表'!B36</f>
        <v>1.4999999999999999E-2</v>
      </c>
      <c r="G38" s="219" t="s">
        <v>1526</v>
      </c>
    </row>
    <row r="39" spans="1:7" s="214" customFormat="1" ht="13.5" customHeight="1">
      <c r="A39" s="255" t="s">
        <v>1532</v>
      </c>
      <c r="B39" s="210" t="s">
        <v>1533</v>
      </c>
      <c r="C39" s="232">
        <f ca="1">ROUND(C33*F20,0)</f>
        <v>2341832</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4956487</v>
      </c>
      <c r="D41" s="235">
        <f ca="1">C44</f>
        <v>8.0000000000000004E-4</v>
      </c>
      <c r="E41" s="236" t="s">
        <v>1537</v>
      </c>
      <c r="F41" s="237">
        <f ca="1">F22</f>
        <v>4.1499999999999995E-2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4859301</v>
      </c>
      <c r="D42" s="238"/>
      <c r="E42" s="238"/>
      <c r="F42" s="239"/>
      <c r="G42" s="3651" t="s">
        <v>1589</v>
      </c>
    </row>
    <row r="43" spans="1:7" ht="13.5" customHeight="1">
      <c r="A43" s="777" t="s">
        <v>347</v>
      </c>
      <c r="B43" s="215" t="s">
        <v>1543</v>
      </c>
      <c r="C43" s="238">
        <f ca="1">ROUND(IF('数据-取费表'!B22&lt;=1,C39*F22*'数据-取费表'!B20/2,C39*(POWER((1+F22),'数据-取费表'!B20/2)-1)),0)</f>
        <v>97186</v>
      </c>
      <c r="D43" s="238"/>
      <c r="E43" s="238"/>
      <c r="F43" s="239"/>
      <c r="G43" s="3652"/>
    </row>
    <row r="44" spans="1:7" ht="13.5" customHeight="1">
      <c r="A44" s="777" t="s">
        <v>348</v>
      </c>
      <c r="B44" s="215" t="s">
        <v>1544</v>
      </c>
      <c r="C44" s="238">
        <f ca="1">ROUND(IF('数据-取费表'!B22&lt;=1,C40*F22*'数据-取费表'!B20/2,C40*(POWER((1+F22),'数据-取费表'!B20/2)-1)),4)</f>
        <v>8.0000000000000004E-4</v>
      </c>
      <c r="D44" s="238"/>
      <c r="E44" s="238"/>
      <c r="F44" s="239"/>
      <c r="G44" s="3653"/>
    </row>
    <row r="45" spans="1:7" s="214" customFormat="1" ht="13.5" customHeight="1">
      <c r="A45" s="255" t="s">
        <v>1545</v>
      </c>
      <c r="B45" s="244" t="s">
        <v>1511</v>
      </c>
      <c r="C45" s="245">
        <f ca="1">C46</f>
        <v>10749009</v>
      </c>
      <c r="D45" s="235">
        <f ca="1">C47</f>
        <v>1.8E-3</v>
      </c>
      <c r="E45" s="236" t="s">
        <v>1537</v>
      </c>
      <c r="F45" s="246">
        <f ca="1">F27</f>
        <v>0.09</v>
      </c>
      <c r="G45" s="247" t="s">
        <v>1546</v>
      </c>
    </row>
    <row r="46" spans="1:7" s="214" customFormat="1" ht="13.5" customHeight="1">
      <c r="A46" s="777" t="s">
        <v>346</v>
      </c>
      <c r="B46" s="248" t="s">
        <v>1547</v>
      </c>
      <c r="C46" s="249">
        <f ca="1">ROUND((C33+C39)*F27,0)</f>
        <v>10749009</v>
      </c>
      <c r="D46" s="263"/>
      <c r="E46" s="236"/>
      <c r="F46" s="246"/>
      <c r="G46" s="247"/>
    </row>
    <row r="47" spans="1:7" s="214" customFormat="1" ht="13.5" customHeight="1">
      <c r="A47" s="777" t="s">
        <v>347</v>
      </c>
      <c r="B47" s="248" t="s">
        <v>1548</v>
      </c>
      <c r="C47" s="238">
        <f ca="1">ROUND(C40*F27,4)</f>
        <v>1.8E-3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146096138</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146096138</v>
      </c>
      <c r="D51" s="232"/>
      <c r="E51" s="232"/>
      <c r="F51" s="264"/>
      <c r="G51" s="234" t="s">
        <v>1558</v>
      </c>
    </row>
    <row r="52" spans="1:7" s="208" customFormat="1" ht="16.5" thickBot="1">
      <c r="A52" s="265" t="s">
        <v>1559</v>
      </c>
      <c r="B52" s="266"/>
      <c r="C52" s="267">
        <f ca="1">C31+C51</f>
        <v>149596540</v>
      </c>
      <c r="D52" s="266"/>
      <c r="E52" s="266"/>
      <c r="F52" s="266"/>
      <c r="G52" s="268"/>
    </row>
    <row r="55" spans="1:7" ht="15">
      <c r="B55" s="270" t="s">
        <v>1560</v>
      </c>
      <c r="C55" s="271"/>
    </row>
    <row r="56" spans="1:7">
      <c r="B56" s="273" t="s">
        <v>802</v>
      </c>
      <c r="C56" s="275">
        <f ca="1">1-C57</f>
        <v>2.300000000000002E-2</v>
      </c>
    </row>
    <row r="57" spans="1:7">
      <c r="B57" s="273" t="s">
        <v>803</v>
      </c>
      <c r="C57" s="274">
        <f ca="1">ROUND(C51/C52,3)</f>
        <v>0.97699999999999998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90" zoomScaleNormal="60" zoomScaleSheetLayoutView="90" workbookViewId="0">
      <selection activeCell="M35" sqref="M3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1460</v>
      </c>
      <c r="B2" s="616">
        <f>F61</f>
        <v>3587</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f>ROUND(IF(D3="",B2*10000/'数据-汇总表'!E3,B2*10000/D3),0)</f>
        <v>1326</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669" t="s">
        <v>1768</v>
      </c>
      <c r="D4" s="3670"/>
      <c r="E4" s="3671" t="s">
        <v>1769</v>
      </c>
      <c r="F4" s="3672"/>
      <c r="G4" s="3669" t="s">
        <v>1770</v>
      </c>
      <c r="H4" s="3670"/>
      <c r="I4" s="3669" t="s">
        <v>1771</v>
      </c>
      <c r="J4" s="3670"/>
      <c r="K4" s="557" t="s">
        <v>1772</v>
      </c>
      <c r="L4" s="2706"/>
      <c r="M4" s="2707"/>
      <c r="N4" s="2707"/>
      <c r="O4" s="2707"/>
      <c r="P4" s="3673" t="s">
        <v>1773</v>
      </c>
      <c r="Q4" s="3674"/>
      <c r="R4" s="3683" t="s">
        <v>1769</v>
      </c>
      <c r="S4" s="3684"/>
      <c r="T4" s="3683" t="s">
        <v>1770</v>
      </c>
      <c r="U4" s="3684"/>
      <c r="V4" s="3661" t="s">
        <v>1771</v>
      </c>
      <c r="W4" s="3661"/>
      <c r="X4" s="1352"/>
      <c r="Y4" s="3683" t="s">
        <v>1773</v>
      </c>
      <c r="Z4" s="3684"/>
      <c r="AA4" s="3666" t="s">
        <v>1769</v>
      </c>
      <c r="AB4" s="3667" t="s">
        <v>1770</v>
      </c>
      <c r="AC4" s="3666" t="s">
        <v>1771</v>
      </c>
    </row>
    <row r="5" spans="1:29" ht="57" customHeight="1">
      <c r="A5" s="358"/>
      <c r="B5" s="359"/>
      <c r="C5" s="3687" t="s">
        <v>1671</v>
      </c>
      <c r="D5" s="3688"/>
      <c r="E5" s="3679" t="str">
        <f>土地案例!A2</f>
        <v>北京市房山区韩村河镇FS17-0101-0003地块M4工业研发用地项目</v>
      </c>
      <c r="F5" s="3680"/>
      <c r="G5" s="3687" t="str">
        <f>土地案例!A3</f>
        <v>北京市永乐经济开发区TZ10-0300-6009地块</v>
      </c>
      <c r="H5" s="3688"/>
      <c r="I5" s="3687" t="str">
        <f>土地案例!A4</f>
        <v>北京市通州区西集镇TZ07-0102-0060地块</v>
      </c>
      <c r="J5" s="3688"/>
      <c r="K5" s="557"/>
      <c r="L5" s="2706"/>
      <c r="M5" s="2707"/>
      <c r="N5" s="2707"/>
      <c r="O5" s="2707"/>
      <c r="P5" s="3675"/>
      <c r="Q5" s="3676"/>
      <c r="R5" s="3685"/>
      <c r="S5" s="3686"/>
      <c r="T5" s="3685"/>
      <c r="U5" s="3686"/>
      <c r="V5" s="3661"/>
      <c r="W5" s="3661"/>
      <c r="X5" s="1352"/>
      <c r="Y5" s="3685"/>
      <c r="Z5" s="3686"/>
      <c r="AA5" s="3667"/>
      <c r="AB5" s="3667"/>
      <c r="AC5" s="3667"/>
    </row>
    <row r="6" spans="1:29" ht="15.75" thickBot="1">
      <c r="A6" s="360"/>
      <c r="B6" s="361"/>
      <c r="C6" s="3689" t="s">
        <v>1917</v>
      </c>
      <c r="D6" s="3690"/>
      <c r="E6" s="3692" t="s">
        <v>1917</v>
      </c>
      <c r="F6" s="3693"/>
      <c r="G6" s="3689" t="s">
        <v>1917</v>
      </c>
      <c r="H6" s="3690"/>
      <c r="I6" s="3689" t="s">
        <v>1917</v>
      </c>
      <c r="J6" s="3690"/>
      <c r="K6" s="557" t="s">
        <v>1676</v>
      </c>
      <c r="L6" s="2706"/>
      <c r="M6" s="2707"/>
      <c r="N6" s="2707"/>
      <c r="O6" s="2707"/>
      <c r="P6" s="3677"/>
      <c r="Q6" s="3678"/>
      <c r="R6" s="3685"/>
      <c r="S6" s="3686"/>
      <c r="T6" s="3694"/>
      <c r="U6" s="3695"/>
      <c r="V6" s="3661"/>
      <c r="W6" s="3661"/>
      <c r="X6" s="1352"/>
      <c r="Y6" s="3694"/>
      <c r="Z6" s="3695"/>
      <c r="AA6" s="3668"/>
      <c r="AB6" s="3668"/>
      <c r="AC6" s="3668"/>
    </row>
    <row r="7" spans="1:29" s="108" customFormat="1" ht="15.75" thickBot="1">
      <c r="A7" s="362" t="s">
        <v>1677</v>
      </c>
      <c r="B7" s="363"/>
      <c r="C7" s="364">
        <f>'数据-取费表'!B2</f>
        <v>45072</v>
      </c>
      <c r="D7" s="365">
        <v>100</v>
      </c>
      <c r="E7" s="366">
        <f>土地案例!K2</f>
        <v>44937.000497685185</v>
      </c>
      <c r="F7" s="367">
        <f>SUMIF(65:65,YEAR(E7)&amp;"-"&amp;INT((MONTH(E7)+2)/3),66:66)</f>
        <v>99</v>
      </c>
      <c r="G7" s="1970">
        <f>土地案例!K3</f>
        <v>44481.000497685185</v>
      </c>
      <c r="H7" s="365">
        <f>SUMIF(65:65,YEAR(G7)&amp;"-"&amp;INT((MONTH(G7)+2)/3),66:66)</f>
        <v>94</v>
      </c>
      <c r="I7" s="1970">
        <f>土地案例!K4</f>
        <v>44376.000497685185</v>
      </c>
      <c r="J7" s="365">
        <f>SUMIF(65:65,YEAR(I7)&amp;"-"&amp;INT((MONTH(I7)+2)/3),66:66)</f>
        <v>92</v>
      </c>
      <c r="K7" s="558"/>
      <c r="L7" s="2708"/>
      <c r="M7" s="2709"/>
      <c r="N7" s="2709"/>
      <c r="O7" s="2709"/>
      <c r="P7" s="3659" t="s">
        <v>1678</v>
      </c>
      <c r="Q7" s="3691"/>
      <c r="R7" s="698" t="s">
        <v>14</v>
      </c>
      <c r="S7" s="699">
        <f t="shared" ref="S7:S15" si="0">F7</f>
        <v>99</v>
      </c>
      <c r="T7" s="698" t="s">
        <v>14</v>
      </c>
      <c r="U7" s="699">
        <f t="shared" ref="U7:U15" si="1">H7</f>
        <v>94</v>
      </c>
      <c r="V7" s="698" t="s">
        <v>14</v>
      </c>
      <c r="W7" s="699">
        <f t="shared" ref="W7:W15" si="2">J7</f>
        <v>92</v>
      </c>
      <c r="X7" s="700"/>
      <c r="Y7" s="3659" t="s">
        <v>1678</v>
      </c>
      <c r="Z7" s="3660"/>
      <c r="AA7" s="701">
        <f>D7/F7</f>
        <v>1.0101010101010102</v>
      </c>
      <c r="AB7" s="701">
        <f>D7/H7</f>
        <v>1.0638297872340425</v>
      </c>
      <c r="AC7" s="701">
        <f>D7/J7</f>
        <v>1.0869565217391304</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58"/>
      <c r="L8" s="2708"/>
      <c r="M8" s="2709"/>
      <c r="N8" s="2709"/>
      <c r="O8" s="2709"/>
      <c r="P8" s="3659" t="s">
        <v>1681</v>
      </c>
      <c r="Q8" s="3660"/>
      <c r="R8" s="698" t="s">
        <v>14</v>
      </c>
      <c r="S8" s="699">
        <f t="shared" si="0"/>
        <v>100</v>
      </c>
      <c r="T8" s="698" t="s">
        <v>14</v>
      </c>
      <c r="U8" s="699">
        <f t="shared" si="1"/>
        <v>100</v>
      </c>
      <c r="V8" s="698" t="s">
        <v>14</v>
      </c>
      <c r="W8" s="699">
        <f t="shared" si="2"/>
        <v>100</v>
      </c>
      <c r="X8" s="700"/>
      <c r="Y8" s="3659" t="s">
        <v>1681</v>
      </c>
      <c r="Z8" s="3660"/>
      <c r="AA8" s="701">
        <f t="shared" ref="AA8:AA40" si="3">D8/F8</f>
        <v>1</v>
      </c>
      <c r="AB8" s="701">
        <f t="shared" ref="AB8:AB40" si="4">D8/H8</f>
        <v>1</v>
      </c>
      <c r="AC8" s="701">
        <f t="shared" ref="AC8:AC40" si="5">D8/J8</f>
        <v>1</v>
      </c>
    </row>
    <row r="9" spans="1:29" s="108" customFormat="1">
      <c r="A9" s="369" t="s">
        <v>1682</v>
      </c>
      <c r="B9" s="63" t="s">
        <v>1683</v>
      </c>
      <c r="C9" s="1973" t="s">
        <v>3682</v>
      </c>
      <c r="D9" s="126">
        <v>100</v>
      </c>
      <c r="E9" s="1973" t="s">
        <v>3682</v>
      </c>
      <c r="F9" s="126">
        <f>SUMIF(70:70,E9,71:71)-SUMIF(70:70,C9,71:71)+100</f>
        <v>100</v>
      </c>
      <c r="G9" s="1973" t="s">
        <v>3682</v>
      </c>
      <c r="H9" s="126">
        <f>SUMIF(70:70,G9,71:71)-SUMIF(70:70,C9,71:71)+100</f>
        <v>100</v>
      </c>
      <c r="I9" s="1973" t="s">
        <v>3682</v>
      </c>
      <c r="J9" s="126">
        <f>SUMIF(70:70,I9,71:71)-SUMIF(70:70,C9,71:71)+100</f>
        <v>100</v>
      </c>
      <c r="K9" s="558"/>
      <c r="L9" s="2708"/>
      <c r="M9" s="2709"/>
      <c r="N9" s="2709"/>
      <c r="O9" s="2763"/>
      <c r="P9" s="3657" t="s">
        <v>1684</v>
      </c>
      <c r="Q9" s="1340" t="str">
        <f t="shared" ref="Q9:Q15" si="6">B9</f>
        <v>用途</v>
      </c>
      <c r="R9" s="698" t="s">
        <v>14</v>
      </c>
      <c r="S9" s="699">
        <f t="shared" si="0"/>
        <v>100</v>
      </c>
      <c r="T9" s="698" t="s">
        <v>14</v>
      </c>
      <c r="U9" s="699">
        <f t="shared" si="1"/>
        <v>100</v>
      </c>
      <c r="V9" s="698" t="s">
        <v>14</v>
      </c>
      <c r="W9" s="699">
        <f t="shared" si="2"/>
        <v>100</v>
      </c>
      <c r="X9" s="700"/>
      <c r="Y9" s="3627" t="s">
        <v>1685</v>
      </c>
      <c r="Z9" s="52" t="str">
        <f t="shared" ref="Z9:Z15" si="7">Q9</f>
        <v>用途</v>
      </c>
      <c r="AA9" s="701">
        <f t="shared" si="3"/>
        <v>1</v>
      </c>
      <c r="AB9" s="701">
        <f t="shared" si="4"/>
        <v>1</v>
      </c>
      <c r="AC9" s="701">
        <f t="shared" si="5"/>
        <v>1</v>
      </c>
    </row>
    <row r="10" spans="1:29" s="378" customFormat="1" ht="27">
      <c r="A10" s="374"/>
      <c r="B10" s="375" t="s">
        <v>1686</v>
      </c>
      <c r="C10" s="383">
        <f>'数据-取费表'!F6</f>
        <v>18.2</v>
      </c>
      <c r="D10" s="127">
        <v>100</v>
      </c>
      <c r="E10" s="383">
        <v>20</v>
      </c>
      <c r="F10" s="127">
        <f>ROUND(100/'数据-取费表'!G16,0)</f>
        <v>106</v>
      </c>
      <c r="G10" s="383">
        <v>20</v>
      </c>
      <c r="H10" s="127">
        <f>ROUND(100/'数据-取费表'!G16,0)</f>
        <v>106</v>
      </c>
      <c r="I10" s="383">
        <v>20</v>
      </c>
      <c r="J10" s="127">
        <f>ROUND(100/'数据-取费表'!G16,0)</f>
        <v>106</v>
      </c>
      <c r="K10" s="617"/>
      <c r="L10" s="2710"/>
      <c r="M10" s="2711"/>
      <c r="N10" s="2711"/>
      <c r="O10" s="2764"/>
      <c r="P10" s="3657"/>
      <c r="Q10" s="1340" t="str">
        <f t="shared" si="6"/>
        <v>土地使用年限（年）</v>
      </c>
      <c r="R10" s="698" t="s">
        <v>14</v>
      </c>
      <c r="S10" s="699">
        <f t="shared" si="0"/>
        <v>106</v>
      </c>
      <c r="T10" s="698" t="s">
        <v>14</v>
      </c>
      <c r="U10" s="699">
        <f t="shared" si="1"/>
        <v>106</v>
      </c>
      <c r="V10" s="698" t="s">
        <v>14</v>
      </c>
      <c r="W10" s="699">
        <f t="shared" si="2"/>
        <v>106</v>
      </c>
      <c r="X10" s="700"/>
      <c r="Y10" s="3627"/>
      <c r="Z10" s="52" t="str">
        <f t="shared" si="7"/>
        <v>土地使用年限（年）</v>
      </c>
      <c r="AA10" s="701">
        <f t="shared" si="3"/>
        <v>0.94339622641509435</v>
      </c>
      <c r="AB10" s="701">
        <f t="shared" si="4"/>
        <v>0.94339622641509435</v>
      </c>
      <c r="AC10" s="701">
        <f t="shared" si="5"/>
        <v>0.94339622641509435</v>
      </c>
    </row>
    <row r="11" spans="1:29" ht="15.75" thickBot="1">
      <c r="A11" s="379"/>
      <c r="B11" s="375" t="s">
        <v>1687</v>
      </c>
      <c r="C11" s="380">
        <f>'数据-汇总表'!I6</f>
        <v>1.2</v>
      </c>
      <c r="D11" s="127">
        <v>100</v>
      </c>
      <c r="E11" s="380">
        <f>土地案例!G2</f>
        <v>1.2</v>
      </c>
      <c r="F11" s="127">
        <f>LOOKUP(E11,75:75,76:76)-LOOKUP(C11,75:75,76:76)+100</f>
        <v>100</v>
      </c>
      <c r="G11" s="381">
        <f>土地案例!G3</f>
        <v>1.8</v>
      </c>
      <c r="H11" s="127">
        <f>LOOKUP(G11,75:75,76:76)-LOOKUP(C11,75:75,76:76)+100</f>
        <v>98</v>
      </c>
      <c r="I11" s="380">
        <f>土地案例!G4</f>
        <v>1.2</v>
      </c>
      <c r="J11" s="127">
        <f>LOOKUP(I11,75:75,76:76)-LOOKUP(C11,75:75,76:76)+100</f>
        <v>100</v>
      </c>
      <c r="K11" s="618">
        <v>2</v>
      </c>
      <c r="L11" s="2712"/>
      <c r="M11" s="2707"/>
      <c r="N11" s="2707"/>
      <c r="O11" s="2765"/>
      <c r="P11" s="3657"/>
      <c r="Q11" s="1340" t="str">
        <f t="shared" si="6"/>
        <v>容积率</v>
      </c>
      <c r="R11" s="698" t="s">
        <v>14</v>
      </c>
      <c r="S11" s="699">
        <f t="shared" si="0"/>
        <v>100</v>
      </c>
      <c r="T11" s="698" t="s">
        <v>14</v>
      </c>
      <c r="U11" s="699">
        <f t="shared" si="1"/>
        <v>98</v>
      </c>
      <c r="V11" s="698" t="s">
        <v>14</v>
      </c>
      <c r="W11" s="699">
        <f t="shared" si="2"/>
        <v>100</v>
      </c>
      <c r="X11" s="700"/>
      <c r="Y11" s="3627"/>
      <c r="Z11" s="52" t="str">
        <f t="shared" si="7"/>
        <v>容积率</v>
      </c>
      <c r="AA11" s="701">
        <f t="shared" si="3"/>
        <v>1</v>
      </c>
      <c r="AB11" s="701">
        <f t="shared" si="4"/>
        <v>1.0204081632653061</v>
      </c>
      <c r="AC11" s="701">
        <f t="shared" si="5"/>
        <v>1</v>
      </c>
    </row>
    <row r="12" spans="1:29" s="108" customFormat="1" ht="15" hidden="1">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657"/>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657"/>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657"/>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701">
        <f t="shared" si="5"/>
        <v>1</v>
      </c>
    </row>
    <row r="15" spans="1:29" ht="15">
      <c r="A15" s="391" t="s">
        <v>1688</v>
      </c>
      <c r="B15" s="574" t="s">
        <v>1918</v>
      </c>
      <c r="C15" s="1967" t="str">
        <f>估价对象房地状况!G15</f>
        <v>较好</v>
      </c>
      <c r="D15" s="392">
        <v>100</v>
      </c>
      <c r="E15" s="393" t="s">
        <v>3383</v>
      </c>
      <c r="F15" s="392">
        <f>SUMIF(83:83,E16,84:84)-SUMIF(83:83,C16,84:84)+100</f>
        <v>100</v>
      </c>
      <c r="G15" s="393" t="s">
        <v>3383</v>
      </c>
      <c r="H15" s="392">
        <f>SUMIF(83:83,G16,84:84)-SUMIF(83:83,C16,84:84)+100</f>
        <v>100</v>
      </c>
      <c r="I15" s="393" t="s">
        <v>3383</v>
      </c>
      <c r="J15" s="392">
        <f>SUMIF(83:83,I16,84:84)-SUMIF(83:83,C16,84:84)+100</f>
        <v>100</v>
      </c>
      <c r="K15" s="618">
        <v>2</v>
      </c>
      <c r="L15" s="2713"/>
      <c r="M15" s="2707"/>
      <c r="N15" s="2707"/>
      <c r="O15" s="2765"/>
      <c r="P15" s="3662" t="s">
        <v>1689</v>
      </c>
      <c r="Q15" s="1349" t="str">
        <f t="shared" si="6"/>
        <v>产业集聚程度</v>
      </c>
      <c r="R15" s="702" t="s">
        <v>14</v>
      </c>
      <c r="S15" s="703">
        <f t="shared" si="0"/>
        <v>100</v>
      </c>
      <c r="T15" s="702" t="s">
        <v>14</v>
      </c>
      <c r="U15" s="703">
        <f t="shared" si="1"/>
        <v>100</v>
      </c>
      <c r="V15" s="702" t="s">
        <v>14</v>
      </c>
      <c r="W15" s="703">
        <f t="shared" si="2"/>
        <v>100</v>
      </c>
      <c r="X15" s="1352"/>
      <c r="Y15" s="3662" t="s">
        <v>1689</v>
      </c>
      <c r="Z15" s="1353" t="str">
        <f t="shared" si="7"/>
        <v>产业集聚程度</v>
      </c>
      <c r="AA15" s="1350">
        <f t="shared" si="3"/>
        <v>1</v>
      </c>
      <c r="AB15" s="1350">
        <f t="shared" si="4"/>
        <v>1</v>
      </c>
      <c r="AC15" s="1350">
        <f t="shared" si="5"/>
        <v>1</v>
      </c>
    </row>
    <row r="16" spans="1:29" ht="15">
      <c r="A16" s="379"/>
      <c r="B16" s="575"/>
      <c r="C16" s="398" t="s">
        <v>3383</v>
      </c>
      <c r="D16" s="399"/>
      <c r="E16" s="1901" t="s">
        <v>3383</v>
      </c>
      <c r="F16" s="399"/>
      <c r="G16" s="1901" t="s">
        <v>3383</v>
      </c>
      <c r="H16" s="401"/>
      <c r="I16" s="1901" t="s">
        <v>3383</v>
      </c>
      <c r="J16" s="399"/>
      <c r="K16" s="617"/>
      <c r="L16" s="2713"/>
      <c r="M16" s="2707"/>
      <c r="N16" s="2707"/>
      <c r="O16" s="2765"/>
      <c r="P16" s="3663"/>
      <c r="Q16" s="1349"/>
      <c r="R16" s="702"/>
      <c r="S16" s="703"/>
      <c r="T16" s="702"/>
      <c r="U16" s="703"/>
      <c r="V16" s="702"/>
      <c r="W16" s="703"/>
      <c r="X16" s="1352"/>
      <c r="Y16" s="3663"/>
      <c r="Z16" s="1353"/>
      <c r="AA16" s="1350">
        <v>1</v>
      </c>
      <c r="AB16" s="1350">
        <v>1</v>
      </c>
      <c r="AC16" s="1350">
        <v>1</v>
      </c>
    </row>
    <row r="17" spans="1:29" ht="15">
      <c r="A17" s="379"/>
      <c r="B17" s="576" t="s">
        <v>1831</v>
      </c>
      <c r="C17" s="1897" t="str">
        <f>估价对象房地状况!G16</f>
        <v>较好</v>
      </c>
      <c r="D17" s="401">
        <v>100</v>
      </c>
      <c r="E17" s="403" t="s">
        <v>3383</v>
      </c>
      <c r="F17" s="406">
        <f>SUMIF(85:85,E18,86:86)-SUMIF(85:85,C18,86:86)+100</f>
        <v>100</v>
      </c>
      <c r="G17" s="403" t="s">
        <v>3383</v>
      </c>
      <c r="H17" s="406">
        <f>SUMIF(85:85,G18,86:86)-SUMIF(85:85,C18,86:86)+100</f>
        <v>100</v>
      </c>
      <c r="I17" s="403" t="s">
        <v>3383</v>
      </c>
      <c r="J17" s="401">
        <f>SUMIF(85:85,I18,86:86)-SUMIF(85:85,C18,86:86)+100</f>
        <v>100</v>
      </c>
      <c r="K17" s="618">
        <v>2</v>
      </c>
      <c r="L17" s="2713"/>
      <c r="M17" s="2707"/>
      <c r="N17" s="2707"/>
      <c r="O17" s="2765"/>
      <c r="P17" s="3663"/>
      <c r="Q17" s="1349" t="str">
        <f>B17</f>
        <v>交通便捷度</v>
      </c>
      <c r="R17" s="702" t="s">
        <v>14</v>
      </c>
      <c r="S17" s="703">
        <f>F17</f>
        <v>100</v>
      </c>
      <c r="T17" s="702" t="s">
        <v>14</v>
      </c>
      <c r="U17" s="703">
        <f>H17</f>
        <v>100</v>
      </c>
      <c r="V17" s="702" t="s">
        <v>14</v>
      </c>
      <c r="W17" s="703">
        <f>J17</f>
        <v>100</v>
      </c>
      <c r="X17" s="1352"/>
      <c r="Y17" s="3663"/>
      <c r="Z17" s="1353" t="str">
        <f>Q17</f>
        <v>交通便捷度</v>
      </c>
      <c r="AA17" s="1350">
        <f t="shared" si="3"/>
        <v>1</v>
      </c>
      <c r="AB17" s="1350">
        <f t="shared" si="4"/>
        <v>1</v>
      </c>
      <c r="AC17" s="1350">
        <f t="shared" si="5"/>
        <v>1</v>
      </c>
    </row>
    <row r="18" spans="1:29" ht="15">
      <c r="A18" s="379"/>
      <c r="B18" s="577"/>
      <c r="C18" s="398" t="s">
        <v>3383</v>
      </c>
      <c r="D18" s="399"/>
      <c r="E18" s="1895" t="s">
        <v>3383</v>
      </c>
      <c r="F18" s="399"/>
      <c r="G18" s="1895" t="s">
        <v>3383</v>
      </c>
      <c r="H18" s="399"/>
      <c r="I18" s="1895" t="s">
        <v>3383</v>
      </c>
      <c r="J18" s="399"/>
      <c r="K18" s="617"/>
      <c r="L18" s="2713"/>
      <c r="M18" s="2707"/>
      <c r="N18" s="2707"/>
      <c r="O18" s="2765"/>
      <c r="P18" s="3663"/>
      <c r="Q18" s="1349"/>
      <c r="R18" s="702"/>
      <c r="S18" s="703"/>
      <c r="T18" s="702"/>
      <c r="U18" s="703"/>
      <c r="V18" s="702"/>
      <c r="W18" s="703"/>
      <c r="X18" s="1352"/>
      <c r="Y18" s="3663"/>
      <c r="Z18" s="1353"/>
      <c r="AA18" s="1350">
        <v>1</v>
      </c>
      <c r="AB18" s="1350">
        <v>1</v>
      </c>
      <c r="AC18" s="1350">
        <v>1</v>
      </c>
    </row>
    <row r="19" spans="1:29" ht="15">
      <c r="A19" s="379"/>
      <c r="B19" s="576" t="s">
        <v>1869</v>
      </c>
      <c r="C19" s="1897" t="str">
        <f>估价对象房地状况!G17</f>
        <v>较好</v>
      </c>
      <c r="D19" s="401">
        <v>100</v>
      </c>
      <c r="E19" s="403" t="s">
        <v>3383</v>
      </c>
      <c r="F19" s="406">
        <f>SUMIF(87:87,E20,88:88)-SUMIF(87:87,C20,88:88)+100</f>
        <v>100</v>
      </c>
      <c r="G19" s="403" t="s">
        <v>3383</v>
      </c>
      <c r="H19" s="406">
        <f>SUMIF(87:87,G20,88:88)-SUMIF(87:87,C20,88:88)+100</f>
        <v>100</v>
      </c>
      <c r="I19" s="403" t="s">
        <v>3383</v>
      </c>
      <c r="J19" s="406">
        <f>SUMIF(87:87,I20,88:88)-SUMIF(87:87,C20,88:88)+100</f>
        <v>100</v>
      </c>
      <c r="K19" s="618">
        <v>2</v>
      </c>
      <c r="L19" s="2713"/>
      <c r="M19" s="2707"/>
      <c r="N19" s="2707"/>
      <c r="O19" s="2765"/>
      <c r="P19" s="3663"/>
      <c r="Q19" s="1349" t="str">
        <f t="shared" ref="Q19:Q33" si="8">B19</f>
        <v>区域土地利用方向</v>
      </c>
      <c r="R19" s="702" t="s">
        <v>14</v>
      </c>
      <c r="S19" s="703">
        <f>F19</f>
        <v>100</v>
      </c>
      <c r="T19" s="702" t="s">
        <v>14</v>
      </c>
      <c r="U19" s="703">
        <f>H19</f>
        <v>100</v>
      </c>
      <c r="V19" s="702" t="s">
        <v>14</v>
      </c>
      <c r="W19" s="703">
        <f>J19</f>
        <v>100</v>
      </c>
      <c r="X19" s="1352"/>
      <c r="Y19" s="3663"/>
      <c r="Z19" s="1353" t="str">
        <f>Q19</f>
        <v>区域土地利用方向</v>
      </c>
      <c r="AA19" s="1350">
        <f t="shared" si="3"/>
        <v>1</v>
      </c>
      <c r="AB19" s="1350">
        <f t="shared" si="4"/>
        <v>1</v>
      </c>
      <c r="AC19" s="1350">
        <f t="shared" si="5"/>
        <v>1</v>
      </c>
    </row>
    <row r="20" spans="1:29" ht="15">
      <c r="A20" s="358"/>
      <c r="B20" s="577"/>
      <c r="C20" s="398" t="s">
        <v>3383</v>
      </c>
      <c r="D20" s="399"/>
      <c r="E20" s="1895" t="s">
        <v>3383</v>
      </c>
      <c r="F20" s="399"/>
      <c r="G20" s="1895" t="s">
        <v>3383</v>
      </c>
      <c r="H20" s="399"/>
      <c r="I20" s="1895" t="s">
        <v>3383</v>
      </c>
      <c r="J20" s="399"/>
      <c r="K20" s="737"/>
      <c r="L20" s="2713"/>
      <c r="M20" s="2707"/>
      <c r="N20" s="2707"/>
      <c r="O20" s="2765"/>
      <c r="P20" s="3663"/>
      <c r="Q20" s="1349"/>
      <c r="R20" s="702"/>
      <c r="S20" s="703"/>
      <c r="T20" s="702"/>
      <c r="U20" s="703"/>
      <c r="V20" s="702"/>
      <c r="W20" s="703"/>
      <c r="X20" s="1352"/>
      <c r="Y20" s="3663"/>
      <c r="Z20" s="1353"/>
      <c r="AA20" s="1350"/>
      <c r="AB20" s="1350"/>
      <c r="AC20" s="1350"/>
    </row>
    <row r="21" spans="1:29" ht="15">
      <c r="A21" s="358"/>
      <c r="B21" s="576" t="s">
        <v>1919</v>
      </c>
      <c r="C21" s="1897" t="str">
        <f>估价对象房地状况!G18</f>
        <v>较好</v>
      </c>
      <c r="D21" s="401">
        <v>100</v>
      </c>
      <c r="E21" s="403" t="s">
        <v>3383</v>
      </c>
      <c r="F21" s="401">
        <f>SUMIF(89:89,E22,90:90)-SUMIF(89:89,C22,90:90)+100</f>
        <v>100</v>
      </c>
      <c r="G21" s="403" t="s">
        <v>3383</v>
      </c>
      <c r="H21" s="401">
        <f>SUMIF(89:89,G22,90:90)-SUMIF(89:89,C22,90:90)+100</f>
        <v>100</v>
      </c>
      <c r="I21" s="403" t="s">
        <v>3383</v>
      </c>
      <c r="J21" s="401">
        <f>SUMIF(89:89,I22,90:90)-SUMIF(89:89,C22,90:90)+100</f>
        <v>100</v>
      </c>
      <c r="K21" s="618">
        <v>2</v>
      </c>
      <c r="L21" s="2713"/>
      <c r="M21" s="2707"/>
      <c r="N21" s="2707"/>
      <c r="O21" s="2765"/>
      <c r="P21" s="3663"/>
      <c r="Q21" s="1349" t="str">
        <f t="shared" si="8"/>
        <v>环境状况</v>
      </c>
      <c r="R21" s="702" t="s">
        <v>14</v>
      </c>
      <c r="S21" s="703">
        <f>F21</f>
        <v>100</v>
      </c>
      <c r="T21" s="702" t="s">
        <v>14</v>
      </c>
      <c r="U21" s="703">
        <f>H21</f>
        <v>100</v>
      </c>
      <c r="V21" s="702" t="s">
        <v>14</v>
      </c>
      <c r="W21" s="703">
        <f>J21</f>
        <v>100</v>
      </c>
      <c r="X21" s="1352"/>
      <c r="Y21" s="3663"/>
      <c r="Z21" s="1353" t="str">
        <f>Q21</f>
        <v>环境状况</v>
      </c>
      <c r="AA21" s="1350">
        <f t="shared" si="3"/>
        <v>1</v>
      </c>
      <c r="AB21" s="1350">
        <f t="shared" si="4"/>
        <v>1</v>
      </c>
      <c r="AC21" s="1350">
        <f t="shared" si="5"/>
        <v>1</v>
      </c>
    </row>
    <row r="22" spans="1:29" ht="15">
      <c r="A22" s="358"/>
      <c r="B22" s="577"/>
      <c r="C22" s="398" t="s">
        <v>3383</v>
      </c>
      <c r="D22" s="399"/>
      <c r="E22" s="1901" t="s">
        <v>3383</v>
      </c>
      <c r="F22" s="399"/>
      <c r="G22" s="1901" t="s">
        <v>3383</v>
      </c>
      <c r="H22" s="399"/>
      <c r="I22" s="1901" t="s">
        <v>3383</v>
      </c>
      <c r="J22" s="399"/>
      <c r="K22" s="617"/>
      <c r="L22" s="2713"/>
      <c r="M22" s="2707"/>
      <c r="N22" s="2707"/>
      <c r="O22" s="2765"/>
      <c r="P22" s="3663"/>
      <c r="Q22" s="1349"/>
      <c r="R22" s="702"/>
      <c r="S22" s="703"/>
      <c r="T22" s="702"/>
      <c r="U22" s="703"/>
      <c r="V22" s="702"/>
      <c r="W22" s="703"/>
      <c r="X22" s="1352"/>
      <c r="Y22" s="3663"/>
      <c r="Z22" s="1353"/>
      <c r="AA22" s="1350">
        <v>1</v>
      </c>
      <c r="AB22" s="1350">
        <v>1</v>
      </c>
      <c r="AC22" s="1350">
        <v>1</v>
      </c>
    </row>
    <row r="23" spans="1:29" s="108" customFormat="1" ht="15">
      <c r="A23" s="594"/>
      <c r="B23" s="578" t="s">
        <v>1776</v>
      </c>
      <c r="C23" s="1897" t="str">
        <f>估价对象房地状况!G19</f>
        <v>一般</v>
      </c>
      <c r="D23" s="401">
        <v>100</v>
      </c>
      <c r="E23" s="403" t="s">
        <v>3671</v>
      </c>
      <c r="F23" s="401">
        <f>SUMIF(91:91,E24,92:92)-SUMIF(91:91,C24,92:92)+100</f>
        <v>100</v>
      </c>
      <c r="G23" s="403" t="s">
        <v>3671</v>
      </c>
      <c r="H23" s="401">
        <f>SUMIF(91:91,G24,92:92)-SUMIF(91:91,C24,92:92)+100</f>
        <v>100</v>
      </c>
      <c r="I23" s="403" t="s">
        <v>3671</v>
      </c>
      <c r="J23" s="401">
        <f>SUMIF(91:91,I24,92:92)-SUMIF(91:91,C24,92:92)+100</f>
        <v>100</v>
      </c>
      <c r="K23" s="618">
        <v>2</v>
      </c>
      <c r="L23" s="2708"/>
      <c r="M23" s="2709"/>
      <c r="N23" s="2709"/>
      <c r="O23" s="2763"/>
      <c r="P23" s="3663"/>
      <c r="Q23" s="1340" t="str">
        <f t="shared" si="8"/>
        <v>公共配套设施</v>
      </c>
      <c r="R23" s="698" t="s">
        <v>14</v>
      </c>
      <c r="S23" s="699">
        <f>F23</f>
        <v>100</v>
      </c>
      <c r="T23" s="698" t="s">
        <v>14</v>
      </c>
      <c r="U23" s="699">
        <f>H23</f>
        <v>100</v>
      </c>
      <c r="V23" s="698" t="s">
        <v>14</v>
      </c>
      <c r="W23" s="699">
        <f>J23</f>
        <v>100</v>
      </c>
      <c r="X23" s="700"/>
      <c r="Y23" s="3663"/>
      <c r="Z23" s="52" t="str">
        <f>Q23</f>
        <v>公共配套设施</v>
      </c>
      <c r="AA23" s="1350">
        <f>D23/F23</f>
        <v>1</v>
      </c>
      <c r="AB23" s="1350">
        <f>D23/H23</f>
        <v>1</v>
      </c>
      <c r="AC23" s="1350">
        <f>D23/J23</f>
        <v>1</v>
      </c>
    </row>
    <row r="24" spans="1:29" s="108" customFormat="1" ht="15">
      <c r="A24" s="594"/>
      <c r="B24" s="577"/>
      <c r="C24" s="1974" t="s">
        <v>3671</v>
      </c>
      <c r="D24" s="399"/>
      <c r="E24" s="1901" t="s">
        <v>3671</v>
      </c>
      <c r="F24" s="399"/>
      <c r="G24" s="1901" t="s">
        <v>3671</v>
      </c>
      <c r="H24" s="399"/>
      <c r="I24" s="1901" t="s">
        <v>3671</v>
      </c>
      <c r="J24" s="399"/>
      <c r="K24" s="617"/>
      <c r="L24" s="2708"/>
      <c r="M24" s="2709"/>
      <c r="N24" s="2709"/>
      <c r="O24" s="2763"/>
      <c r="P24" s="3663"/>
      <c r="Q24" s="1340"/>
      <c r="R24" s="698"/>
      <c r="S24" s="699"/>
      <c r="T24" s="698"/>
      <c r="U24" s="699"/>
      <c r="V24" s="698"/>
      <c r="W24" s="699"/>
      <c r="X24" s="700"/>
      <c r="Y24" s="3663"/>
      <c r="Z24" s="52"/>
      <c r="AA24" s="701">
        <v>1</v>
      </c>
      <c r="AB24" s="701">
        <v>1</v>
      </c>
      <c r="AC24" s="701">
        <v>1</v>
      </c>
    </row>
    <row r="25" spans="1:29" s="108" customFormat="1" ht="15">
      <c r="A25" s="594"/>
      <c r="B25" s="578" t="s">
        <v>1777</v>
      </c>
      <c r="C25" s="1897" t="str">
        <f>估价对象房地状况!G20</f>
        <v>七通</v>
      </c>
      <c r="D25" s="401">
        <v>100</v>
      </c>
      <c r="E25" s="403" t="s">
        <v>3387</v>
      </c>
      <c r="F25" s="401">
        <f>SUMIF(93:93,E26,94:94)-SUMIF(93:93,C26,94:94)+100</f>
        <v>100</v>
      </c>
      <c r="G25" s="403" t="s">
        <v>3387</v>
      </c>
      <c r="H25" s="401">
        <f>SUMIF(93:93,G26,94:94)-SUMIF(93:93,C26,94:94)+100</f>
        <v>100</v>
      </c>
      <c r="I25" s="403" t="s">
        <v>3387</v>
      </c>
      <c r="J25" s="401">
        <f>SUMIF(93:93,I26,94:94)-SUMIF(93:93,C26,94:94)+100</f>
        <v>100</v>
      </c>
      <c r="K25" s="618">
        <v>1</v>
      </c>
      <c r="L25" s="2708"/>
      <c r="M25" s="2709"/>
      <c r="N25" s="2709"/>
      <c r="O25" s="2763"/>
      <c r="P25" s="3663"/>
      <c r="Q25" s="1340" t="str">
        <f t="shared" ref="Q25" si="9">B25</f>
        <v>基础设施水平</v>
      </c>
      <c r="R25" s="698" t="s">
        <v>14</v>
      </c>
      <c r="S25" s="699">
        <f>F25</f>
        <v>100</v>
      </c>
      <c r="T25" s="698" t="s">
        <v>14</v>
      </c>
      <c r="U25" s="699">
        <f>H25</f>
        <v>100</v>
      </c>
      <c r="V25" s="698" t="s">
        <v>14</v>
      </c>
      <c r="W25" s="699">
        <f>J25</f>
        <v>100</v>
      </c>
      <c r="X25" s="700"/>
      <c r="Y25" s="3663"/>
      <c r="Z25" s="52" t="str">
        <f>Q25</f>
        <v>基础设施水平</v>
      </c>
      <c r="AA25" s="1350">
        <f>D25/F25</f>
        <v>1</v>
      </c>
      <c r="AB25" s="1350">
        <f>D25/H25</f>
        <v>1</v>
      </c>
      <c r="AC25" s="1350">
        <f>D25/J25</f>
        <v>1</v>
      </c>
    </row>
    <row r="26" spans="1:29" s="108" customFormat="1" ht="15.75" thickBot="1">
      <c r="A26" s="594"/>
      <c r="B26" s="577"/>
      <c r="C26" s="1974" t="s">
        <v>3387</v>
      </c>
      <c r="D26" s="399"/>
      <c r="E26" s="1975" t="s">
        <v>3387</v>
      </c>
      <c r="F26" s="399"/>
      <c r="G26" s="1975" t="s">
        <v>3387</v>
      </c>
      <c r="H26" s="399"/>
      <c r="I26" s="1975" t="s">
        <v>3387</v>
      </c>
      <c r="J26" s="399"/>
      <c r="K26" s="617"/>
      <c r="L26" s="2708"/>
      <c r="M26" s="2709"/>
      <c r="N26" s="2709"/>
      <c r="O26" s="2763"/>
      <c r="P26" s="3663"/>
      <c r="Q26" s="1340"/>
      <c r="R26" s="698"/>
      <c r="S26" s="699"/>
      <c r="T26" s="698"/>
      <c r="U26" s="699"/>
      <c r="V26" s="698"/>
      <c r="W26" s="699"/>
      <c r="X26" s="700"/>
      <c r="Y26" s="3663"/>
      <c r="Z26" s="52"/>
      <c r="AA26" s="701">
        <v>1</v>
      </c>
      <c r="AB26" s="701">
        <v>1</v>
      </c>
      <c r="AC26" s="701">
        <v>1</v>
      </c>
    </row>
    <row r="27" spans="1:29" ht="15" hidden="1">
      <c r="A27" s="379"/>
      <c r="B27" s="577" t="s">
        <v>1778</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66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63"/>
      <c r="Z27" s="1353" t="str">
        <f t="shared" ref="Z27:Z40" si="13">Q27</f>
        <v>临街状况</v>
      </c>
      <c r="AA27" s="1350">
        <f t="shared" si="3"/>
        <v>1</v>
      </c>
      <c r="AB27" s="1350">
        <f t="shared" si="4"/>
        <v>1</v>
      </c>
      <c r="AC27" s="1350">
        <f t="shared" si="5"/>
        <v>1</v>
      </c>
    </row>
    <row r="28" spans="1:29" ht="27" hidden="1">
      <c r="A28" s="379"/>
      <c r="B28" s="578"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663"/>
      <c r="Q28" s="1349" t="str">
        <f t="shared" si="8"/>
        <v>毗邻道路的类型与等级</v>
      </c>
      <c r="R28" s="702" t="s">
        <v>14</v>
      </c>
      <c r="S28" s="703">
        <f t="shared" si="10"/>
        <v>100</v>
      </c>
      <c r="T28" s="702" t="s">
        <v>14</v>
      </c>
      <c r="U28" s="703">
        <f t="shared" si="11"/>
        <v>100</v>
      </c>
      <c r="V28" s="702" t="s">
        <v>14</v>
      </c>
      <c r="W28" s="703">
        <f t="shared" si="12"/>
        <v>100</v>
      </c>
      <c r="X28" s="1352"/>
      <c r="Y28" s="3663"/>
      <c r="Z28" s="1353" t="str">
        <f t="shared" si="13"/>
        <v>毗邻道路的类型与等级</v>
      </c>
      <c r="AA28" s="1350">
        <f t="shared" si="3"/>
        <v>1</v>
      </c>
      <c r="AB28" s="1350">
        <f t="shared" si="4"/>
        <v>1</v>
      </c>
      <c r="AC28" s="1350">
        <f t="shared" si="5"/>
        <v>1</v>
      </c>
    </row>
    <row r="29" spans="1:29" ht="15" hidden="1">
      <c r="A29" s="379"/>
      <c r="B29" s="577"/>
      <c r="C29" s="398"/>
      <c r="D29" s="399"/>
      <c r="E29" s="1901"/>
      <c r="F29" s="399"/>
      <c r="G29" s="1901"/>
      <c r="H29" s="399"/>
      <c r="I29" s="1901"/>
      <c r="J29" s="399"/>
      <c r="K29" s="560"/>
      <c r="L29" s="2713"/>
      <c r="M29" s="2707"/>
      <c r="N29" s="2707"/>
      <c r="O29" s="2765"/>
      <c r="P29" s="3663"/>
      <c r="Q29" s="1349"/>
      <c r="R29" s="702"/>
      <c r="S29" s="703"/>
      <c r="T29" s="702"/>
      <c r="U29" s="703"/>
      <c r="V29" s="702"/>
      <c r="W29" s="703"/>
      <c r="X29" s="1352"/>
      <c r="Y29" s="3663"/>
      <c r="Z29" s="1353"/>
      <c r="AA29" s="1350">
        <v>1</v>
      </c>
      <c r="AB29" s="1350">
        <v>1</v>
      </c>
      <c r="AC29" s="1350">
        <v>1</v>
      </c>
    </row>
    <row r="30" spans="1:29" ht="15.75" hidden="1" thickBot="1">
      <c r="A30" s="379"/>
      <c r="B30" s="599" t="s">
        <v>1871</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663"/>
      <c r="Q30" s="1349" t="str">
        <f t="shared" si="8"/>
        <v>土地级别</v>
      </c>
      <c r="R30" s="702" t="s">
        <v>14</v>
      </c>
      <c r="S30" s="703">
        <f t="shared" si="10"/>
        <v>100</v>
      </c>
      <c r="T30" s="702" t="s">
        <v>14</v>
      </c>
      <c r="U30" s="703">
        <f t="shared" si="11"/>
        <v>100</v>
      </c>
      <c r="V30" s="702" t="s">
        <v>14</v>
      </c>
      <c r="W30" s="703">
        <f t="shared" si="12"/>
        <v>100</v>
      </c>
      <c r="X30" s="1352"/>
      <c r="Y30" s="3663"/>
      <c r="Z30" s="1353" t="str">
        <f t="shared" si="13"/>
        <v>土地级别</v>
      </c>
      <c r="AA30" s="1350">
        <f t="shared" si="3"/>
        <v>1</v>
      </c>
      <c r="AB30" s="1350">
        <f t="shared" si="4"/>
        <v>1</v>
      </c>
      <c r="AC30" s="1350">
        <f t="shared" si="5"/>
        <v>1</v>
      </c>
    </row>
    <row r="31" spans="1:29" ht="15" hidden="1">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63"/>
      <c r="Q31" s="1349">
        <f t="shared" si="8"/>
        <v>111</v>
      </c>
      <c r="R31" s="702" t="s">
        <v>14</v>
      </c>
      <c r="S31" s="703">
        <f t="shared" si="10"/>
        <v>100</v>
      </c>
      <c r="T31" s="702" t="s">
        <v>14</v>
      </c>
      <c r="U31" s="703">
        <f t="shared" si="11"/>
        <v>100</v>
      </c>
      <c r="V31" s="702" t="s">
        <v>14</v>
      </c>
      <c r="W31" s="703">
        <f t="shared" si="12"/>
        <v>100</v>
      </c>
      <c r="X31" s="1352"/>
      <c r="Y31" s="3663"/>
      <c r="Z31" s="1353">
        <f t="shared" si="13"/>
        <v>111</v>
      </c>
      <c r="AA31" s="1350">
        <f t="shared" si="3"/>
        <v>1</v>
      </c>
      <c r="AB31" s="1350">
        <f t="shared" si="4"/>
        <v>1</v>
      </c>
      <c r="AC31" s="1350">
        <f t="shared" si="5"/>
        <v>1</v>
      </c>
    </row>
    <row r="32" spans="1:29" ht="15" hidden="1">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664" t="s">
        <v>1694</v>
      </c>
      <c r="Q32" s="1349">
        <f t="shared" si="8"/>
        <v>111</v>
      </c>
      <c r="R32" s="702" t="s">
        <v>14</v>
      </c>
      <c r="S32" s="703">
        <f t="shared" si="10"/>
        <v>100</v>
      </c>
      <c r="T32" s="702" t="s">
        <v>14</v>
      </c>
      <c r="U32" s="703">
        <f t="shared" si="11"/>
        <v>100</v>
      </c>
      <c r="V32" s="702" t="s">
        <v>14</v>
      </c>
      <c r="W32" s="703">
        <f t="shared" si="12"/>
        <v>100</v>
      </c>
      <c r="X32" s="1352"/>
      <c r="Y32" s="3665" t="s">
        <v>1694</v>
      </c>
      <c r="Z32" s="1353">
        <f t="shared" si="13"/>
        <v>111</v>
      </c>
      <c r="AA32" s="1350">
        <f t="shared" si="3"/>
        <v>1</v>
      </c>
      <c r="AB32" s="1350">
        <f t="shared" si="4"/>
        <v>1</v>
      </c>
      <c r="AC32" s="1350">
        <f t="shared" si="5"/>
        <v>1</v>
      </c>
    </row>
    <row r="33" spans="1:31" s="422" customFormat="1" ht="15.75" hidden="1"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665"/>
      <c r="Q33" s="1349">
        <f t="shared" si="8"/>
        <v>111</v>
      </c>
      <c r="R33" s="705" t="s">
        <v>14</v>
      </c>
      <c r="S33" s="706">
        <f t="shared" si="10"/>
        <v>100</v>
      </c>
      <c r="T33" s="705" t="s">
        <v>14</v>
      </c>
      <c r="U33" s="706">
        <f t="shared" si="11"/>
        <v>100</v>
      </c>
      <c r="V33" s="705" t="s">
        <v>14</v>
      </c>
      <c r="W33" s="706">
        <f t="shared" si="12"/>
        <v>100</v>
      </c>
      <c r="X33" s="707"/>
      <c r="Y33" s="3665"/>
      <c r="Z33" s="708">
        <f t="shared" si="13"/>
        <v>111</v>
      </c>
      <c r="AA33" s="1350">
        <f t="shared" si="3"/>
        <v>1</v>
      </c>
      <c r="AB33" s="1350">
        <f t="shared" si="4"/>
        <v>1</v>
      </c>
      <c r="AC33" s="1350">
        <f t="shared" si="5"/>
        <v>1</v>
      </c>
    </row>
    <row r="34" spans="1:31" ht="15">
      <c r="A34" s="391" t="s">
        <v>1692</v>
      </c>
      <c r="B34" s="407" t="s">
        <v>1872</v>
      </c>
      <c r="C34" s="624">
        <f>'数据-汇总表'!D3</f>
        <v>17315.580000000002</v>
      </c>
      <c r="D34" s="418">
        <v>100</v>
      </c>
      <c r="E34" s="624">
        <f>土地案例!J2</f>
        <v>62970.8</v>
      </c>
      <c r="F34" s="418">
        <f>LOOKUP(E34,108:108,109:109)-LOOKUP(C34,108:108,109:109)+100</f>
        <v>104</v>
      </c>
      <c r="G34" s="624">
        <f>土地案例!J3</f>
        <v>45949.97</v>
      </c>
      <c r="H34" s="418">
        <f>LOOKUP(G34,108:108,109:109)-LOOKUP(C34,108:108,109:109)+100</f>
        <v>103</v>
      </c>
      <c r="I34" s="477">
        <f>土地案例!J4</f>
        <v>20326.22</v>
      </c>
      <c r="J34" s="418">
        <f>LOOKUP(I34,108:108,109:109)-LOOKUP(C34,108:108,109:109)+100</f>
        <v>101</v>
      </c>
      <c r="K34" s="560"/>
      <c r="L34" s="2713"/>
      <c r="M34" s="2707"/>
      <c r="N34" s="2707"/>
      <c r="O34" s="2765"/>
      <c r="P34" s="3665"/>
      <c r="Q34" s="1349" t="str">
        <f>B34</f>
        <v>宗地面积</v>
      </c>
      <c r="R34" s="702" t="s">
        <v>14</v>
      </c>
      <c r="S34" s="703">
        <f t="shared" si="10"/>
        <v>104</v>
      </c>
      <c r="T34" s="702" t="s">
        <v>14</v>
      </c>
      <c r="U34" s="703">
        <f t="shared" si="11"/>
        <v>103</v>
      </c>
      <c r="V34" s="702" t="s">
        <v>14</v>
      </c>
      <c r="W34" s="703">
        <f t="shared" si="12"/>
        <v>101</v>
      </c>
      <c r="X34" s="1352"/>
      <c r="Y34" s="3665"/>
      <c r="Z34" s="1353" t="str">
        <f t="shared" si="13"/>
        <v>宗地面积</v>
      </c>
      <c r="AA34" s="1350">
        <f t="shared" si="3"/>
        <v>0.96153846153846156</v>
      </c>
      <c r="AB34" s="1350">
        <f t="shared" si="4"/>
        <v>0.970873786407767</v>
      </c>
      <c r="AC34" s="1350">
        <f t="shared" si="5"/>
        <v>0.99009900990099009</v>
      </c>
    </row>
    <row r="35" spans="1:31" ht="15">
      <c r="A35" s="423"/>
      <c r="B35" s="375" t="s">
        <v>1873</v>
      </c>
      <c r="C35" s="1903" t="s">
        <v>3677</v>
      </c>
      <c r="D35" s="386">
        <v>100</v>
      </c>
      <c r="E35" s="1903" t="s">
        <v>3677</v>
      </c>
      <c r="F35" s="386">
        <f>SUMIF(110:110,E35,111:111)-SUMIF(110:110,C35,111:111)+100</f>
        <v>100</v>
      </c>
      <c r="G35" s="1903" t="s">
        <v>3677</v>
      </c>
      <c r="H35" s="386">
        <f>SUMIF(110:110,G35,111:111)-SUMIF(110:110,C35,111:111)+100</f>
        <v>100</v>
      </c>
      <c r="I35" s="1903" t="s">
        <v>3677</v>
      </c>
      <c r="J35" s="386">
        <f>SUMIF(110:110,I35,111:111)-SUMIF(110:110,C35,111:111)+100</f>
        <v>100</v>
      </c>
      <c r="K35" s="559">
        <v>2</v>
      </c>
      <c r="L35" s="2713"/>
      <c r="M35" s="2707"/>
      <c r="N35" s="2707"/>
      <c r="O35" s="2765"/>
      <c r="P35" s="3665"/>
      <c r="Q35" s="1349" t="str">
        <f t="shared" ref="Q35:Q40" si="14">B35</f>
        <v>宗地形状</v>
      </c>
      <c r="R35" s="702" t="s">
        <v>14</v>
      </c>
      <c r="S35" s="703">
        <f t="shared" si="10"/>
        <v>100</v>
      </c>
      <c r="T35" s="702" t="s">
        <v>14</v>
      </c>
      <c r="U35" s="703">
        <f t="shared" si="11"/>
        <v>100</v>
      </c>
      <c r="V35" s="702" t="s">
        <v>14</v>
      </c>
      <c r="W35" s="703">
        <f t="shared" si="12"/>
        <v>100</v>
      </c>
      <c r="X35" s="1352"/>
      <c r="Y35" s="3665"/>
      <c r="Z35" s="1353" t="str">
        <f t="shared" si="13"/>
        <v>宗地形状</v>
      </c>
      <c r="AA35" s="1350">
        <f t="shared" si="3"/>
        <v>1</v>
      </c>
      <c r="AB35" s="1350">
        <f t="shared" si="4"/>
        <v>1</v>
      </c>
      <c r="AC35" s="1350">
        <f t="shared" si="5"/>
        <v>1</v>
      </c>
    </row>
    <row r="36" spans="1:31" s="108" customFormat="1" ht="15">
      <c r="A36" s="424"/>
      <c r="B36" s="375" t="s">
        <v>1875</v>
      </c>
      <c r="C36" s="1976" t="s">
        <v>3683</v>
      </c>
      <c r="D36" s="127">
        <v>100</v>
      </c>
      <c r="E36" s="1976" t="s">
        <v>3683</v>
      </c>
      <c r="F36" s="386">
        <f>SUMIF(112:112,E36,113:113)-SUMIF(112:112,C36,113:113)+100</f>
        <v>100</v>
      </c>
      <c r="G36" s="1976" t="s">
        <v>3683</v>
      </c>
      <c r="H36" s="386">
        <f>SUMIF(112:112,G36,113:113)-SUMIF(112:112,C36,113:113)+100</f>
        <v>100</v>
      </c>
      <c r="I36" s="1976" t="s">
        <v>3683</v>
      </c>
      <c r="J36" s="386">
        <f>SUMIF(112:112,I36,113:113)-SUMIF(112:112,C36,113:113)+100</f>
        <v>100</v>
      </c>
      <c r="K36" s="559">
        <v>1</v>
      </c>
      <c r="L36" s="2708"/>
      <c r="M36" s="2709"/>
      <c r="N36" s="2709"/>
      <c r="O36" s="2763"/>
      <c r="P36" s="3665"/>
      <c r="Q36" s="1349" t="str">
        <f t="shared" si="14"/>
        <v>宗地开发程度</v>
      </c>
      <c r="R36" s="698" t="s">
        <v>14</v>
      </c>
      <c r="S36" s="699">
        <f t="shared" si="10"/>
        <v>100</v>
      </c>
      <c r="T36" s="698" t="s">
        <v>14</v>
      </c>
      <c r="U36" s="699">
        <f t="shared" si="11"/>
        <v>100</v>
      </c>
      <c r="V36" s="698" t="s">
        <v>14</v>
      </c>
      <c r="W36" s="699">
        <f t="shared" si="12"/>
        <v>100</v>
      </c>
      <c r="X36" s="700"/>
      <c r="Y36" s="3665"/>
      <c r="Z36" s="52" t="str">
        <f t="shared" si="13"/>
        <v>宗地开发程度</v>
      </c>
      <c r="AA36" s="701">
        <f t="shared" si="3"/>
        <v>1</v>
      </c>
      <c r="AB36" s="701">
        <f t="shared" si="4"/>
        <v>1</v>
      </c>
      <c r="AC36" s="701">
        <f t="shared" si="5"/>
        <v>1</v>
      </c>
    </row>
    <row r="37" spans="1:31" ht="15.75" thickBot="1">
      <c r="A37" s="423"/>
      <c r="B37" s="375" t="s">
        <v>1876</v>
      </c>
      <c r="C37" s="1903" t="s">
        <v>3383</v>
      </c>
      <c r="D37" s="386">
        <v>100</v>
      </c>
      <c r="E37" s="1903" t="s">
        <v>3383</v>
      </c>
      <c r="F37" s="386">
        <f>SUMIF(114:114,E37,115:115)-SUMIF(114:114,C37,115:115)+100</f>
        <v>100</v>
      </c>
      <c r="G37" s="1903" t="s">
        <v>3383</v>
      </c>
      <c r="H37" s="386">
        <f>SUMIF(114:114,G37,115:115)-SUMIF(114:114,C37,115:115)+100</f>
        <v>100</v>
      </c>
      <c r="I37" s="1903" t="s">
        <v>3383</v>
      </c>
      <c r="J37" s="386">
        <f>SUMIF(114:114,I37,115:115)-SUMIF(114:114,C37,115:115)+100</f>
        <v>100</v>
      </c>
      <c r="K37" s="559">
        <v>2</v>
      </c>
      <c r="L37" s="2713"/>
      <c r="M37" s="2707"/>
      <c r="N37" s="2707"/>
      <c r="O37" s="2765"/>
      <c r="P37" s="3665" t="s">
        <v>1694</v>
      </c>
      <c r="Q37" s="1349" t="str">
        <f t="shared" si="14"/>
        <v>工程地质条件</v>
      </c>
      <c r="R37" s="702" t="s">
        <v>14</v>
      </c>
      <c r="S37" s="703">
        <f t="shared" si="10"/>
        <v>100</v>
      </c>
      <c r="T37" s="702" t="s">
        <v>14</v>
      </c>
      <c r="U37" s="703">
        <f t="shared" si="11"/>
        <v>100</v>
      </c>
      <c r="V37" s="702" t="s">
        <v>14</v>
      </c>
      <c r="W37" s="703">
        <f t="shared" si="12"/>
        <v>100</v>
      </c>
      <c r="X37" s="1352"/>
      <c r="Y37" s="3665" t="s">
        <v>1694</v>
      </c>
      <c r="Z37" s="1353" t="str">
        <f t="shared" si="13"/>
        <v>工程地质条件</v>
      </c>
      <c r="AA37" s="1350">
        <f t="shared" si="3"/>
        <v>1</v>
      </c>
      <c r="AB37" s="1350">
        <f t="shared" si="4"/>
        <v>1</v>
      </c>
      <c r="AC37" s="1350">
        <f t="shared" si="5"/>
        <v>1</v>
      </c>
    </row>
    <row r="38" spans="1:31" ht="15" hidden="1">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665"/>
      <c r="Q38" s="1349">
        <f t="shared" si="14"/>
        <v>111</v>
      </c>
      <c r="R38" s="702" t="s">
        <v>14</v>
      </c>
      <c r="S38" s="703">
        <f t="shared" si="10"/>
        <v>100</v>
      </c>
      <c r="T38" s="702" t="s">
        <v>14</v>
      </c>
      <c r="U38" s="703">
        <f t="shared" si="11"/>
        <v>100</v>
      </c>
      <c r="V38" s="702" t="s">
        <v>14</v>
      </c>
      <c r="W38" s="703">
        <f t="shared" si="12"/>
        <v>100</v>
      </c>
      <c r="X38" s="1352"/>
      <c r="Y38" s="3665"/>
      <c r="Z38" s="1353">
        <f t="shared" si="13"/>
        <v>111</v>
      </c>
      <c r="AA38" s="1350">
        <f t="shared" si="3"/>
        <v>1</v>
      </c>
      <c r="AB38" s="1350">
        <f t="shared" si="4"/>
        <v>1</v>
      </c>
      <c r="AC38" s="1350">
        <f t="shared" si="5"/>
        <v>1</v>
      </c>
    </row>
    <row r="39" spans="1:31" ht="15" hidden="1">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665"/>
      <c r="Q39" s="1349">
        <f t="shared" si="14"/>
        <v>111</v>
      </c>
      <c r="R39" s="702" t="s">
        <v>14</v>
      </c>
      <c r="S39" s="703">
        <f t="shared" si="10"/>
        <v>100</v>
      </c>
      <c r="T39" s="702" t="s">
        <v>14</v>
      </c>
      <c r="U39" s="703">
        <f t="shared" si="11"/>
        <v>100</v>
      </c>
      <c r="V39" s="702" t="s">
        <v>14</v>
      </c>
      <c r="W39" s="703">
        <f t="shared" si="12"/>
        <v>100</v>
      </c>
      <c r="X39" s="1352"/>
      <c r="Y39" s="3665"/>
      <c r="Z39" s="1353">
        <f t="shared" si="13"/>
        <v>111</v>
      </c>
      <c r="AA39" s="1350">
        <f t="shared" si="3"/>
        <v>1</v>
      </c>
      <c r="AB39" s="1350">
        <f t="shared" si="4"/>
        <v>1</v>
      </c>
      <c r="AC39" s="1350">
        <f t="shared" si="5"/>
        <v>1</v>
      </c>
    </row>
    <row r="40" spans="1:31" s="422" customFormat="1" ht="15.75" hidden="1"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665"/>
      <c r="Q40" s="1349">
        <f t="shared" si="14"/>
        <v>111</v>
      </c>
      <c r="R40" s="705" t="s">
        <v>14</v>
      </c>
      <c r="S40" s="706">
        <f t="shared" si="10"/>
        <v>100</v>
      </c>
      <c r="T40" s="705" t="s">
        <v>14</v>
      </c>
      <c r="U40" s="706">
        <f t="shared" si="11"/>
        <v>100</v>
      </c>
      <c r="V40" s="705" t="s">
        <v>14</v>
      </c>
      <c r="W40" s="706">
        <f t="shared" si="12"/>
        <v>100</v>
      </c>
      <c r="X40" s="707"/>
      <c r="Y40" s="3665"/>
      <c r="Z40" s="708">
        <f t="shared" si="13"/>
        <v>111</v>
      </c>
      <c r="AA40" s="1350">
        <f t="shared" si="3"/>
        <v>1</v>
      </c>
      <c r="AB40" s="1350">
        <f t="shared" si="4"/>
        <v>1</v>
      </c>
      <c r="AC40" s="1350">
        <f t="shared" si="5"/>
        <v>1</v>
      </c>
    </row>
    <row r="41" spans="1:31" ht="15">
      <c r="A41" s="428" t="s">
        <v>1842</v>
      </c>
      <c r="B41" s="1978" t="s">
        <v>3684</v>
      </c>
      <c r="C41" s="627" t="s">
        <v>0</v>
      </c>
      <c r="D41" s="430"/>
      <c r="E41" s="431">
        <f>土地案例!M2</f>
        <v>1536</v>
      </c>
      <c r="F41" s="432"/>
      <c r="G41" s="433">
        <f>土地案例!M3</f>
        <v>1354</v>
      </c>
      <c r="H41" s="434"/>
      <c r="I41" s="431">
        <f>土地案例!M4</f>
        <v>1955</v>
      </c>
      <c r="J41" s="434"/>
      <c r="K41" s="711"/>
      <c r="L41" s="2715"/>
      <c r="M41" s="2707"/>
      <c r="N41" s="2707"/>
      <c r="O41" s="2716"/>
      <c r="P41" s="3657" t="str">
        <f>A41</f>
        <v>成交单价</v>
      </c>
      <c r="Q41" s="3657"/>
      <c r="R41" s="3661">
        <f>E41</f>
        <v>1536</v>
      </c>
      <c r="S41" s="3661"/>
      <c r="T41" s="3661">
        <f>G41</f>
        <v>1354</v>
      </c>
      <c r="U41" s="3661"/>
      <c r="V41" s="3661">
        <f>I41</f>
        <v>1955</v>
      </c>
      <c r="W41" s="3661"/>
      <c r="X41" s="687"/>
      <c r="Y41" s="709"/>
      <c r="Z41" s="687"/>
      <c r="AA41" s="687"/>
      <c r="AB41" s="687"/>
      <c r="AC41" s="687"/>
    </row>
    <row r="42" spans="1:31" ht="15.75" thickBot="1">
      <c r="A42" s="435" t="s">
        <v>1791</v>
      </c>
      <c r="B42" s="628"/>
      <c r="C42" s="438">
        <f>R43</f>
        <v>1742</v>
      </c>
      <c r="D42" s="2313" t="s">
        <v>3685</v>
      </c>
      <c r="E42" s="438">
        <f>R42</f>
        <v>1407</v>
      </c>
      <c r="F42" s="2314">
        <v>0.2</v>
      </c>
      <c r="G42" s="437">
        <f>T42</f>
        <v>1346</v>
      </c>
      <c r="H42" s="2314">
        <v>0.2</v>
      </c>
      <c r="I42" s="438">
        <f>V42</f>
        <v>1985</v>
      </c>
      <c r="J42" s="2314">
        <v>0.6</v>
      </c>
      <c r="K42" s="2316">
        <f>F42+H42+J42</f>
        <v>1</v>
      </c>
      <c r="L42" s="2715"/>
      <c r="M42" s="2707"/>
      <c r="N42" s="2707"/>
      <c r="O42" s="2716"/>
      <c r="P42" s="3657" t="str">
        <f>A42</f>
        <v>比较价值（元/平方米）</v>
      </c>
      <c r="Q42" s="3657"/>
      <c r="R42" s="3658">
        <f>ROUND(PRODUCT(R41,AA7:AA40),0)</f>
        <v>1407</v>
      </c>
      <c r="S42" s="3658"/>
      <c r="T42" s="3658">
        <f>ROUND(PRODUCT(T41,AB7:AB40),0)</f>
        <v>1346</v>
      </c>
      <c r="U42" s="3658"/>
      <c r="V42" s="3658">
        <f>ROUND(PRODUCT(V41,AC7:AC40),0)</f>
        <v>1985</v>
      </c>
      <c r="W42" s="3658"/>
      <c r="X42" s="687"/>
      <c r="Y42" s="687"/>
      <c r="Z42" s="687"/>
      <c r="AA42" s="687"/>
      <c r="AB42" s="687"/>
      <c r="AC42" s="687"/>
    </row>
    <row r="43" spans="1:31" ht="15.75" thickBot="1">
      <c r="A43" s="439" t="s">
        <v>1792</v>
      </c>
      <c r="B43" s="440"/>
      <c r="C43" s="441">
        <f>R43</f>
        <v>1742</v>
      </c>
      <c r="D43" s="441"/>
      <c r="E43" s="441"/>
      <c r="F43" s="441"/>
      <c r="G43" s="441"/>
      <c r="H43" s="441"/>
      <c r="I43" s="441"/>
      <c r="J43" s="441"/>
      <c r="K43" s="712"/>
      <c r="L43" s="2715"/>
      <c r="M43" s="2707"/>
      <c r="N43" s="2707"/>
      <c r="O43" s="2716"/>
      <c r="P43" s="3654" t="str">
        <f>A43</f>
        <v>估价对象XX用房的比较价值（楼面单价，元/平方米）</v>
      </c>
      <c r="Q43" s="3655"/>
      <c r="R43" s="3656">
        <f>ROUND(IF(D42="简单平均",AVERAGE(R42:W42),R42*F42+T42*H42+V42*J42),0)</f>
        <v>1742</v>
      </c>
      <c r="S43" s="3656"/>
      <c r="T43" s="3656"/>
      <c r="U43" s="3656"/>
      <c r="V43" s="3656"/>
      <c r="W43" s="3656"/>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1793</v>
      </c>
      <c r="D46" s="445"/>
      <c r="E46" s="446">
        <f>IF(E41&lt;E42,E42/E41-1,E41/E42-1)</f>
        <v>9.1684434968017037E-2</v>
      </c>
      <c r="F46" s="447" t="str">
        <f>IF(OR(E46&gt;=0.3,E46&lt;=-0.3),"超过30%","")</f>
        <v/>
      </c>
      <c r="G46" s="446">
        <f>IF(G41&lt;G42,G42/G41-1,G41/G42-1)</f>
        <v>5.9435364041604544E-3</v>
      </c>
      <c r="H46" s="447" t="str">
        <f>IF(OR(G46&gt;=0.3,G46&lt;=-0.3),"超过30%","")</f>
        <v/>
      </c>
      <c r="I46" s="446">
        <f>IF(I41&lt;I42,I42/I41-1,I41/I42-1)</f>
        <v>1.5345268542199531E-2</v>
      </c>
      <c r="J46" s="447" t="str">
        <f>IF(OR(I46&gt;=0.3,I46&lt;=-0.3),"超过30%","")</f>
        <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1794</v>
      </c>
      <c r="D47" s="448"/>
      <c r="E47" s="446">
        <f>IF(E42&lt;G42,G42/E42-1,E42/G42-1)</f>
        <v>4.5319465081723687E-2</v>
      </c>
      <c r="F47" s="447" t="str">
        <f>IF(OR(E47&gt;=0.2,E47&lt;=-0.2),"超过20%","")</f>
        <v/>
      </c>
      <c r="G47" s="446">
        <f>IF(G42&lt;I42,I42/G42-1,G42/I42-1)</f>
        <v>0.47473997028231807</v>
      </c>
      <c r="H47" s="447" t="str">
        <f>IF(OR(G47&gt;=0.2,G47&lt;=-0.2),"超过20%","")</f>
        <v>超过20%</v>
      </c>
      <c r="I47" s="446">
        <f>IF(I42&lt;E42,E42/I42-1,I42/E42-1)</f>
        <v>0.41080312722103773</v>
      </c>
      <c r="J47" s="447" t="str">
        <f>IF(OR(I47&gt;=0.2,I47&lt;=-0.2),"超过20%","")</f>
        <v>超过20%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1795</v>
      </c>
      <c r="D48" s="448"/>
      <c r="E48" s="446">
        <f>IF(E41&lt;G41,G41/E41-1,E41/G41-1)</f>
        <v>0.13441654357459387</v>
      </c>
      <c r="F48" s="447" t="str">
        <f>IF(OR(E48&gt;=0.3,E48&lt;=-0.3),"超过30%","")</f>
        <v/>
      </c>
      <c r="G48" s="446">
        <f>IF(G41&lt;I41,I41/G41-1,G41/I41-1)</f>
        <v>0.44387001477104882</v>
      </c>
      <c r="H48" s="447" t="str">
        <f>IF(OR(G48&gt;=0.3,G48&lt;=-0.3),"超过30%","")</f>
        <v>超过30%</v>
      </c>
      <c r="I48" s="446">
        <f>IF(I41&lt;E41,E41/I41-1,I41/E41-1)</f>
        <v>0.27278645833333326</v>
      </c>
      <c r="J48" s="447" t="str">
        <f>IF(OR(I48&gt;=0.3,I48&lt;=-0.3),"超过30%","")</f>
        <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1879</v>
      </c>
      <c r="B50" s="630" t="s">
        <v>1880</v>
      </c>
      <c r="C50" s="1979" t="s">
        <v>1881</v>
      </c>
      <c r="D50" s="1980" t="s">
        <v>1882</v>
      </c>
      <c r="E50" s="631" t="s">
        <v>1883</v>
      </c>
      <c r="F50" s="632" t="s">
        <v>1884</v>
      </c>
      <c r="G50" s="3669" t="s">
        <v>1885</v>
      </c>
      <c r="H50" s="3681"/>
      <c r="I50" s="1353" t="s">
        <v>1920</v>
      </c>
      <c r="J50" s="1353">
        <f>项目基本情况!F35</f>
        <v>0</v>
      </c>
      <c r="K50" s="1982" t="s">
        <v>1887</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1888</v>
      </c>
      <c r="B51" s="634">
        <f>C43</f>
        <v>1742</v>
      </c>
      <c r="C51" s="635">
        <v>1</v>
      </c>
      <c r="D51" s="941">
        <v>1</v>
      </c>
      <c r="E51" s="635">
        <f>'数据-汇总表'!E8+'数据-汇总表'!E9</f>
        <v>20593.5</v>
      </c>
      <c r="F51" s="636">
        <f t="shared" ref="F51:F60" si="15">ROUND(B51*E51/10000,0)</f>
        <v>3587</v>
      </c>
      <c r="G51" s="3682"/>
      <c r="H51" s="3657"/>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1889</v>
      </c>
      <c r="B52" s="218">
        <f>ROUND($C$43*C52*D52,0)</f>
        <v>0</v>
      </c>
      <c r="C52" s="171">
        <f t="shared" ref="C52:C60" si="16">IF($C$50="北京市系数",I52,J52)</f>
        <v>0</v>
      </c>
      <c r="D52" s="942">
        <v>0.25</v>
      </c>
      <c r="E52" s="639"/>
      <c r="F52" s="636">
        <f t="shared" si="15"/>
        <v>0</v>
      </c>
      <c r="G52" s="2997" t="s">
        <v>1890</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1891</v>
      </c>
      <c r="B53" s="218">
        <f t="shared" ref="B53:B60" si="17">ROUND($C$43*C53*D53,0)</f>
        <v>0</v>
      </c>
      <c r="C53" s="171">
        <f t="shared" si="16"/>
        <v>0</v>
      </c>
      <c r="D53" s="942">
        <v>0.25</v>
      </c>
      <c r="E53" s="639"/>
      <c r="F53" s="636">
        <f t="shared" si="15"/>
        <v>0</v>
      </c>
      <c r="G53" s="2998"/>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1892</v>
      </c>
      <c r="B54" s="218">
        <f t="shared" si="17"/>
        <v>0</v>
      </c>
      <c r="C54" s="171">
        <f t="shared" si="16"/>
        <v>0</v>
      </c>
      <c r="D54" s="942">
        <v>0.25</v>
      </c>
      <c r="E54" s="639"/>
      <c r="F54" s="636">
        <f t="shared" si="15"/>
        <v>0</v>
      </c>
      <c r="G54" s="2998"/>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1893</v>
      </c>
      <c r="B56" s="218">
        <f t="shared" si="17"/>
        <v>0</v>
      </c>
      <c r="C56" s="171">
        <f t="shared" si="16"/>
        <v>0</v>
      </c>
      <c r="D56" s="942">
        <v>0.25</v>
      </c>
      <c r="E56" s="217">
        <f>'数据-汇总表'!E11</f>
        <v>0</v>
      </c>
      <c r="F56" s="636">
        <f t="shared" si="15"/>
        <v>0</v>
      </c>
      <c r="G56" s="1983" t="s">
        <v>1894</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1895</v>
      </c>
      <c r="B57" s="218">
        <f t="shared" si="17"/>
        <v>0</v>
      </c>
      <c r="C57" s="171">
        <f t="shared" si="16"/>
        <v>0</v>
      </c>
      <c r="D57" s="942">
        <v>0.25</v>
      </c>
      <c r="E57" s="217">
        <f>'数据-汇总表'!E12</f>
        <v>0</v>
      </c>
      <c r="F57" s="636">
        <f t="shared" si="15"/>
        <v>0</v>
      </c>
      <c r="G57" s="889" t="s">
        <v>1896</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1897</v>
      </c>
      <c r="B58" s="218">
        <f t="shared" si="17"/>
        <v>0</v>
      </c>
      <c r="C58" s="171">
        <f t="shared" si="16"/>
        <v>0</v>
      </c>
      <c r="D58" s="942">
        <v>0.25</v>
      </c>
      <c r="E58" s="217">
        <f>'数据-汇总表'!E13</f>
        <v>4676.82</v>
      </c>
      <c r="F58" s="636">
        <f t="shared" si="15"/>
        <v>0</v>
      </c>
      <c r="G58" s="889" t="s">
        <v>1898</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1899</v>
      </c>
      <c r="B59" s="218">
        <f t="shared" si="17"/>
        <v>0</v>
      </c>
      <c r="C59" s="171">
        <f t="shared" si="16"/>
        <v>0</v>
      </c>
      <c r="D59" s="942">
        <v>0.25</v>
      </c>
      <c r="E59" s="217">
        <f>'数据-汇总表'!E14</f>
        <v>0</v>
      </c>
      <c r="F59" s="636">
        <f t="shared" si="15"/>
        <v>0</v>
      </c>
      <c r="G59" s="1983" t="s">
        <v>1890</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1900</v>
      </c>
      <c r="B60" s="218">
        <f t="shared" si="17"/>
        <v>0</v>
      </c>
      <c r="C60" s="171">
        <f t="shared" si="16"/>
        <v>0</v>
      </c>
      <c r="D60" s="942">
        <v>0.25</v>
      </c>
      <c r="E60" s="217">
        <f>'数据-汇总表'!E15</f>
        <v>0</v>
      </c>
      <c r="F60" s="636">
        <f t="shared" si="15"/>
        <v>0</v>
      </c>
      <c r="G60" s="1984" t="s">
        <v>1894</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1901</v>
      </c>
      <c r="B61" s="641" t="s">
        <v>22</v>
      </c>
      <c r="C61" s="641" t="s">
        <v>23</v>
      </c>
      <c r="D61" s="641" t="s">
        <v>392</v>
      </c>
      <c r="E61" s="641">
        <f>IF(B41="楼面地价",SUM(E51:E60),'数据-汇总表'!D3)</f>
        <v>25270.32</v>
      </c>
      <c r="F61" s="642">
        <f>IF(B41="楼面地价",SUM(F51:F60),ROUND(C43*E61/10000,0))</f>
        <v>3587</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6"/>
      <c r="Q63" s="2716"/>
      <c r="R63" s="2716"/>
      <c r="S63" s="2716"/>
      <c r="T63" s="2716"/>
      <c r="U63" s="2716"/>
      <c r="V63" s="2716"/>
      <c r="W63" s="2716"/>
      <c r="X63" s="2716"/>
      <c r="Y63" s="2716"/>
      <c r="Z63" s="2716"/>
      <c r="AA63" s="2716"/>
      <c r="AB63" s="2716"/>
      <c r="AC63" s="2716"/>
      <c r="AD63" s="2716"/>
      <c r="AE63" s="2716"/>
    </row>
    <row r="64" spans="1:31" ht="21.75" thickBot="1">
      <c r="A64" s="691" t="s">
        <v>1796</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1902</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1921</v>
      </c>
      <c r="B66" s="288" t="str">
        <f>"北京市平均增长率"&amp;TEXT(基准地价修正!P28,"0.00%")</f>
        <v>北京市平均增长率0.00%</v>
      </c>
      <c r="C66" s="550">
        <v>100</v>
      </c>
      <c r="D66" s="542">
        <f t="shared" ref="D66:N66" si="20">C66-1</f>
        <v>99</v>
      </c>
      <c r="E66" s="542">
        <f t="shared" si="20"/>
        <v>98</v>
      </c>
      <c r="F66" s="542">
        <f t="shared" si="20"/>
        <v>97</v>
      </c>
      <c r="G66" s="542">
        <f t="shared" si="20"/>
        <v>96</v>
      </c>
      <c r="H66" s="542">
        <f t="shared" si="20"/>
        <v>95</v>
      </c>
      <c r="I66" s="542">
        <f t="shared" si="20"/>
        <v>94</v>
      </c>
      <c r="J66" s="542">
        <f t="shared" si="20"/>
        <v>93</v>
      </c>
      <c r="K66" s="542">
        <f t="shared" si="20"/>
        <v>92</v>
      </c>
      <c r="L66" s="542">
        <f t="shared" si="20"/>
        <v>91</v>
      </c>
      <c r="M66" s="542">
        <f t="shared" si="20"/>
        <v>90</v>
      </c>
      <c r="N66" s="542">
        <f t="shared" si="20"/>
        <v>89</v>
      </c>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1714</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1679</v>
      </c>
      <c r="B68" s="457"/>
      <c r="C68" s="469" t="s">
        <v>1774</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1717</v>
      </c>
      <c r="B70" s="475" t="s">
        <v>1683</v>
      </c>
      <c r="C70" s="3453" t="s">
        <v>3675</v>
      </c>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v>100</v>
      </c>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1686</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1687</v>
      </c>
      <c r="C74" s="494" t="str">
        <f>C75&amp;"（含）"&amp;"-"&amp;D75</f>
        <v>0（含）-0.5</v>
      </c>
      <c r="D74" s="494" t="str">
        <f t="shared" ref="D74:L74" si="21">D75&amp;"（含）"&amp;"-"&amp;E75</f>
        <v>0.5（含）-1</v>
      </c>
      <c r="E74" s="494" t="str">
        <f t="shared" si="21"/>
        <v>1（含）-1.5</v>
      </c>
      <c r="F74" s="494" t="str">
        <f t="shared" si="21"/>
        <v>1.5（含）-2</v>
      </c>
      <c r="G74" s="494" t="str">
        <f t="shared" si="21"/>
        <v>2（含）-2.5</v>
      </c>
      <c r="H74" s="494" t="str">
        <f t="shared" si="21"/>
        <v>2.5（含）-</v>
      </c>
      <c r="I74" s="494" t="str">
        <f t="shared" si="21"/>
        <v>（含）-</v>
      </c>
      <c r="J74" s="494" t="str">
        <f t="shared" si="21"/>
        <v>（含）-</v>
      </c>
      <c r="K74" s="494" t="str">
        <f t="shared" si="21"/>
        <v>（含）-</v>
      </c>
      <c r="L74" s="494" t="str">
        <f t="shared" si="21"/>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v>0</v>
      </c>
      <c r="D75" s="496">
        <v>0.5</v>
      </c>
      <c r="E75" s="496">
        <v>1</v>
      </c>
      <c r="F75" s="496">
        <v>1.5</v>
      </c>
      <c r="G75" s="496">
        <v>2</v>
      </c>
      <c r="H75" s="496">
        <v>2.5</v>
      </c>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98</v>
      </c>
      <c r="E76" s="491">
        <f t="shared" ref="E76:M76" si="22">IF($B$41="单位面积地价",D76+$K11,D76-$K11)</f>
        <v>96</v>
      </c>
      <c r="F76" s="491">
        <f t="shared" si="22"/>
        <v>94</v>
      </c>
      <c r="G76" s="491">
        <f t="shared" si="22"/>
        <v>92</v>
      </c>
      <c r="H76" s="491">
        <f t="shared" si="22"/>
        <v>90</v>
      </c>
      <c r="I76" s="491">
        <f t="shared" si="22"/>
        <v>88</v>
      </c>
      <c r="J76" s="491">
        <f t="shared" si="22"/>
        <v>86</v>
      </c>
      <c r="K76" s="491">
        <f t="shared" si="22"/>
        <v>84</v>
      </c>
      <c r="L76" s="491">
        <f t="shared" si="22"/>
        <v>82</v>
      </c>
      <c r="M76" s="491">
        <f t="shared" si="22"/>
        <v>80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1688</v>
      </c>
      <c r="B83" s="475" t="s">
        <v>1827</v>
      </c>
      <c r="C83" s="520" t="s">
        <v>1719</v>
      </c>
      <c r="D83" s="520" t="s">
        <v>1720</v>
      </c>
      <c r="E83" s="520" t="s">
        <v>1721</v>
      </c>
      <c r="F83" s="520" t="s">
        <v>1722</v>
      </c>
      <c r="G83" s="520" t="s">
        <v>1723</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98</v>
      </c>
      <c r="E84" s="491">
        <f>D84-$K15</f>
        <v>96</v>
      </c>
      <c r="F84" s="491">
        <f>E84-$K15</f>
        <v>94</v>
      </c>
      <c r="G84" s="491">
        <f>F84-$K15</f>
        <v>92</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1724</v>
      </c>
      <c r="C85" s="525" t="s">
        <v>1719</v>
      </c>
      <c r="D85" s="525" t="s">
        <v>1720</v>
      </c>
      <c r="E85" s="525" t="s">
        <v>1721</v>
      </c>
      <c r="F85" s="525" t="s">
        <v>1722</v>
      </c>
      <c r="G85" s="525" t="s">
        <v>1723</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98</v>
      </c>
      <c r="E86" s="491">
        <f>D86-$K17</f>
        <v>96</v>
      </c>
      <c r="F86" s="491">
        <f>E86-$K17</f>
        <v>94</v>
      </c>
      <c r="G86" s="491">
        <f>F86-$K17</f>
        <v>92</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1905</v>
      </c>
      <c r="C87" s="520" t="s">
        <v>1719</v>
      </c>
      <c r="D87" s="520" t="s">
        <v>1720</v>
      </c>
      <c r="E87" s="520" t="s">
        <v>1721</v>
      </c>
      <c r="F87" s="520" t="s">
        <v>1722</v>
      </c>
      <c r="G87" s="520" t="s">
        <v>1723</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98</v>
      </c>
      <c r="E88" s="491">
        <f>D88-$K19</f>
        <v>96</v>
      </c>
      <c r="F88" s="491">
        <f>E88-$K19</f>
        <v>94</v>
      </c>
      <c r="G88" s="491">
        <f>F88-$K19</f>
        <v>92</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98</v>
      </c>
      <c r="E90" s="491">
        <f>D90-$K21</f>
        <v>96</v>
      </c>
      <c r="F90" s="491">
        <f>E90-$K21</f>
        <v>94</v>
      </c>
      <c r="G90" s="491">
        <f>F90-$K21</f>
        <v>92</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98</v>
      </c>
      <c r="E92" s="491">
        <f>D92-$K23</f>
        <v>96</v>
      </c>
      <c r="F92" s="491">
        <f>E92-$K23</f>
        <v>94</v>
      </c>
      <c r="G92" s="491">
        <f>F92-$K23</f>
        <v>92</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1922</v>
      </c>
      <c r="C93" s="605" t="s">
        <v>1797</v>
      </c>
      <c r="D93" s="605" t="s">
        <v>1798</v>
      </c>
      <c r="E93" s="605" t="s">
        <v>1799</v>
      </c>
      <c r="F93" s="605" t="s">
        <v>1800</v>
      </c>
      <c r="G93" s="605" t="s">
        <v>1801</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99</v>
      </c>
      <c r="E94" s="491">
        <f>D94-$K25</f>
        <v>98</v>
      </c>
      <c r="F94" s="491">
        <f>E94-$K25</f>
        <v>97</v>
      </c>
      <c r="G94" s="491">
        <f>F94-$K25</f>
        <v>96</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3">C96-$K27</f>
        <v>100</v>
      </c>
      <c r="E96" s="491">
        <f t="shared" si="23"/>
        <v>100</v>
      </c>
      <c r="F96" s="491">
        <f t="shared" si="23"/>
        <v>100</v>
      </c>
      <c r="G96" s="491">
        <f t="shared" si="23"/>
        <v>100</v>
      </c>
      <c r="H96" s="491">
        <f t="shared" si="23"/>
        <v>100</v>
      </c>
      <c r="I96" s="491">
        <f t="shared" si="23"/>
        <v>100</v>
      </c>
      <c r="J96" s="491">
        <f t="shared" si="23"/>
        <v>100</v>
      </c>
      <c r="K96" s="491">
        <f t="shared" si="23"/>
        <v>100</v>
      </c>
      <c r="L96" s="491">
        <f t="shared" si="23"/>
        <v>100</v>
      </c>
      <c r="M96" s="491">
        <f t="shared" si="23"/>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1813</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4">C98-$K28</f>
        <v>100</v>
      </c>
      <c r="E98" s="491">
        <f t="shared" si="24"/>
        <v>100</v>
      </c>
      <c r="F98" s="491">
        <f t="shared" si="24"/>
        <v>100</v>
      </c>
      <c r="G98" s="491">
        <f t="shared" si="24"/>
        <v>100</v>
      </c>
      <c r="H98" s="491">
        <f t="shared" si="24"/>
        <v>100</v>
      </c>
      <c r="I98" s="491">
        <f t="shared" si="24"/>
        <v>100</v>
      </c>
      <c r="J98" s="491">
        <f t="shared" si="24"/>
        <v>100</v>
      </c>
      <c r="K98" s="491">
        <f t="shared" si="24"/>
        <v>100</v>
      </c>
      <c r="L98" s="491">
        <f t="shared" si="24"/>
        <v>100</v>
      </c>
      <c r="M98" s="491">
        <f t="shared" si="24"/>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1871</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5">C100-$K30</f>
        <v>100</v>
      </c>
      <c r="E100" s="491">
        <f t="shared" si="25"/>
        <v>100</v>
      </c>
      <c r="F100" s="491">
        <f t="shared" si="25"/>
        <v>100</v>
      </c>
      <c r="G100" s="491">
        <f t="shared" si="25"/>
        <v>100</v>
      </c>
      <c r="H100" s="491">
        <f t="shared" si="25"/>
        <v>100</v>
      </c>
      <c r="I100" s="491">
        <f t="shared" si="25"/>
        <v>100</v>
      </c>
      <c r="J100" s="491">
        <f t="shared" si="25"/>
        <v>100</v>
      </c>
      <c r="K100" s="491">
        <f t="shared" si="25"/>
        <v>100</v>
      </c>
      <c r="L100" s="491">
        <f t="shared" si="25"/>
        <v>100</v>
      </c>
      <c r="M100" s="491">
        <f t="shared" si="25"/>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ht="28.5">
      <c r="A107" s="474" t="s">
        <v>1692</v>
      </c>
      <c r="B107" s="475" t="s">
        <v>1911</v>
      </c>
      <c r="C107" s="476" t="str">
        <f t="shared" ref="C107:L107" si="26">C108&amp;"(含)"&amp;"-"&amp;D108</f>
        <v>0(含)-10000</v>
      </c>
      <c r="D107" s="476" t="str">
        <f t="shared" si="26"/>
        <v>10000(含)-20000</v>
      </c>
      <c r="E107" s="476" t="str">
        <f t="shared" si="26"/>
        <v>20000(含)-30000</v>
      </c>
      <c r="F107" s="476" t="str">
        <f t="shared" si="26"/>
        <v>30000(含)-40000</v>
      </c>
      <c r="G107" s="476" t="str">
        <f t="shared" si="26"/>
        <v>40000(含)-50000</v>
      </c>
      <c r="H107" s="476" t="str">
        <f t="shared" si="26"/>
        <v>50000(含)-100000</v>
      </c>
      <c r="I107" s="476" t="str">
        <f t="shared" si="26"/>
        <v>100000(含)-</v>
      </c>
      <c r="J107" s="476" t="str">
        <f t="shared" si="26"/>
        <v>(含)-</v>
      </c>
      <c r="K107" s="1330" t="str">
        <f t="shared" si="26"/>
        <v>(含)-</v>
      </c>
      <c r="L107" s="1330" t="str">
        <f t="shared" si="26"/>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v>0</v>
      </c>
      <c r="D108" s="542">
        <v>10000</v>
      </c>
      <c r="E108" s="542">
        <v>20000</v>
      </c>
      <c r="F108" s="542">
        <v>30000</v>
      </c>
      <c r="G108" s="542">
        <v>40000</v>
      </c>
      <c r="H108" s="542">
        <v>50000</v>
      </c>
      <c r="I108" s="542">
        <v>100000</v>
      </c>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v>100</v>
      </c>
      <c r="D109" s="538">
        <f>C109+1</f>
        <v>101</v>
      </c>
      <c r="E109" s="538">
        <f>D109+1</f>
        <v>102</v>
      </c>
      <c r="F109" s="538">
        <f>E109+1</f>
        <v>103</v>
      </c>
      <c r="G109" s="538">
        <f>F109+1</f>
        <v>104</v>
      </c>
      <c r="H109" s="538">
        <f>G109+1</f>
        <v>105</v>
      </c>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1912</v>
      </c>
      <c r="C110" s="3454" t="s">
        <v>3676</v>
      </c>
      <c r="D110" s="3454" t="s">
        <v>3678</v>
      </c>
      <c r="E110" s="3454" t="s">
        <v>3679</v>
      </c>
      <c r="F110" s="3454" t="s">
        <v>3680</v>
      </c>
      <c r="G110" s="3454" t="s">
        <v>3681</v>
      </c>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7">C111-$K35</f>
        <v>98</v>
      </c>
      <c r="E111" s="491">
        <f t="shared" si="27"/>
        <v>96</v>
      </c>
      <c r="F111" s="491">
        <f t="shared" si="27"/>
        <v>94</v>
      </c>
      <c r="G111" s="491">
        <f t="shared" si="27"/>
        <v>92</v>
      </c>
      <c r="H111" s="491">
        <f t="shared" si="27"/>
        <v>90</v>
      </c>
      <c r="I111" s="491">
        <f t="shared" si="27"/>
        <v>88</v>
      </c>
      <c r="J111" s="491">
        <f t="shared" si="27"/>
        <v>86</v>
      </c>
      <c r="K111" s="491">
        <f t="shared" si="27"/>
        <v>84</v>
      </c>
      <c r="L111" s="491">
        <f t="shared" si="27"/>
        <v>82</v>
      </c>
      <c r="M111" s="492">
        <f t="shared" si="27"/>
        <v>80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1914</v>
      </c>
      <c r="C112" s="501" t="str">
        <f>C93</f>
        <v>七通</v>
      </c>
      <c r="D112" s="501" t="str">
        <f>D93</f>
        <v>六通</v>
      </c>
      <c r="E112" s="501" t="str">
        <f>E93</f>
        <v>五通</v>
      </c>
      <c r="F112" s="501" t="str">
        <f>F93</f>
        <v>四通</v>
      </c>
      <c r="G112" s="501" t="str">
        <f>G93</f>
        <v>三通</v>
      </c>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8">C113-$K36</f>
        <v>99</v>
      </c>
      <c r="E113" s="491">
        <f t="shared" si="28"/>
        <v>98</v>
      </c>
      <c r="F113" s="491">
        <f t="shared" si="28"/>
        <v>97</v>
      </c>
      <c r="G113" s="491">
        <f t="shared" si="28"/>
        <v>96</v>
      </c>
      <c r="H113" s="491">
        <f t="shared" si="28"/>
        <v>95</v>
      </c>
      <c r="I113" s="491">
        <f t="shared" si="28"/>
        <v>94</v>
      </c>
      <c r="J113" s="491">
        <f t="shared" si="28"/>
        <v>93</v>
      </c>
      <c r="K113" s="491">
        <f t="shared" si="28"/>
        <v>92</v>
      </c>
      <c r="L113" s="491">
        <f t="shared" si="28"/>
        <v>91</v>
      </c>
      <c r="M113" s="492">
        <f t="shared" si="28"/>
        <v>90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1915</v>
      </c>
      <c r="C114" s="501" t="str">
        <f>C91</f>
        <v>好</v>
      </c>
      <c r="D114" s="501" t="str">
        <f>D91</f>
        <v>较好</v>
      </c>
      <c r="E114" s="501" t="str">
        <f>E91</f>
        <v>一般</v>
      </c>
      <c r="F114" s="501" t="str">
        <f>F91</f>
        <v>较差</v>
      </c>
      <c r="G114" s="501" t="str">
        <f>G91</f>
        <v>差</v>
      </c>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9">C115-$K37</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A11" sqref="A11:XFD12"/>
    </sheetView>
  </sheetViews>
  <sheetFormatPr defaultRowHeight="13.5"/>
  <cols>
    <col min="1" max="1" width="36.375" style="3458" customWidth="1"/>
    <col min="2" max="2" width="31.875" style="3458" customWidth="1"/>
    <col min="3" max="10" width="9" style="3458"/>
    <col min="11" max="11" width="16.625" style="3458" customWidth="1"/>
    <col min="12" max="15" width="10.5" style="3458" customWidth="1"/>
    <col min="16" max="16" width="23.875" style="3458" customWidth="1"/>
    <col min="17" max="17" width="10.5" style="3458" customWidth="1"/>
    <col min="18" max="16384" width="9" style="3458"/>
  </cols>
  <sheetData>
    <row r="1" spans="1:19" s="3465" customFormat="1">
      <c r="A1" s="3465" t="s">
        <v>3611</v>
      </c>
      <c r="B1" s="3465" t="s">
        <v>3612</v>
      </c>
      <c r="C1" s="3465" t="s">
        <v>3613</v>
      </c>
      <c r="D1" s="3465" t="s">
        <v>3614</v>
      </c>
      <c r="E1" s="3465" t="s">
        <v>3615</v>
      </c>
      <c r="F1" s="3465" t="s">
        <v>3616</v>
      </c>
      <c r="G1" s="3465" t="s">
        <v>3592</v>
      </c>
      <c r="H1" s="3465" t="s">
        <v>3617</v>
      </c>
      <c r="I1" s="3465" t="s">
        <v>3618</v>
      </c>
      <c r="J1" s="3465" t="s">
        <v>3619</v>
      </c>
      <c r="K1" s="3465" t="s">
        <v>3620</v>
      </c>
      <c r="L1" s="3465" t="s">
        <v>3621</v>
      </c>
      <c r="M1" s="3465" t="s">
        <v>3622</v>
      </c>
      <c r="N1" s="3465" t="s">
        <v>3623</v>
      </c>
      <c r="O1" s="3465" t="s">
        <v>3624</v>
      </c>
      <c r="P1" s="3465" t="s">
        <v>3625</v>
      </c>
      <c r="Q1" s="3465" t="s">
        <v>3626</v>
      </c>
      <c r="S1" s="3466" t="s">
        <v>3627</v>
      </c>
    </row>
    <row r="2" spans="1:19" s="3465" customFormat="1">
      <c r="A2" s="3465" t="s">
        <v>3628</v>
      </c>
      <c r="B2" s="3465" t="s">
        <v>3629</v>
      </c>
      <c r="C2" s="3465" t="s">
        <v>3630</v>
      </c>
      <c r="D2" s="3465" t="s">
        <v>3631</v>
      </c>
      <c r="E2" s="3465" t="s">
        <v>3632</v>
      </c>
      <c r="F2" s="3465" t="s">
        <v>2466</v>
      </c>
      <c r="G2" s="3465">
        <v>1.2</v>
      </c>
      <c r="H2" s="3465" t="s">
        <v>3633</v>
      </c>
      <c r="I2" s="3465">
        <v>75565</v>
      </c>
      <c r="J2" s="3465">
        <v>62970.8</v>
      </c>
      <c r="K2" s="3467">
        <v>44937.000497685185</v>
      </c>
      <c r="L2" s="3465">
        <v>11607.61</v>
      </c>
      <c r="M2" s="3465">
        <v>1536</v>
      </c>
      <c r="N2" s="3465">
        <v>122.89</v>
      </c>
      <c r="O2" s="3465">
        <v>0</v>
      </c>
      <c r="P2" s="3465" t="s">
        <v>3634</v>
      </c>
      <c r="Q2" s="3465">
        <v>2267</v>
      </c>
      <c r="S2" s="3465">
        <f>ROUND(L2*10000/J2,0)</f>
        <v>1843</v>
      </c>
    </row>
    <row r="3" spans="1:19" s="3465" customFormat="1">
      <c r="A3" s="3465" t="s">
        <v>3635</v>
      </c>
      <c r="B3" s="3465" t="s">
        <v>3636</v>
      </c>
      <c r="C3" s="3465" t="s">
        <v>3637</v>
      </c>
      <c r="D3" s="3465" t="s">
        <v>3638</v>
      </c>
      <c r="E3" s="3465" t="s">
        <v>3639</v>
      </c>
      <c r="F3" s="3465" t="s">
        <v>2466</v>
      </c>
      <c r="G3" s="3465">
        <v>1.8</v>
      </c>
      <c r="H3" s="3465" t="s">
        <v>3640</v>
      </c>
      <c r="I3" s="3465">
        <v>82709.95</v>
      </c>
      <c r="J3" s="3465">
        <v>45949.97</v>
      </c>
      <c r="K3" s="3467">
        <v>44481.000497685185</v>
      </c>
      <c r="L3" s="3465">
        <v>11198.93</v>
      </c>
      <c r="M3" s="3465">
        <v>1354</v>
      </c>
      <c r="N3" s="3465">
        <v>162.47999999999999</v>
      </c>
      <c r="O3" s="3465">
        <v>0</v>
      </c>
      <c r="P3" s="3465" t="s">
        <v>3641</v>
      </c>
      <c r="Q3" s="3465">
        <v>2300</v>
      </c>
      <c r="S3" s="3465">
        <f>ROUND(L3*10000/J3,0)</f>
        <v>2437</v>
      </c>
    </row>
    <row r="4" spans="1:19" s="3465" customFormat="1">
      <c r="A4" s="3465" t="s">
        <v>3642</v>
      </c>
      <c r="B4" s="3465" t="s">
        <v>3643</v>
      </c>
      <c r="C4" s="3465" t="s">
        <v>3637</v>
      </c>
      <c r="D4" s="3465" t="s">
        <v>3644</v>
      </c>
      <c r="E4" s="3465" t="s">
        <v>3645</v>
      </c>
      <c r="F4" s="3465" t="s">
        <v>2466</v>
      </c>
      <c r="G4" s="3465">
        <v>1.2</v>
      </c>
      <c r="H4" s="3465" t="s">
        <v>3633</v>
      </c>
      <c r="I4" s="3465">
        <v>24391.47</v>
      </c>
      <c r="J4" s="3465">
        <v>20326.22</v>
      </c>
      <c r="K4" s="3467">
        <v>44376.000497685185</v>
      </c>
      <c r="L4" s="3465">
        <v>4768.32</v>
      </c>
      <c r="M4" s="3465">
        <v>1955</v>
      </c>
      <c r="N4" s="3465">
        <v>156.38999999999999</v>
      </c>
      <c r="O4" s="3465">
        <v>0</v>
      </c>
      <c r="P4" s="3465" t="s">
        <v>3646</v>
      </c>
      <c r="Q4" s="3465">
        <v>1000</v>
      </c>
      <c r="S4" s="3465">
        <f t="shared" ref="S4" si="0">ROUND(L4*10000/J4,0)</f>
        <v>2346</v>
      </c>
    </row>
    <row r="5" spans="1:19" s="3465" customFormat="1">
      <c r="K5" s="3467"/>
    </row>
    <row r="7" spans="1:19" s="3465" customFormat="1">
      <c r="A7" s="3465" t="s">
        <v>3611</v>
      </c>
      <c r="B7" s="3465" t="s">
        <v>3612</v>
      </c>
      <c r="C7" s="3465" t="s">
        <v>3613</v>
      </c>
      <c r="D7" s="3465" t="s">
        <v>3614</v>
      </c>
      <c r="E7" s="3465" t="s">
        <v>3615</v>
      </c>
      <c r="F7" s="3465" t="s">
        <v>3616</v>
      </c>
      <c r="G7" s="3465" t="s">
        <v>3592</v>
      </c>
      <c r="H7" s="3465" t="s">
        <v>3617</v>
      </c>
      <c r="I7" s="3465" t="s">
        <v>3618</v>
      </c>
      <c r="J7" s="3465" t="s">
        <v>3619</v>
      </c>
      <c r="K7" s="3465" t="s">
        <v>3620</v>
      </c>
      <c r="L7" s="3465" t="s">
        <v>3621</v>
      </c>
      <c r="M7" s="3465" t="s">
        <v>3622</v>
      </c>
      <c r="N7" s="3465" t="s">
        <v>3623</v>
      </c>
      <c r="O7" s="3465" t="s">
        <v>3624</v>
      </c>
      <c r="P7" s="3465" t="s">
        <v>3625</v>
      </c>
      <c r="Q7" s="3465" t="s">
        <v>3626</v>
      </c>
    </row>
    <row r="8" spans="1:19" s="3465" customFormat="1">
      <c r="A8" s="3465" t="s">
        <v>3647</v>
      </c>
      <c r="B8" s="3465" t="s">
        <v>3648</v>
      </c>
      <c r="C8" s="3465" t="s">
        <v>3649</v>
      </c>
      <c r="D8" s="3465" t="s">
        <v>3650</v>
      </c>
      <c r="E8" s="3465" t="s">
        <v>3651</v>
      </c>
      <c r="F8" s="3465" t="s">
        <v>2466</v>
      </c>
      <c r="G8" s="3465">
        <v>2.35</v>
      </c>
      <c r="H8" s="3465" t="s">
        <v>3640</v>
      </c>
      <c r="I8" s="3465">
        <v>36000</v>
      </c>
      <c r="J8" s="3465">
        <v>15343</v>
      </c>
      <c r="K8" s="3467">
        <v>44955.000497685185</v>
      </c>
      <c r="L8" s="3465">
        <v>11401.2</v>
      </c>
      <c r="M8" s="3465">
        <v>3167</v>
      </c>
      <c r="N8" s="3465">
        <v>495.39</v>
      </c>
      <c r="O8" s="3465">
        <v>0</v>
      </c>
      <c r="P8" s="3465" t="s">
        <v>3652</v>
      </c>
      <c r="Q8" s="3465">
        <v>2290</v>
      </c>
      <c r="S8" s="3465">
        <f t="shared" ref="S8:S14" si="1">ROUND(L8*10000/J8,0)</f>
        <v>7431</v>
      </c>
    </row>
    <row r="9" spans="1:19" s="3465" customFormat="1">
      <c r="A9" s="3465" t="s">
        <v>3628</v>
      </c>
      <c r="B9" s="3465" t="s">
        <v>3629</v>
      </c>
      <c r="C9" s="3465" t="s">
        <v>3630</v>
      </c>
      <c r="D9" s="3465" t="s">
        <v>3631</v>
      </c>
      <c r="E9" s="3465" t="s">
        <v>3632</v>
      </c>
      <c r="F9" s="3465" t="s">
        <v>2466</v>
      </c>
      <c r="G9" s="3465">
        <v>1.2</v>
      </c>
      <c r="H9" s="3465" t="s">
        <v>3633</v>
      </c>
      <c r="I9" s="3465">
        <v>75565</v>
      </c>
      <c r="J9" s="3465">
        <v>62970.8</v>
      </c>
      <c r="K9" s="3467">
        <v>44937.000497685185</v>
      </c>
      <c r="L9" s="3465">
        <v>11607.61</v>
      </c>
      <c r="M9" s="3465">
        <v>1536</v>
      </c>
      <c r="N9" s="3465">
        <v>122.89</v>
      </c>
      <c r="O9" s="3465">
        <v>0</v>
      </c>
      <c r="P9" s="3465" t="s">
        <v>3634</v>
      </c>
      <c r="Q9" s="3465">
        <v>2267</v>
      </c>
      <c r="S9" s="3465">
        <f t="shared" si="1"/>
        <v>1843</v>
      </c>
    </row>
    <row r="10" spans="1:19" s="3465" customFormat="1">
      <c r="A10" s="3465" t="s">
        <v>3635</v>
      </c>
      <c r="B10" s="3465" t="s">
        <v>3636</v>
      </c>
      <c r="C10" s="3465" t="s">
        <v>3637</v>
      </c>
      <c r="D10" s="3465" t="s">
        <v>3638</v>
      </c>
      <c r="E10" s="3465" t="s">
        <v>3639</v>
      </c>
      <c r="F10" s="3465" t="s">
        <v>2466</v>
      </c>
      <c r="G10" s="3465">
        <v>1.8</v>
      </c>
      <c r="H10" s="3465" t="s">
        <v>3640</v>
      </c>
      <c r="I10" s="3465">
        <v>82709.95</v>
      </c>
      <c r="J10" s="3465">
        <v>45949.97</v>
      </c>
      <c r="K10" s="3467">
        <v>44481.000497685185</v>
      </c>
      <c r="L10" s="3465">
        <v>11198.93</v>
      </c>
      <c r="M10" s="3465">
        <v>1354</v>
      </c>
      <c r="N10" s="3465">
        <v>162.47999999999999</v>
      </c>
      <c r="O10" s="3465">
        <v>0</v>
      </c>
      <c r="P10" s="3465" t="s">
        <v>3641</v>
      </c>
      <c r="Q10" s="3465">
        <v>2300</v>
      </c>
      <c r="S10" s="3465">
        <f t="shared" si="1"/>
        <v>2437</v>
      </c>
    </row>
    <row r="11" spans="1:19" s="3465" customFormat="1" ht="12.75" customHeight="1">
      <c r="A11" s="3465" t="s">
        <v>3653</v>
      </c>
      <c r="B11" s="3465" t="s">
        <v>3654</v>
      </c>
      <c r="C11" s="3465" t="s">
        <v>3637</v>
      </c>
      <c r="D11" s="3465" t="s">
        <v>3644</v>
      </c>
      <c r="E11" s="3465" t="s">
        <v>3645</v>
      </c>
      <c r="F11" s="3465" t="s">
        <v>2466</v>
      </c>
      <c r="G11" s="3465">
        <v>1.2</v>
      </c>
      <c r="H11" s="3465" t="s">
        <v>3633</v>
      </c>
      <c r="I11" s="3465">
        <v>20778.689999999999</v>
      </c>
      <c r="J11" s="3465">
        <v>17315.580000000002</v>
      </c>
      <c r="K11" s="3467">
        <v>44386.000497685185</v>
      </c>
      <c r="L11" s="3465">
        <v>4064.34</v>
      </c>
      <c r="M11" s="3465">
        <v>1956</v>
      </c>
      <c r="N11" s="3465">
        <v>156.47999999999999</v>
      </c>
      <c r="O11" s="3465">
        <v>0</v>
      </c>
      <c r="P11" s="3465" t="s">
        <v>3655</v>
      </c>
      <c r="Q11" s="3465">
        <v>850</v>
      </c>
      <c r="S11" s="3465">
        <f t="shared" si="1"/>
        <v>2347</v>
      </c>
    </row>
    <row r="12" spans="1:19" s="3465" customFormat="1">
      <c r="A12" s="3465" t="s">
        <v>3656</v>
      </c>
      <c r="B12" s="3465" t="s">
        <v>3657</v>
      </c>
      <c r="C12" s="3465" t="s">
        <v>3637</v>
      </c>
      <c r="D12" s="3465" t="s">
        <v>3644</v>
      </c>
      <c r="E12" s="3465" t="s">
        <v>3645</v>
      </c>
      <c r="F12" s="3465" t="s">
        <v>2466</v>
      </c>
      <c r="G12" s="3465">
        <v>2</v>
      </c>
      <c r="H12" s="3465" t="s">
        <v>3633</v>
      </c>
      <c r="I12" s="3465">
        <v>21354.5</v>
      </c>
      <c r="J12" s="3465">
        <v>10677.25</v>
      </c>
      <c r="K12" s="3467">
        <v>44386.000497685185</v>
      </c>
      <c r="L12" s="3465">
        <v>4133.82</v>
      </c>
      <c r="M12" s="3465">
        <v>1936</v>
      </c>
      <c r="N12" s="3465">
        <v>258.11</v>
      </c>
      <c r="O12" s="3465">
        <v>0</v>
      </c>
      <c r="P12" s="3465" t="s">
        <v>3655</v>
      </c>
      <c r="Q12" s="3465">
        <v>850</v>
      </c>
      <c r="S12" s="3465">
        <f t="shared" si="1"/>
        <v>3872</v>
      </c>
    </row>
    <row r="13" spans="1:19" s="3465" customFormat="1">
      <c r="A13" s="3465" t="s">
        <v>3642</v>
      </c>
      <c r="B13" s="3465" t="s">
        <v>3643</v>
      </c>
      <c r="C13" s="3465" t="s">
        <v>3637</v>
      </c>
      <c r="D13" s="3465" t="s">
        <v>3644</v>
      </c>
      <c r="E13" s="3465" t="s">
        <v>3645</v>
      </c>
      <c r="F13" s="3465" t="s">
        <v>2466</v>
      </c>
      <c r="G13" s="3465">
        <v>1.2</v>
      </c>
      <c r="H13" s="3465" t="s">
        <v>3633</v>
      </c>
      <c r="I13" s="3465">
        <v>24391.47</v>
      </c>
      <c r="J13" s="3465">
        <v>20326.22</v>
      </c>
      <c r="K13" s="3467">
        <v>44376.000497685185</v>
      </c>
      <c r="L13" s="3465">
        <v>4768.32</v>
      </c>
      <c r="M13" s="3465">
        <v>1955</v>
      </c>
      <c r="N13" s="3465">
        <v>156.38999999999999</v>
      </c>
      <c r="O13" s="3465">
        <v>0</v>
      </c>
      <c r="P13" s="3465" t="s">
        <v>3646</v>
      </c>
      <c r="Q13" s="3465">
        <v>1000</v>
      </c>
      <c r="S13" s="3465">
        <f t="shared" si="1"/>
        <v>2346</v>
      </c>
    </row>
    <row r="14" spans="1:19" s="3465" customFormat="1">
      <c r="A14" s="3465" t="s">
        <v>3658</v>
      </c>
      <c r="B14" s="3465" t="s">
        <v>3659</v>
      </c>
      <c r="C14" s="3465" t="s">
        <v>3630</v>
      </c>
      <c r="D14" s="3465" t="s">
        <v>3660</v>
      </c>
      <c r="E14" s="3465" t="s">
        <v>3661</v>
      </c>
      <c r="F14" s="3465" t="s">
        <v>2466</v>
      </c>
      <c r="G14" s="3465">
        <v>1.6</v>
      </c>
      <c r="H14" s="3465" t="s">
        <v>3662</v>
      </c>
      <c r="I14" s="3465">
        <v>102276</v>
      </c>
      <c r="J14" s="3465">
        <v>63922.57</v>
      </c>
      <c r="K14" s="3467">
        <v>44189.000497685185</v>
      </c>
      <c r="L14" s="3465">
        <v>13766.35</v>
      </c>
      <c r="M14" s="3465">
        <v>1346</v>
      </c>
      <c r="N14" s="3465">
        <v>143.57</v>
      </c>
      <c r="O14" s="3465">
        <v>0</v>
      </c>
      <c r="P14" s="3465" t="s">
        <v>3663</v>
      </c>
      <c r="Q14" s="3465">
        <v>2755</v>
      </c>
      <c r="S14" s="3465">
        <f t="shared" si="1"/>
        <v>2154</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R52" sqref="R5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1923</v>
      </c>
      <c r="B1" s="197"/>
      <c r="C1" s="201" t="s">
        <v>1924</v>
      </c>
      <c r="D1" s="342">
        <f>SUM(D33:D34,D37:D42)</f>
        <v>0</v>
      </c>
      <c r="E1" s="1991"/>
      <c r="F1" s="1991"/>
      <c r="G1" s="1991"/>
      <c r="H1" s="1991"/>
      <c r="I1" s="1991"/>
      <c r="J1" s="1991"/>
      <c r="K1" s="1116"/>
      <c r="L1" s="1992" t="s">
        <v>1925</v>
      </c>
      <c r="M1" s="860">
        <f>SUMPRODUCT((区片价!B5:B9=I2)*(区片价!C3:G3=E2)*(区片价!C5:G9))</f>
        <v>0</v>
      </c>
      <c r="N1" s="863">
        <f>SUMPRODUCT((因素修正幅度!B5:B9=I2)*(因素修正幅度!C3:G3=E2)*(因素修正幅度!C5:G9))</f>
        <v>0</v>
      </c>
      <c r="O1" s="1993"/>
      <c r="P1" s="1993"/>
      <c r="Q1" s="1116"/>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1" t="s">
        <v>1931</v>
      </c>
      <c r="B2" s="204" t="e">
        <f>C30</f>
        <v>#DIV/0!</v>
      </c>
      <c r="C2" s="1995" t="s">
        <v>1932</v>
      </c>
      <c r="D2" s="1996" t="s">
        <v>1933</v>
      </c>
      <c r="E2" s="3413"/>
      <c r="F2" s="1996" t="s">
        <v>1934</v>
      </c>
      <c r="G2" s="1997">
        <f>IF(E2="商业",项目基本情况!B37,IF(E2="办公",项目基本情况!C37,IF(E2="住宅",项目基本情况!D37,IF(E2="工业",项目基本情况!E37,项目基本情况!F37))))</f>
        <v>0</v>
      </c>
      <c r="H2" s="1996" t="s">
        <v>1935</v>
      </c>
      <c r="I2" s="1997">
        <f>IF(E2="商业",项目基本情况!B38,IF(E2="办公",项目基本情况!C38,IF(E2="住宅",项目基本情况!D38,IF(E2="工业",项目基本情况!E38,项目基本情况!F38))))</f>
        <v>0</v>
      </c>
      <c r="J2" s="1998"/>
      <c r="K2" s="1116"/>
      <c r="L2" s="1999" t="s">
        <v>1936</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1937</v>
      </c>
      <c r="B3" s="204" t="e">
        <f>ROUND(B2*10000/D1,0)</f>
        <v>#DIV/0!</v>
      </c>
      <c r="C3" s="1995" t="s">
        <v>1938</v>
      </c>
      <c r="D3" s="1996" t="s">
        <v>1939</v>
      </c>
      <c r="E3" s="3411"/>
      <c r="F3" s="2000"/>
      <c r="G3" s="749">
        <f>IF(F3="宗地容积率",'数据-汇总表'!I4,IF(F3="估价对象容积率",'数据-汇总表'!I6,'数据-汇总表'!I7))</f>
        <v>0</v>
      </c>
      <c r="H3" s="170" t="s">
        <v>1940</v>
      </c>
      <c r="I3" s="772"/>
      <c r="J3" s="1998" t="s">
        <v>1941</v>
      </c>
      <c r="K3" s="1116"/>
      <c r="L3" s="1999" t="s">
        <v>1942</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03"/>
      <c r="B4" s="3704"/>
      <c r="C4" s="3704"/>
      <c r="D4" s="3705"/>
      <c r="E4" s="3705"/>
      <c r="F4" s="3705"/>
      <c r="G4" s="3705"/>
      <c r="H4" s="3705"/>
      <c r="I4" s="3705"/>
      <c r="J4" s="3706"/>
      <c r="K4" s="1116"/>
      <c r="L4" s="1999" t="s">
        <v>1943</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1944</v>
      </c>
      <c r="C5" s="750" t="e">
        <f>ROUND(IF(E2="商业",C6*C7*C17+C20,(IF(E2="住宅",C6*C13*C17+C20,IF(E2="办公",C6*C12*C17+C20,C6+C20)))),0)</f>
        <v>#DIV/0!</v>
      </c>
      <c r="D5" s="1336" t="e">
        <f>ROUND(C6*C17+C20,0)</f>
        <v>#DIV/0!</v>
      </c>
      <c r="E5" s="1336"/>
      <c r="F5" s="2003"/>
      <c r="G5" s="2004"/>
      <c r="H5" s="2004"/>
      <c r="I5" s="2004"/>
      <c r="J5" s="2005"/>
      <c r="K5" s="2006"/>
      <c r="L5" s="1999" t="s">
        <v>1945</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7"/>
      <c r="AD5" s="2008"/>
      <c r="AE5" s="2008"/>
      <c r="AF5" s="2008"/>
      <c r="AG5" s="2008"/>
      <c r="AH5" s="2008"/>
      <c r="AI5" s="2008"/>
      <c r="AJ5" s="2009"/>
    </row>
    <row r="6" spans="1:36" ht="15.75" thickBot="1">
      <c r="A6" s="2011" t="s">
        <v>1946</v>
      </c>
      <c r="B6" s="2012" t="s">
        <v>1947</v>
      </c>
      <c r="C6" s="751">
        <f>SUMIF(L1:L12,G2,M1:M12)</f>
        <v>0</v>
      </c>
      <c r="D6" s="2013"/>
      <c r="E6" s="2014"/>
      <c r="F6" s="2014"/>
      <c r="G6" s="2015"/>
      <c r="H6" s="2015"/>
      <c r="I6" s="2015"/>
      <c r="J6" s="2016"/>
      <c r="K6" s="1381"/>
      <c r="L6" s="1999" t="s">
        <v>1948</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7"/>
      <c r="AD6" s="2008"/>
      <c r="AE6" s="2008"/>
      <c r="AF6" s="2008"/>
      <c r="AG6" s="2008"/>
      <c r="AH6" s="2008"/>
      <c r="AI6" s="2008"/>
      <c r="AJ6" s="2009"/>
    </row>
    <row r="7" spans="1:36" ht="24.75" thickBot="1">
      <c r="A7" s="3295" t="s">
        <v>3226</v>
      </c>
      <c r="B7" s="2017" t="s">
        <v>1949</v>
      </c>
      <c r="C7" s="752" t="e">
        <f>IF(C8="不临65条商业街",1,ROUND(1+(1.6*E8+1.2*E9+0.8*E10+0.4*E11)*C9,4))</f>
        <v>#DIV/0!</v>
      </c>
      <c r="D7" s="2018" t="s">
        <v>1950</v>
      </c>
      <c r="E7" s="773"/>
      <c r="F7" s="2019"/>
      <c r="G7" s="2020"/>
      <c r="H7" s="2020"/>
      <c r="I7" s="2020"/>
      <c r="J7" s="2021"/>
      <c r="K7" s="1381"/>
      <c r="L7" s="1999" t="s">
        <v>1951</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1952</v>
      </c>
      <c r="X7" s="1211">
        <f>G2</f>
        <v>0</v>
      </c>
      <c r="Y7" s="1211" t="s">
        <v>1953</v>
      </c>
      <c r="Z7" s="1212">
        <f>G3</f>
        <v>0</v>
      </c>
      <c r="AA7" s="1213"/>
      <c r="AB7" s="1213"/>
      <c r="AC7" s="1214"/>
      <c r="AD7" s="1215"/>
      <c r="AE7" s="1215"/>
      <c r="AF7" s="1215"/>
      <c r="AG7" s="1215"/>
      <c r="AH7" s="1215"/>
      <c r="AI7" s="1215"/>
      <c r="AJ7" s="1216"/>
    </row>
    <row r="8" spans="1:36" ht="15">
      <c r="A8" s="3290"/>
      <c r="B8" s="170" t="s">
        <v>1954</v>
      </c>
      <c r="C8" s="2022"/>
      <c r="D8" s="753" t="s">
        <v>112</v>
      </c>
      <c r="E8" s="754" t="e">
        <f>ROUND(C11/E7,4)</f>
        <v>#DIV/0!</v>
      </c>
      <c r="F8" s="2023" t="s">
        <v>1955</v>
      </c>
      <c r="G8" s="2024"/>
      <c r="H8" s="2024"/>
      <c r="I8" s="2024"/>
      <c r="J8" s="2025"/>
      <c r="K8" s="1116"/>
      <c r="L8" s="1999" t="s">
        <v>1956</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700" t="s">
        <v>1957</v>
      </c>
      <c r="X8" s="3701"/>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0"/>
      <c r="B9" s="170" t="s">
        <v>1970</v>
      </c>
      <c r="C9" s="755">
        <f>SUMIF(修正!C71:C138,C8,修正!E71:E138)</f>
        <v>0</v>
      </c>
      <c r="D9" s="171" t="s">
        <v>113</v>
      </c>
      <c r="E9" s="171" t="e">
        <f>ROUND(C11/E7,4)</f>
        <v>#DIV/0!</v>
      </c>
      <c r="F9" s="2023" t="s">
        <v>1971</v>
      </c>
      <c r="G9" s="2024"/>
      <c r="H9" s="2024"/>
      <c r="I9" s="2024"/>
      <c r="J9" s="2025"/>
      <c r="K9" s="1116"/>
      <c r="L9" s="1999" t="s">
        <v>1972</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702"/>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3" t="s">
        <v>1974</v>
      </c>
      <c r="G10" s="2024"/>
      <c r="H10" s="2024"/>
      <c r="I10" s="2024"/>
      <c r="J10" s="2025"/>
      <c r="K10" s="1116"/>
      <c r="L10" s="1999" t="s">
        <v>1975</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702"/>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1976</v>
      </c>
      <c r="C11" s="756">
        <f>C10/4</f>
        <v>0</v>
      </c>
      <c r="D11" s="756" t="s">
        <v>115</v>
      </c>
      <c r="E11" s="756" t="e">
        <f>ROUND(C11/E7,4)</f>
        <v>#DIV/0!</v>
      </c>
      <c r="F11" s="2027" t="s">
        <v>1977</v>
      </c>
      <c r="G11" s="2028"/>
      <c r="H11" s="2028"/>
      <c r="I11" s="2028"/>
      <c r="J11" s="2029"/>
      <c r="K11" s="1116"/>
      <c r="L11" s="1999" t="s">
        <v>1978</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3227</v>
      </c>
      <c r="B12" s="3296" t="s">
        <v>3228</v>
      </c>
      <c r="C12" s="3297"/>
      <c r="D12" s="3298" t="s">
        <v>3229</v>
      </c>
      <c r="E12" s="3299" t="s">
        <v>3230</v>
      </c>
      <c r="F12" s="3300"/>
      <c r="G12" s="3301"/>
      <c r="H12" s="3301"/>
      <c r="I12" s="3301"/>
      <c r="J12" s="3302"/>
      <c r="K12" s="1116"/>
      <c r="L12" s="2035" t="s">
        <v>1981</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3231</v>
      </c>
      <c r="B13" s="2030" t="s">
        <v>1979</v>
      </c>
      <c r="C13" s="752">
        <f>ROUND(C16*D16*E16*F16*G16*H16*I16*J16,4)</f>
        <v>0</v>
      </c>
      <c r="D13" s="2031" t="s">
        <v>1980</v>
      </c>
      <c r="E13" s="2032"/>
      <c r="F13" s="2032"/>
      <c r="G13" s="2033"/>
      <c r="H13" s="2033"/>
      <c r="I13" s="2033"/>
      <c r="J13" s="2034"/>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6" t="s">
        <v>1982</v>
      </c>
      <c r="C14" s="2037" t="s">
        <v>1983</v>
      </c>
      <c r="D14" s="1347" t="s">
        <v>1984</v>
      </c>
      <c r="E14" s="27" t="s">
        <v>1985</v>
      </c>
      <c r="F14" s="3303" t="s">
        <v>3232</v>
      </c>
      <c r="G14" s="3303" t="s">
        <v>3232</v>
      </c>
      <c r="H14" s="3303" t="s">
        <v>3232</v>
      </c>
      <c r="I14" s="3303" t="s">
        <v>3232</v>
      </c>
      <c r="J14" s="3303" t="s">
        <v>3232</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8"/>
      <c r="C15" s="2039"/>
      <c r="D15" s="2040"/>
      <c r="E15" s="2041"/>
      <c r="F15" s="3304" t="s">
        <v>3233</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6"/>
      <c r="L16" s="1993"/>
      <c r="M16" s="1993"/>
      <c r="N16" s="1993"/>
      <c r="O16" s="1993"/>
      <c r="P16" s="1993"/>
      <c r="Q16" s="1116"/>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3234</v>
      </c>
      <c r="B17" s="3312" t="s">
        <v>3235</v>
      </c>
      <c r="C17" s="3322">
        <f>ROUND(IF(OR(E2="工业",E2="公共服务"),1,IF(AND(E18=0,E19=0),1,IF(AND(E18=J24,E19=G19),0.8,IF(E19=0,1+E17*(-0.2),1+E17*G17*(-0.2))))),4)</f>
        <v>1</v>
      </c>
      <c r="D17" s="3313" t="s">
        <v>3236</v>
      </c>
      <c r="E17" s="3322" t="e">
        <f>ROUND(G18/I18,2)</f>
        <v>#DIV/0!</v>
      </c>
      <c r="F17" s="3313" t="s">
        <v>3239</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3237</v>
      </c>
      <c r="E18" s="3320"/>
      <c r="F18" s="3315" t="s">
        <v>3240</v>
      </c>
      <c r="G18" s="3319">
        <f>ROUND(1-(1/(POWER(1+G24,E18))),4)</f>
        <v>0</v>
      </c>
      <c r="H18" s="3315" t="s">
        <v>3242</v>
      </c>
      <c r="I18" s="3319">
        <f>ROUND(1-(1/(POWER(1+G24,J24))),4)</f>
        <v>0</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3238</v>
      </c>
      <c r="E19" s="3329"/>
      <c r="F19" s="3330" t="s">
        <v>3241</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07" t="s">
        <v>3243</v>
      </c>
      <c r="B20" s="167" t="s">
        <v>1991</v>
      </c>
      <c r="C20" s="3316" t="e">
        <f>ROUND(IF(F21="与级别开发程度一致",0,(G21-E21)/C21),0)</f>
        <v>#DIV/0!</v>
      </c>
      <c r="D20" s="3332" t="s">
        <v>1995</v>
      </c>
      <c r="E20" s="3333"/>
      <c r="F20" s="3713" t="s">
        <v>1992</v>
      </c>
      <c r="G20" s="3714"/>
      <c r="H20" s="3317"/>
      <c r="I20" s="3317"/>
      <c r="J20" s="3318"/>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15" thickBot="1">
      <c r="A21" s="3708"/>
      <c r="B21" s="2160" t="s">
        <v>1994</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1997</v>
      </c>
      <c r="C22" s="2156">
        <f>SUMIF(修正!C20:C51,E3,修正!E20:E51)</f>
        <v>0</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1998</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1999</v>
      </c>
      <c r="E23" s="758">
        <v>44197</v>
      </c>
      <c r="F23" s="2050" t="s">
        <v>2000</v>
      </c>
      <c r="G23" s="759">
        <f>'数据-取费表'!B2</f>
        <v>45072</v>
      </c>
      <c r="H23" s="3334" t="s">
        <v>3245</v>
      </c>
      <c r="I23" s="3335" t="str">
        <f>IF(H23="季度增幅（自定义）",SUMIF(N25:N28,E2,O25:O28),"")</f>
        <v/>
      </c>
      <c r="J23" s="3437" t="s">
        <v>3244</v>
      </c>
      <c r="K23" s="1122"/>
      <c r="L23" s="2051" t="s">
        <v>2001</v>
      </c>
      <c r="M23" s="1325">
        <f>ROUND(SUMIF(地价!B2:G2,E2,地价!B16:G16),0)</f>
        <v>0</v>
      </c>
      <c r="N23" s="2052" t="s">
        <v>2002</v>
      </c>
      <c r="O23" s="760">
        <f>ROUNDDOWN(DATEDIF(E23,G23,"M")/3,0)</f>
        <v>9</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2003</v>
      </c>
      <c r="C24" s="761" t="e">
        <f>ROUND(POWER(1+G24,J24-I24)*(POWER(1+G24,I24)-1)/(POWER(1+G24,J24)-1),4)</f>
        <v>#DIV/0!</v>
      </c>
      <c r="D24" s="2056" t="s">
        <v>2004</v>
      </c>
      <c r="E24" s="1332">
        <f>存贷款利率!E22/100</f>
        <v>4.3499999999999997E-2</v>
      </c>
      <c r="F24" s="2056" t="s">
        <v>1996</v>
      </c>
      <c r="G24" s="765">
        <f>SUMIF(M30:Q30,E2,M33:Q33)</f>
        <v>0</v>
      </c>
      <c r="H24" s="2056" t="s">
        <v>2005</v>
      </c>
      <c r="I24" s="766" t="e">
        <f>SUMIF('数据-取费表'!C6:C15,E2,'数据-取费表'!F6:F15)/COUNTIF('数据-取费表'!C6:C15,E2)</f>
        <v>#DIV/0!</v>
      </c>
      <c r="J24" s="767">
        <f>IF(E2="住宅",70,IF(E2="商业",40,50))</f>
        <v>50</v>
      </c>
      <c r="K24" s="1122"/>
      <c r="L24" s="2057" t="s">
        <v>2006</v>
      </c>
      <c r="M24" s="1326">
        <f>ROUND(SUMPRODUCT((地价!A4:A16=YEAR(G23)&amp;"-"&amp;ROUNDUP(MONTH(G23)/3,0))*(地价!B2:G2=E2)*(地价!B4:G16)),0)</f>
        <v>0</v>
      </c>
      <c r="N24" s="2058" t="s">
        <v>2007</v>
      </c>
      <c r="O24" s="2059" t="s">
        <v>2008</v>
      </c>
      <c r="P24" s="2060" t="s">
        <v>2009</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3324</v>
      </c>
      <c r="C25" s="768">
        <f>IF(B25="容积率修正",IF(G3&lt;10,D26,J26),C27)</f>
        <v>0</v>
      </c>
      <c r="D25" s="2063"/>
      <c r="E25" s="2063"/>
      <c r="F25" s="2063"/>
      <c r="G25" s="2063"/>
      <c r="H25" s="2063"/>
      <c r="I25" s="2063"/>
      <c r="J25" s="2064"/>
      <c r="K25" s="1122"/>
      <c r="L25" s="2779"/>
      <c r="M25" s="2779"/>
      <c r="N25" s="2065" t="s">
        <v>2010</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2011</v>
      </c>
      <c r="B26" s="2066" t="s">
        <v>2012</v>
      </c>
      <c r="C26" s="3336" t="s">
        <v>3246</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3247</v>
      </c>
      <c r="J26" s="769" t="str">
        <f>IF(G3&gt;=10,D115,"——")</f>
        <v>——</v>
      </c>
      <c r="K26" s="1122"/>
      <c r="L26" s="2779"/>
      <c r="M26" s="2779"/>
      <c r="N26" s="2065" t="s">
        <v>2013</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2014</v>
      </c>
      <c r="B27" s="2067" t="s">
        <v>2015</v>
      </c>
      <c r="C27" s="838">
        <f>ROUND(IF(I3&lt;6,SUMPRODUCT((B106:B110=I3)*(C105:N105=G2)*(C106:N110)),SUMIF(C105:N105,G2,C112:N112)),4)</f>
        <v>0</v>
      </c>
      <c r="D27" s="2042"/>
      <c r="E27" s="2042"/>
      <c r="F27" s="2068"/>
      <c r="G27" s="2069"/>
      <c r="H27" s="2070"/>
      <c r="I27" s="2071"/>
      <c r="J27" s="2072"/>
      <c r="K27" s="1116"/>
      <c r="L27" s="1993"/>
      <c r="M27" s="1993"/>
      <c r="N27" s="2065" t="s">
        <v>2016</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2017</v>
      </c>
      <c r="C28" s="757">
        <f>SUMIF(A47:A101,E2,B47:B101)</f>
        <v>0</v>
      </c>
      <c r="D28" s="2048"/>
      <c r="E28" s="2073"/>
      <c r="F28" s="2073"/>
      <c r="G28" s="2073"/>
      <c r="H28" s="2073"/>
      <c r="I28" s="2073"/>
      <c r="J28" s="2074"/>
      <c r="K28" s="1122"/>
      <c r="L28" s="2779"/>
      <c r="M28" s="2779"/>
      <c r="N28" s="2075"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2019</v>
      </c>
      <c r="C29" s="762"/>
      <c r="D29" s="2020"/>
      <c r="E29" s="2020"/>
      <c r="F29" s="2077"/>
      <c r="G29" s="2020"/>
      <c r="H29" s="2020"/>
      <c r="I29" s="2020"/>
      <c r="J29" s="2021"/>
      <c r="K29" s="1116"/>
      <c r="L29" s="1993"/>
      <c r="M29" s="1993"/>
      <c r="N29" s="2776" t="s">
        <v>2020</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2021</v>
      </c>
      <c r="C30" s="2317" t="e">
        <f>IF(B25="容积率修正",E33+SUM(E37:E42),SUM(V2:V16)+SUM(E37:E42))</f>
        <v>#DIV/0!</v>
      </c>
      <c r="D30" s="2079"/>
      <c r="E30" s="2042"/>
      <c r="F30" s="2080"/>
      <c r="G30" s="2042"/>
      <c r="H30" s="2042"/>
      <c r="I30" s="2042"/>
      <c r="J30" s="2081"/>
      <c r="K30" s="1116"/>
      <c r="L30" s="3342" t="s">
        <v>1933</v>
      </c>
      <c r="M30" s="3343" t="s">
        <v>1987</v>
      </c>
      <c r="N30" s="3343" t="s">
        <v>1988</v>
      </c>
      <c r="O30" s="3343" t="s">
        <v>1989</v>
      </c>
      <c r="P30" s="3343" t="s">
        <v>1990</v>
      </c>
      <c r="Q30" s="3346" t="s">
        <v>3251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2022</v>
      </c>
      <c r="C31" s="763" t="e">
        <f>E34+SUM(I37:I42)</f>
        <v>#DIV/0!</v>
      </c>
      <c r="D31" s="2083"/>
      <c r="E31" s="2084"/>
      <c r="F31" s="2085"/>
      <c r="G31" s="2084"/>
      <c r="H31" s="2084"/>
      <c r="I31" s="2084"/>
      <c r="J31" s="2086"/>
      <c r="K31" s="1116"/>
      <c r="L31" s="3344" t="s">
        <v>1993</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6"/>
      <c r="L32" s="3345" t="s">
        <v>1996</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2027</v>
      </c>
      <c r="C33" s="175" t="e">
        <f>ROUND(C5*C22*C23*C24*C25*C28,0)</f>
        <v>#DIV/0!</v>
      </c>
      <c r="D33" s="2094"/>
      <c r="E33" s="770" t="e">
        <f>ROUND(C33*D33/10000,0)</f>
        <v>#DIV/0!</v>
      </c>
      <c r="F33" s="3337" t="s">
        <v>3249</v>
      </c>
      <c r="G33" s="2095"/>
      <c r="H33" s="2095"/>
      <c r="I33" s="2095"/>
      <c r="J33" s="2096"/>
      <c r="K33" s="1116"/>
      <c r="L33" s="3340" t="s">
        <v>3252</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2028</v>
      </c>
      <c r="C34" s="187" t="e">
        <f>ROUND(IF(E2="工业",C33*M42,IF(B25="楼层修正",SUM(V2:V16)*M41*10000/D34,C33*M41)),0)</f>
        <v>#DIV/0!</v>
      </c>
      <c r="D34" s="2099"/>
      <c r="E34" s="770" t="e">
        <f>ROUND(IF(B25="楼层修正",SUM(V2:V16)*M40,C34*D34/10000),0)</f>
        <v>#DIV/0!</v>
      </c>
      <c r="F34" s="2100" t="s">
        <v>2029</v>
      </c>
      <c r="G34" s="2101"/>
      <c r="H34" s="2101"/>
      <c r="I34" s="2101"/>
      <c r="J34" s="2102"/>
      <c r="K34" s="1116"/>
      <c r="L34" s="3340" t="s">
        <v>3253</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2030</v>
      </c>
      <c r="C35" s="3338" t="s">
        <v>3250</v>
      </c>
      <c r="D35" s="2033"/>
      <c r="E35" s="2105"/>
      <c r="F35" s="2105"/>
      <c r="G35" s="2031" t="s">
        <v>2031</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2024</v>
      </c>
      <c r="D36" s="445" t="s">
        <v>2025</v>
      </c>
      <c r="E36" s="445" t="s">
        <v>2026</v>
      </c>
      <c r="F36" s="342" t="s">
        <v>2032</v>
      </c>
      <c r="G36" s="2108" t="s">
        <v>2024</v>
      </c>
      <c r="H36" s="2108" t="s">
        <v>2025</v>
      </c>
      <c r="I36" s="2108" t="s">
        <v>2026</v>
      </c>
      <c r="J36" s="243"/>
      <c r="K36" s="3348" t="s">
        <v>3254</v>
      </c>
      <c r="L36" s="3438">
        <f ca="1">'数据-取费表'!B40</f>
        <v>4.1499999999999995E-2</v>
      </c>
      <c r="M36" s="3349">
        <f ca="1">ROUND($L$36*(1+M31),3)</f>
        <v>5.1999999999999998E-2</v>
      </c>
      <c r="N36" s="3349">
        <f ca="1">ROUND($L$36*(1+N31),3)</f>
        <v>0.05</v>
      </c>
      <c r="O36" s="3349">
        <f ca="1">ROUND($L$36*(1+O31),3)</f>
        <v>4.8000000000000001E-2</v>
      </c>
      <c r="P36" s="3349">
        <f ca="1">ROUND($L$36*(1+P31),3)</f>
        <v>4.5999999999999999E-2</v>
      </c>
      <c r="Q36" s="3349">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11"/>
      <c r="B37" s="2109" t="s">
        <v>2033</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3"/>
      <c r="K37" s="3350" t="s">
        <v>3255</v>
      </c>
      <c r="L37" s="3348">
        <f ca="1">L36+K38</f>
        <v>4.6499999999999993E-2</v>
      </c>
      <c r="M37" s="3349">
        <f ca="1">ROUND($L$37*(1+M31),3)</f>
        <v>5.8000000000000003E-2</v>
      </c>
      <c r="N37" s="3349">
        <f t="shared" ref="N37:Q37" ca="1" si="3">ROUND($L$37*(1+N31),3)</f>
        <v>5.6000000000000001E-2</v>
      </c>
      <c r="O37" s="3349">
        <f t="shared" ca="1" si="3"/>
        <v>5.2999999999999999E-2</v>
      </c>
      <c r="P37" s="3349">
        <f t="shared" ca="1" si="3"/>
        <v>5.0999999999999997E-2</v>
      </c>
      <c r="Q37" s="3349">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12"/>
      <c r="B38" s="2037" t="s">
        <v>2034</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12"/>
      <c r="B39" s="2037" t="s">
        <v>3248</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2035</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2036</v>
      </c>
      <c r="M40" s="2113"/>
      <c r="Z40" s="1117"/>
      <c r="AA40" s="1117"/>
      <c r="AB40" s="1117"/>
      <c r="AC40" s="1117"/>
      <c r="AD40" s="1117"/>
      <c r="AE40" s="1117"/>
      <c r="AF40" s="1117"/>
      <c r="AG40" s="1117"/>
      <c r="AH40" s="1117"/>
      <c r="AI40" s="1117"/>
      <c r="AJ40" s="1117"/>
    </row>
    <row r="41" spans="1:37" s="1116" customFormat="1">
      <c r="A41" s="2111"/>
      <c r="B41" s="2037" t="s">
        <v>2037</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1" t="s">
        <v>3256</v>
      </c>
      <c r="M41" s="2114">
        <v>0.25</v>
      </c>
      <c r="Z41" s="1117"/>
      <c r="AA41" s="1117"/>
      <c r="AB41" s="1117"/>
      <c r="AC41" s="1117"/>
      <c r="AD41" s="1117"/>
      <c r="AE41" s="1117"/>
      <c r="AF41" s="1117"/>
      <c r="AG41" s="1117"/>
      <c r="AH41" s="1117"/>
      <c r="AI41" s="1117"/>
      <c r="AJ41" s="1117"/>
    </row>
    <row r="42" spans="1:37" s="1116" customFormat="1" ht="13.5" thickBot="1">
      <c r="A42" s="2097"/>
      <c r="B42" s="2115" t="s">
        <v>2038</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1990</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2" t="e">
        <f>ROUND(POWER(1+E44,H44-G44)*(POWER(1+E44,G44)-1)/(POWER(1+E44,H44)-1),4)</f>
        <v>#DIV/0!</v>
      </c>
      <c r="D44" s="171" t="s">
        <v>1996</v>
      </c>
      <c r="E44" s="2149">
        <f>G24</f>
        <v>0</v>
      </c>
      <c r="F44" s="171" t="s">
        <v>2005</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2039</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2040</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2041</v>
      </c>
      <c r="B49" s="1348" t="s">
        <v>2042</v>
      </c>
      <c r="C49" s="1348" t="s">
        <v>2043</v>
      </c>
      <c r="D49" s="1348" t="s">
        <v>2044</v>
      </c>
      <c r="E49" s="740" t="s">
        <v>2045</v>
      </c>
      <c r="F49" s="2127" t="s">
        <v>2046</v>
      </c>
      <c r="G49" s="1348" t="s">
        <v>310</v>
      </c>
      <c r="H49" s="2128" t="s">
        <v>2047</v>
      </c>
      <c r="I49" s="1348" t="s">
        <v>2048</v>
      </c>
      <c r="J49" s="550" t="s">
        <v>1719</v>
      </c>
      <c r="K49" s="550" t="s">
        <v>1720</v>
      </c>
      <c r="L49" s="550" t="s">
        <v>1721</v>
      </c>
      <c r="M49" s="550" t="s">
        <v>1722</v>
      </c>
      <c r="N49" s="550" t="s">
        <v>1723</v>
      </c>
      <c r="AA49" s="1117"/>
      <c r="AB49" s="1117"/>
      <c r="AC49" s="1117"/>
      <c r="AD49" s="1117"/>
      <c r="AE49" s="1117"/>
      <c r="AF49" s="1117"/>
      <c r="AG49" s="1117"/>
      <c r="AH49" s="1117"/>
      <c r="AI49" s="1117"/>
      <c r="AJ49" s="1117"/>
      <c r="AK49" s="1117"/>
    </row>
    <row r="50" spans="1:37" s="1116" customFormat="1" ht="24.75">
      <c r="A50" s="2126" t="s">
        <v>2049</v>
      </c>
      <c r="B50" s="2129" t="str">
        <f>估价对象房地状况!C4</f>
        <v>较好</v>
      </c>
      <c r="C50" s="2040"/>
      <c r="D50" s="1062">
        <f t="shared" ref="D50:D58" si="7">SUMIF($J$49:$N$49,C50,J50:N50)</f>
        <v>0</v>
      </c>
      <c r="E50" s="741">
        <f>ROUND(SUM(D50:D58),4)</f>
        <v>0</v>
      </c>
      <c r="F50" s="1811" t="str">
        <f>IF(E2="商业",SUMIF(L1:L12,G2,N1:N12),"——")</f>
        <v>——</v>
      </c>
      <c r="G50" s="1060"/>
      <c r="H50" s="1063" t="str">
        <f t="shared" ref="H50:H58" si="8">IFERROR(ROUNDDOWN($F$50*I50/2,4),"——")</f>
        <v>——</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2050</v>
      </c>
      <c r="B51" s="2130" t="str">
        <f>估价对象房地状况!C18</f>
        <v>较好</v>
      </c>
      <c r="C51" s="2040"/>
      <c r="D51" s="1062">
        <f t="shared" si="7"/>
        <v>0</v>
      </c>
      <c r="E51" s="742"/>
      <c r="F51" s="1811"/>
      <c r="G51" s="1060"/>
      <c r="H51" s="1063" t="str">
        <f t="shared" si="8"/>
        <v>——</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3258</v>
      </c>
      <c r="B52" s="2130" t="str">
        <f>估价对象房地状况!C19</f>
        <v>较好</v>
      </c>
      <c r="C52" s="2040"/>
      <c r="D52" s="1062">
        <f t="shared" si="7"/>
        <v>0</v>
      </c>
      <c r="E52" s="742"/>
      <c r="F52" s="1811"/>
      <c r="G52" s="1060"/>
      <c r="H52" s="1063" t="str">
        <f t="shared" si="8"/>
        <v>——</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2051</v>
      </c>
      <c r="B53" s="2131" t="s">
        <v>2052</v>
      </c>
      <c r="C53" s="2040"/>
      <c r="D53" s="1062">
        <f t="shared" si="7"/>
        <v>0</v>
      </c>
      <c r="E53" s="742"/>
      <c r="F53" s="1811"/>
      <c r="G53" s="1060"/>
      <c r="H53" s="1063" t="str">
        <f t="shared" si="8"/>
        <v>——</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2053</v>
      </c>
      <c r="B54" s="2130">
        <f>估价对象房地状况!C24</f>
        <v>0</v>
      </c>
      <c r="C54" s="2040"/>
      <c r="D54" s="1062">
        <f t="shared" si="7"/>
        <v>0</v>
      </c>
      <c r="E54" s="742"/>
      <c r="F54" s="1811"/>
      <c r="G54" s="1060"/>
      <c r="H54" s="1063" t="str">
        <f t="shared" si="8"/>
        <v>——</v>
      </c>
      <c r="I54" s="3358">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2054</v>
      </c>
      <c r="B55" s="2132" t="s">
        <v>2055</v>
      </c>
      <c r="C55" s="2040"/>
      <c r="D55" s="1062">
        <f t="shared" si="7"/>
        <v>0</v>
      </c>
      <c r="E55" s="742"/>
      <c r="F55" s="1811"/>
      <c r="G55" s="1060"/>
      <c r="H55" s="1063" t="str">
        <f t="shared" si="8"/>
        <v>——</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2056</v>
      </c>
      <c r="B56" s="1323" t="str">
        <f>估价对象房地状况!C21</f>
        <v>较好</v>
      </c>
      <c r="C56" s="2040"/>
      <c r="D56" s="1062">
        <f t="shared" si="7"/>
        <v>0</v>
      </c>
      <c r="E56" s="742"/>
      <c r="F56" s="1811"/>
      <c r="G56" s="1060"/>
      <c r="H56" s="1063" t="str">
        <f t="shared" si="8"/>
        <v>——</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2057</v>
      </c>
      <c r="B57" s="2130" t="str">
        <f>估价对象房地状况!C22</f>
        <v>七通</v>
      </c>
      <c r="C57" s="2040"/>
      <c r="D57" s="1062">
        <f t="shared" si="7"/>
        <v>0</v>
      </c>
      <c r="E57" s="742"/>
      <c r="F57" s="1811"/>
      <c r="G57" s="1060"/>
      <c r="H57" s="1063" t="str">
        <f t="shared" si="8"/>
        <v>——</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2058</v>
      </c>
      <c r="B58" s="2135" t="str">
        <f>估价对象房地状况!C20</f>
        <v>较好</v>
      </c>
      <c r="C58" s="2040"/>
      <c r="D58" s="1062">
        <f t="shared" si="7"/>
        <v>0</v>
      </c>
      <c r="E58" s="743"/>
      <c r="F58" s="1811"/>
      <c r="G58" s="1060"/>
      <c r="H58" s="1063" t="str">
        <f t="shared" si="8"/>
        <v>——</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2059</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2041</v>
      </c>
      <c r="B60" s="1348"/>
      <c r="C60" s="1348" t="s">
        <v>2043</v>
      </c>
      <c r="D60" s="1348" t="s">
        <v>2044</v>
      </c>
      <c r="E60" s="740" t="s">
        <v>2045</v>
      </c>
      <c r="F60" s="2127" t="s">
        <v>2060</v>
      </c>
      <c r="G60" s="1348" t="s">
        <v>310</v>
      </c>
      <c r="H60" s="2128" t="s">
        <v>2047</v>
      </c>
      <c r="I60" s="1348" t="s">
        <v>2048</v>
      </c>
      <c r="J60" s="550" t="s">
        <v>1719</v>
      </c>
      <c r="K60" s="550" t="s">
        <v>1720</v>
      </c>
      <c r="L60" s="550" t="s">
        <v>1721</v>
      </c>
      <c r="M60" s="550" t="s">
        <v>1722</v>
      </c>
      <c r="N60" s="550" t="s">
        <v>1723</v>
      </c>
      <c r="AA60" s="1117"/>
      <c r="AB60" s="1117"/>
      <c r="AC60" s="1117"/>
      <c r="AD60" s="1117"/>
      <c r="AE60" s="1117"/>
      <c r="AF60" s="1117"/>
      <c r="AG60" s="1117"/>
      <c r="AH60" s="1117"/>
      <c r="AI60" s="1117"/>
      <c r="AJ60" s="1117"/>
      <c r="AK60" s="1117"/>
    </row>
    <row r="61" spans="1:37" s="1116" customFormat="1" ht="24">
      <c r="A61" s="2126" t="s">
        <v>2061</v>
      </c>
      <c r="B61" s="2129" t="str">
        <f>估价对象房地状况!C17</f>
        <v>较好</v>
      </c>
      <c r="C61" s="2040"/>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2050</v>
      </c>
      <c r="B62" s="2130" t="str">
        <f>估价对象房地状况!C18</f>
        <v>较好</v>
      </c>
      <c r="C62" s="2040"/>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3258</v>
      </c>
      <c r="B63" s="2130" t="str">
        <f>估价对象房地状况!C19</f>
        <v>较好</v>
      </c>
      <c r="C63" s="2040"/>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2051</v>
      </c>
      <c r="B64" s="2131" t="s">
        <v>2052</v>
      </c>
      <c r="C64" s="2040"/>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2053</v>
      </c>
      <c r="B65" s="2130">
        <f>估价对象房地状况!C24</f>
        <v>0</v>
      </c>
      <c r="C65" s="2040"/>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2054</v>
      </c>
      <c r="B66" s="2132" t="s">
        <v>2055</v>
      </c>
      <c r="C66" s="2040"/>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2056</v>
      </c>
      <c r="B67" s="1323" t="str">
        <f>估价对象房地状况!C21</f>
        <v>较好</v>
      </c>
      <c r="C67" s="2040"/>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2057</v>
      </c>
      <c r="B68" s="1323" t="str">
        <f>估价对象房地状况!C22</f>
        <v>七通</v>
      </c>
      <c r="C68" s="2040"/>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2058</v>
      </c>
      <c r="B69" s="2136" t="str">
        <f>估价对象房地状况!C20</f>
        <v>较好</v>
      </c>
      <c r="C69" s="2040"/>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2062</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2041</v>
      </c>
      <c r="B71" s="1348"/>
      <c r="C71" s="1348" t="s">
        <v>2043</v>
      </c>
      <c r="D71" s="1348" t="s">
        <v>2044</v>
      </c>
      <c r="E71" s="740" t="s">
        <v>2045</v>
      </c>
      <c r="F71" s="2127" t="s">
        <v>2060</v>
      </c>
      <c r="G71" s="1348" t="s">
        <v>310</v>
      </c>
      <c r="H71" s="2128" t="s">
        <v>2047</v>
      </c>
      <c r="I71" s="1348" t="s">
        <v>2048</v>
      </c>
      <c r="J71" s="550" t="s">
        <v>1719</v>
      </c>
      <c r="K71" s="550" t="s">
        <v>1720</v>
      </c>
      <c r="L71" s="550" t="s">
        <v>1721</v>
      </c>
      <c r="M71" s="550" t="s">
        <v>1722</v>
      </c>
      <c r="N71" s="550" t="s">
        <v>1723</v>
      </c>
      <c r="AA71" s="1117"/>
      <c r="AB71" s="1117"/>
      <c r="AC71" s="1117"/>
      <c r="AD71" s="1117"/>
      <c r="AE71" s="1117"/>
      <c r="AF71" s="1117"/>
      <c r="AG71" s="1117"/>
      <c r="AH71" s="1117"/>
      <c r="AI71" s="1117"/>
      <c r="AJ71" s="1117"/>
      <c r="AK71" s="1117"/>
    </row>
    <row r="72" spans="1:37" s="1116" customFormat="1" ht="24">
      <c r="A72" s="2126" t="s">
        <v>2063</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2050</v>
      </c>
      <c r="B73" s="2130" t="str">
        <f>估价对象房地状况!C18</f>
        <v>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3258</v>
      </c>
      <c r="B74" s="2130" t="str">
        <f>估价对象房地状况!C19</f>
        <v>较好</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2064</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2056</v>
      </c>
      <c r="B76" s="1323" t="str">
        <f>估价对象房地状况!C21</f>
        <v>较好</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2057</v>
      </c>
      <c r="B77" s="1323" t="str">
        <f>估价对象房地状况!C22</f>
        <v>七通</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2054</v>
      </c>
      <c r="B78" s="2132" t="s">
        <v>2055</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2058</v>
      </c>
      <c r="B79" s="2129" t="str">
        <f>估价对象房地状况!C20</f>
        <v>较好</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2065</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2066</v>
      </c>
      <c r="B81" s="2123">
        <f>1+E83</f>
        <v>1</v>
      </c>
      <c r="C81" s="738"/>
      <c r="D81" s="738"/>
      <c r="E81" s="739"/>
      <c r="F81" s="2125"/>
      <c r="G81" s="3"/>
      <c r="H81" s="3"/>
      <c r="I81" s="3"/>
      <c r="J81" s="4"/>
      <c r="K81" s="4"/>
      <c r="L81" s="4"/>
      <c r="M81" s="4"/>
      <c r="N81" s="4"/>
      <c r="Z81" s="1994"/>
      <c r="AA81" s="2049"/>
      <c r="AG81" s="1118"/>
      <c r="AK81" s="2049"/>
    </row>
    <row r="82" spans="1:37" ht="24.75">
      <c r="A82" s="2126" t="s">
        <v>2041</v>
      </c>
      <c r="B82" s="1348"/>
      <c r="C82" s="1348" t="s">
        <v>2043</v>
      </c>
      <c r="D82" s="1348" t="s">
        <v>2044</v>
      </c>
      <c r="E82" s="740" t="s">
        <v>2045</v>
      </c>
      <c r="F82" s="2127" t="s">
        <v>2060</v>
      </c>
      <c r="G82" s="1348" t="s">
        <v>310</v>
      </c>
      <c r="H82" s="2128" t="s">
        <v>2047</v>
      </c>
      <c r="I82" s="1348" t="s">
        <v>2048</v>
      </c>
      <c r="J82" s="550" t="s">
        <v>1719</v>
      </c>
      <c r="K82" s="550" t="s">
        <v>1720</v>
      </c>
      <c r="L82" s="550" t="s">
        <v>1721</v>
      </c>
      <c r="M82" s="550" t="s">
        <v>1722</v>
      </c>
      <c r="N82" s="550" t="s">
        <v>1723</v>
      </c>
      <c r="Z82" s="1994"/>
      <c r="AA82" s="2049"/>
      <c r="AG82" s="1118"/>
      <c r="AK82" s="2049"/>
    </row>
    <row r="83" spans="1:37" ht="24">
      <c r="A83" s="2126" t="s">
        <v>2067</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2050</v>
      </c>
      <c r="B84" s="2130" t="str">
        <f>估价对象房地状况!G16</f>
        <v>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3259</v>
      </c>
      <c r="B85" s="2130" t="str">
        <f>估价对象房地状况!G17</f>
        <v>较好</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2064</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4">
      <c r="A87" s="2126" t="s">
        <v>2056</v>
      </c>
      <c r="B87" s="1323" t="str">
        <f>估价对象房地状况!G19</f>
        <v>一般</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4">
      <c r="A88" s="2126" t="s">
        <v>2057</v>
      </c>
      <c r="B88" s="1323" t="str">
        <f>估价对象房地状况!G20</f>
        <v>七通</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2054</v>
      </c>
      <c r="B89" s="2132" t="s">
        <v>2068</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15" thickBot="1">
      <c r="A90" s="2134" t="s">
        <v>2069</v>
      </c>
      <c r="B90" s="2139" t="str">
        <f>估价对象房地状况!G18</f>
        <v>较好</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2599</v>
      </c>
      <c r="B91" s="3369">
        <f>1+E93</f>
        <v>1</v>
      </c>
      <c r="C91" s="3362"/>
      <c r="D91" s="3363"/>
      <c r="E91" s="1811"/>
      <c r="F91" s="1811"/>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3"/>
      <c r="C93" s="2040"/>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3262</v>
      </c>
      <c r="B94" s="3361" t="str">
        <f>估价对象房地状况!C18</f>
        <v>较好</v>
      </c>
      <c r="C94" s="2040"/>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3258</v>
      </c>
      <c r="B95" s="3361" t="str">
        <f>估价对象房地状况!C19</f>
        <v>较好</v>
      </c>
      <c r="C95" s="2040"/>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3263</v>
      </c>
      <c r="B96" s="3376" t="s">
        <v>3274</v>
      </c>
      <c r="C96" s="2040"/>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3264</v>
      </c>
      <c r="B97" s="3361">
        <f>估价对象房地状况!C24</f>
        <v>0</v>
      </c>
      <c r="C97" s="2040"/>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3265</v>
      </c>
      <c r="B98" s="3377" t="s">
        <v>3275</v>
      </c>
      <c r="C98" s="2040"/>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3266</v>
      </c>
      <c r="B99" s="3361" t="str">
        <f>估价对象房地状况!C21</f>
        <v>较好</v>
      </c>
      <c r="C99" s="2040"/>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3267</v>
      </c>
      <c r="B100" s="3361" t="str">
        <f>估价对象房地状况!C22</f>
        <v>七通</v>
      </c>
      <c r="C100" s="2040"/>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3268</v>
      </c>
      <c r="B101" s="3378" t="str">
        <f>估价对象房地状况!C20</f>
        <v>较好</v>
      </c>
      <c r="C101" s="2040"/>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09" t="s">
        <v>3283</v>
      </c>
      <c r="B103" s="3709"/>
      <c r="C103" s="3709"/>
      <c r="D103" s="3709"/>
      <c r="E103" s="3709"/>
      <c r="F103" s="3709"/>
      <c r="G103" s="3709"/>
      <c r="H103" s="3709"/>
      <c r="I103" s="3709"/>
      <c r="J103" s="3709"/>
      <c r="K103" s="3381"/>
      <c r="L103" s="3381"/>
      <c r="M103" s="3381"/>
      <c r="N103" s="3381"/>
    </row>
    <row r="104" spans="1:14">
      <c r="A104" s="3710" t="s">
        <v>3284</v>
      </c>
      <c r="B104" s="3710" t="s">
        <v>3285</v>
      </c>
      <c r="C104" s="3382" t="s">
        <v>3286</v>
      </c>
      <c r="D104" s="3383"/>
      <c r="E104" s="3383"/>
      <c r="F104" s="3383"/>
      <c r="G104" s="3383"/>
      <c r="H104" s="3383"/>
      <c r="I104" s="3383"/>
      <c r="J104" s="3384"/>
      <c r="K104" s="3385"/>
      <c r="L104" s="3385"/>
      <c r="M104" s="3385"/>
      <c r="N104" s="3385"/>
    </row>
    <row r="105" spans="1:14">
      <c r="A105" s="3710"/>
      <c r="B105" s="3710"/>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3696"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697"/>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697"/>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697"/>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697"/>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697"/>
      <c r="B111" s="3386" t="s">
        <v>3257</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698"/>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699" t="s">
        <v>3300</v>
      </c>
      <c r="B113" s="3699"/>
      <c r="C113" s="3699"/>
      <c r="D113" s="3699"/>
      <c r="E113" s="3699"/>
      <c r="F113" s="3699"/>
      <c r="G113" s="3699"/>
      <c r="H113" s="3699"/>
      <c r="I113" s="3699"/>
      <c r="J113" s="3699"/>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0</v>
      </c>
      <c r="C116" s="3391" t="s">
        <v>3302</v>
      </c>
      <c r="D116" s="3392">
        <f>SUMPRODUCT((A118:A122=F116)*(B117:M117=H116)*B118:M122)</f>
        <v>0</v>
      </c>
      <c r="E116" s="1996" t="s">
        <v>3303</v>
      </c>
      <c r="F116" s="3393">
        <f>E2</f>
        <v>0</v>
      </c>
      <c r="G116" s="1996" t="s">
        <v>3304</v>
      </c>
      <c r="H116" s="3393">
        <f>G2</f>
        <v>0</v>
      </c>
      <c r="I116" s="1996"/>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3318</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3319</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3320</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2599</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O41" sqref="O41"/>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797"/>
      <c r="F1" s="2797"/>
      <c r="G1" s="2662"/>
      <c r="H1" s="2797"/>
      <c r="I1" s="2797"/>
      <c r="J1" s="2797"/>
      <c r="K1" s="2798">
        <f>MATCH(C1,'数据-取费表'!A6:A16,0)+5</f>
        <v>8</v>
      </c>
    </row>
    <row r="2" spans="1:33" ht="18" customHeight="1">
      <c r="A2" s="201" t="s">
        <v>1460</v>
      </c>
      <c r="B2" s="204">
        <f ca="1">C32</f>
        <v>3146</v>
      </c>
      <c r="C2" s="276" t="s">
        <v>1593</v>
      </c>
      <c r="D2" s="276"/>
      <c r="E2" s="2797"/>
      <c r="F2" s="2797"/>
      <c r="G2" s="2797"/>
      <c r="H2" s="2797"/>
      <c r="I2" s="2797"/>
      <c r="J2" s="2797"/>
      <c r="K2" s="2797"/>
    </row>
    <row r="3" spans="1:33" ht="18" customHeight="1" thickBot="1">
      <c r="A3" s="203" t="s">
        <v>1462</v>
      </c>
      <c r="B3" s="204">
        <f ca="1">ROUND(B2*10000/IF(C1="",'数据-汇总表'!E3,INDIRECT("'数据-取费表'!K"&amp;$K$1)),0)</f>
        <v>1163</v>
      </c>
      <c r="C3" s="276" t="s">
        <v>1594</v>
      </c>
      <c r="D3" s="276"/>
      <c r="E3" s="2797"/>
      <c r="F3" s="2797"/>
      <c r="G3" s="2797"/>
      <c r="H3" s="2797"/>
      <c r="I3" s="2797"/>
      <c r="J3" s="2797"/>
      <c r="K3" s="2797"/>
    </row>
    <row r="4" spans="1:33" s="782" customFormat="1" ht="16.5" customHeight="1">
      <c r="A4" s="779" t="s">
        <v>1595</v>
      </c>
      <c r="B4" s="780"/>
      <c r="C4" s="821">
        <f ca="1">SUM(C8:K8)</f>
        <v>17762</v>
      </c>
      <c r="D4" s="780"/>
      <c r="E4" s="780"/>
      <c r="F4" s="780"/>
      <c r="G4" s="780"/>
      <c r="H4" s="780"/>
      <c r="I4" s="780"/>
      <c r="J4" s="780"/>
      <c r="K4" s="781"/>
    </row>
    <row r="5" spans="1:33" s="786" customFormat="1" ht="15">
      <c r="A5" s="783" t="s">
        <v>1596</v>
      </c>
      <c r="B5" s="784" t="s">
        <v>1597</v>
      </c>
      <c r="C5" s="1857" t="s">
        <v>3666</v>
      </c>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f ca="1">收益法!B3</f>
        <v>8625</v>
      </c>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20593.5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f ca="1">收益法!B2</f>
        <v>17762</v>
      </c>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9951</v>
      </c>
      <c r="D11" s="799"/>
      <c r="E11" s="329"/>
      <c r="F11" s="809">
        <f ca="1">1-IF('数据-取费表'!B24=0,1,IF(C1="",'数据-取费表'!N16,INDIRECT("'数据-取费表'!n"&amp;$K$1)))</f>
        <v>0.92</v>
      </c>
      <c r="G11" s="5"/>
      <c r="H11" s="794"/>
      <c r="I11" s="794"/>
      <c r="J11" s="794"/>
      <c r="K11" s="795"/>
    </row>
    <row r="12" spans="1:33" s="800" customFormat="1" ht="13.5" customHeight="1">
      <c r="A12" s="797" t="s">
        <v>636</v>
      </c>
      <c r="B12" s="798" t="s">
        <v>1611</v>
      </c>
      <c r="C12" s="21">
        <f ca="1">ROUND(C11*F12,0)</f>
        <v>299</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373</v>
      </c>
      <c r="D14" s="843">
        <f ca="1">IF(C1="",'数据-汇总表'!E3,INDIRECT("'数据-取费表'!K"&amp;$K$1)+INDIRECT("'数据-取费表'!S"&amp;$K$1))</f>
        <v>27041.94</v>
      </c>
      <c r="E14" s="21">
        <f>'数据-取费表'!B35</f>
        <v>150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149</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10772</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270</v>
      </c>
      <c r="D17" s="843">
        <f ca="1">D14</f>
        <v>27041.94</v>
      </c>
      <c r="E17" s="21">
        <f>'数据-取费表'!B32</f>
        <v>100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t="s">
        <v>3404</v>
      </c>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60</v>
      </c>
      <c r="F19" s="801"/>
      <c r="G19" s="12"/>
      <c r="H19" s="1186"/>
      <c r="I19" s="806"/>
      <c r="J19" s="806"/>
      <c r="K19" s="807"/>
    </row>
    <row r="20" spans="1:33" s="800" customFormat="1" ht="13.5" customHeight="1">
      <c r="A20" s="797" t="s">
        <v>361</v>
      </c>
      <c r="B20" s="798" t="s">
        <v>1625</v>
      </c>
      <c r="C20" s="21">
        <f ca="1">ROUND(D20*E20/10000,0)</f>
        <v>270</v>
      </c>
      <c r="D20" s="843">
        <f ca="1">IF(C1="",'数据-汇总表'!E6,IF(INDIRECT("'数据-取费表'!c"&amp;$K$1)="住宅",INDIRECT("'数据-取费表'!s"&amp;$K$1),INDIRECT("'数据-取费表'!k"&amp;$K$1)+INDIRECT("'数据-取费表'!s"&amp;$K$1)))</f>
        <v>27041.94</v>
      </c>
      <c r="E20" s="21">
        <f>'数据-取费表'!B28</f>
        <v>100</v>
      </c>
      <c r="F20" s="801"/>
      <c r="G20" s="12"/>
      <c r="H20" s="806"/>
      <c r="I20" s="806"/>
      <c r="J20" s="806"/>
      <c r="K20" s="807"/>
    </row>
    <row r="21" spans="1:33" s="800" customFormat="1" ht="13.5" customHeight="1">
      <c r="A21" s="787" t="s">
        <v>357</v>
      </c>
      <c r="B21" s="810" t="s">
        <v>1626</v>
      </c>
      <c r="C21" s="811">
        <f ca="1">C16+C17+C18</f>
        <v>11042</v>
      </c>
      <c r="D21" s="812"/>
      <c r="E21" s="281"/>
      <c r="F21" s="281"/>
      <c r="G21" s="131" t="s">
        <v>1627</v>
      </c>
      <c r="H21" s="804"/>
      <c r="I21" s="804"/>
      <c r="J21" s="804"/>
      <c r="K21" s="805"/>
    </row>
    <row r="22" spans="1:33" s="800" customFormat="1" ht="13.5" customHeight="1">
      <c r="A22" s="787" t="s">
        <v>1599</v>
      </c>
      <c r="B22" s="810" t="s">
        <v>1628</v>
      </c>
      <c r="C22" s="811">
        <f ca="1">ROUND(C21*F22,0)</f>
        <v>221</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327</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442</v>
      </c>
      <c r="D25" s="280">
        <f ca="1">C26</f>
        <v>7.9899999999999999E-2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7.9899999999999999E-2</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442</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1043</v>
      </c>
      <c r="D28" s="280">
        <f ca="1">C29</f>
        <v>8.5199999999999998E-2</v>
      </c>
      <c r="E28" s="282" t="s">
        <v>12</v>
      </c>
      <c r="F28" s="288">
        <f ca="1">IF(C1="",'数据-取费表'!Q16,INDIRECT("'数据-取费表'!q"&amp;$K$1))</f>
        <v>0.09</v>
      </c>
      <c r="G28" s="814"/>
      <c r="H28" s="815"/>
      <c r="I28" s="815"/>
      <c r="J28" s="815"/>
      <c r="K28" s="816"/>
    </row>
    <row r="29" spans="1:33" s="291" customFormat="1" ht="13.5" customHeight="1">
      <c r="A29" s="797" t="s">
        <v>358</v>
      </c>
      <c r="B29" s="819" t="s">
        <v>1641</v>
      </c>
      <c r="C29" s="284">
        <f ca="1">ROUND((1+C24)*F28*'数据-取费表'!B24/'数据-取费表'!B20,4)</f>
        <v>8.5199999999999998E-2</v>
      </c>
      <c r="D29" s="284"/>
      <c r="E29" s="285"/>
      <c r="F29" s="290"/>
      <c r="G29" s="131" t="s">
        <v>1642</v>
      </c>
      <c r="H29" s="804"/>
      <c r="I29" s="804"/>
      <c r="J29" s="804"/>
      <c r="K29" s="805"/>
    </row>
    <row r="30" spans="1:33" s="291" customFormat="1" ht="13.5" customHeight="1">
      <c r="A30" s="797" t="s">
        <v>359</v>
      </c>
      <c r="B30" s="819" t="s">
        <v>1643</v>
      </c>
      <c r="C30" s="292">
        <f ca="1">ROUND((C21+C22+C23)*F28,0)</f>
        <v>1043</v>
      </c>
      <c r="D30" s="284"/>
      <c r="E30" s="285"/>
      <c r="F30" s="290"/>
      <c r="G30" s="131"/>
      <c r="H30" s="804"/>
      <c r="I30" s="804"/>
      <c r="J30" s="804"/>
      <c r="K30" s="805"/>
    </row>
    <row r="31" spans="1:33" s="800" customFormat="1" ht="13.5" customHeight="1" thickBot="1">
      <c r="A31" s="1863" t="s">
        <v>1644</v>
      </c>
      <c r="B31" s="830" t="s">
        <v>1645</v>
      </c>
      <c r="C31" s="831">
        <f ca="1">ROUND(C4*F31/(1+'数据-取费表'!C42),0)</f>
        <v>930</v>
      </c>
      <c r="D31" s="832"/>
      <c r="E31" s="833"/>
      <c r="F31" s="834">
        <f>'数据-取费表'!B41</f>
        <v>5.5000000000000007E-2</v>
      </c>
      <c r="G31" s="835" t="s">
        <v>1646</v>
      </c>
      <c r="H31" s="836"/>
      <c r="I31" s="836"/>
      <c r="J31" s="836"/>
      <c r="K31" s="837"/>
    </row>
    <row r="32" spans="1:33" s="796" customFormat="1" ht="13.5" customHeight="1" thickBot="1">
      <c r="A32" s="825" t="s">
        <v>1647</v>
      </c>
      <c r="B32" s="826"/>
      <c r="C32" s="827">
        <f ca="1">ROUND((C4-C21-C22-C23-C25-C28-C31)/(1+C24+D25+D28),0)</f>
        <v>3146</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1" sqref="J5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3666</v>
      </c>
      <c r="D1" s="1359" t="s">
        <v>3686</v>
      </c>
      <c r="E1" s="1360" t="s">
        <v>678</v>
      </c>
      <c r="F1" s="1059">
        <f ca="1">J53</f>
        <v>16.36</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17762</v>
      </c>
      <c r="C2" s="1384" t="s">
        <v>805</v>
      </c>
      <c r="D2" s="1384"/>
      <c r="E2" s="1385"/>
      <c r="F2" s="1386"/>
      <c r="G2" s="2697"/>
      <c r="H2" s="2686"/>
      <c r="I2" s="2686"/>
      <c r="J2" s="2686"/>
      <c r="K2" s="2687"/>
      <c r="L2" s="2686"/>
      <c r="M2" s="2686"/>
    </row>
    <row r="3" spans="1:37" ht="18" customHeight="1" thickBot="1">
      <c r="A3" s="1387" t="s">
        <v>806</v>
      </c>
      <c r="B3" s="1388">
        <f ca="1">IF(ISERROR(B2*10000/F43),0,ROUND(B2*10000/F43,0))</f>
        <v>8625</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1430</v>
      </c>
      <c r="D5" s="1361" t="s">
        <v>693</v>
      </c>
      <c r="E5" s="1068"/>
      <c r="F5" s="1069"/>
      <c r="G5" s="1381"/>
      <c r="H5" s="299">
        <v>1</v>
      </c>
      <c r="I5" s="300" t="s">
        <v>692</v>
      </c>
      <c r="J5" s="1067">
        <f ca="1">J6+J10+J12</f>
        <v>0</v>
      </c>
      <c r="K5" s="1361" t="s">
        <v>693</v>
      </c>
      <c r="L5" s="1068"/>
      <c r="M5" s="1069"/>
    </row>
    <row r="6" spans="1:37" ht="18" customHeight="1">
      <c r="A6" s="1066" t="s">
        <v>398</v>
      </c>
      <c r="B6" s="3717" t="s">
        <v>694</v>
      </c>
      <c r="C6" s="1071">
        <f ca="1">ROUND(F6*F8*F7*(1-F9)/10000,0)</f>
        <v>1428</v>
      </c>
      <c r="D6" s="155" t="s">
        <v>2106</v>
      </c>
      <c r="E6" s="302" t="s">
        <v>696</v>
      </c>
      <c r="F6" s="303">
        <f ca="1">INDIRECT("'数据-取费表'!u"&amp;$G$1)</f>
        <v>2</v>
      </c>
      <c r="G6" s="1381"/>
      <c r="H6" s="1066" t="s">
        <v>398</v>
      </c>
      <c r="I6" s="3717" t="s">
        <v>694</v>
      </c>
      <c r="J6" s="301">
        <f ca="1">ROUND(M6*M8*M7*(1-M9)/10000,0)</f>
        <v>0</v>
      </c>
      <c r="K6" s="155" t="s">
        <v>2105</v>
      </c>
      <c r="L6" s="302" t="s">
        <v>696</v>
      </c>
      <c r="M6" s="303">
        <f ca="1">INDIRECT("'数据-取费表'!z"&amp;$G$1)</f>
        <v>0</v>
      </c>
    </row>
    <row r="7" spans="1:37" ht="18" customHeight="1">
      <c r="A7" s="1070"/>
      <c r="B7" s="3718"/>
      <c r="C7" s="1072"/>
      <c r="D7" s="307"/>
      <c r="E7" s="1073" t="s">
        <v>697</v>
      </c>
      <c r="F7" s="303">
        <f ca="1">IF(INDIRECT("'数据-取费表'!ah"&amp;$G$1)="",INDIRECT("'数据-取费表'!k"&amp;$G$1),INDIRECT("'数据-取费表'!ah"&amp;$G$1))</f>
        <v>20593.5</v>
      </c>
      <c r="G7" s="1381"/>
      <c r="H7" s="304"/>
      <c r="I7" s="3718"/>
      <c r="J7" s="306"/>
      <c r="K7" s="307"/>
      <c r="L7" s="302" t="s">
        <v>697</v>
      </c>
      <c r="M7" s="303">
        <f ca="1">F7</f>
        <v>20593.5</v>
      </c>
    </row>
    <row r="8" spans="1:37" ht="18" customHeight="1">
      <c r="A8" s="304"/>
      <c r="B8" s="3718"/>
      <c r="C8" s="306"/>
      <c r="D8" s="307"/>
      <c r="E8" s="302" t="s">
        <v>698</v>
      </c>
      <c r="F8" s="303">
        <f ca="1">INDIRECT("'数据-取费表'!ai"&amp;$G$1)</f>
        <v>365</v>
      </c>
      <c r="G8" s="1381"/>
      <c r="H8" s="304"/>
      <c r="I8" s="3718"/>
      <c r="J8" s="306"/>
      <c r="K8" s="307"/>
      <c r="L8" s="302" t="s">
        <v>698</v>
      </c>
      <c r="M8" s="303">
        <f ca="1">INDIRECT("'数据-取费表'!ai"&amp;$G$1)</f>
        <v>365</v>
      </c>
    </row>
    <row r="9" spans="1:37" ht="18" customHeight="1">
      <c r="A9" s="304"/>
      <c r="B9" s="3719"/>
      <c r="C9" s="306"/>
      <c r="D9" s="307"/>
      <c r="E9" s="302" t="s">
        <v>699</v>
      </c>
      <c r="F9" s="312">
        <f ca="1">INDIRECT("'数据-取费表'!w"&amp;$G$1)</f>
        <v>0.05</v>
      </c>
      <c r="G9" s="1381"/>
      <c r="H9" s="304"/>
      <c r="I9" s="3719"/>
      <c r="J9" s="306"/>
      <c r="K9" s="307"/>
      <c r="L9" s="313" t="s">
        <v>699</v>
      </c>
      <c r="M9" s="314">
        <f ca="1">INDIRECT("'数据-取费表'!ab"&amp;$G$1)</f>
        <v>0</v>
      </c>
    </row>
    <row r="10" spans="1:37" ht="18" customHeight="1">
      <c r="A10" s="1066" t="s">
        <v>402</v>
      </c>
      <c r="B10" s="1362" t="s">
        <v>700</v>
      </c>
      <c r="C10" s="316">
        <f ca="1">ROUND(IF(F10="押一",C6/12*F11,IF(F10="押二",C6/12*2*F11,IF(F10="押三",C6/12*3*F11,C11*F11))),0)</f>
        <v>2</v>
      </c>
      <c r="D10" s="1363" t="s">
        <v>2114</v>
      </c>
      <c r="E10" s="313" t="s">
        <v>701</v>
      </c>
      <c r="F10" s="1113" t="s">
        <v>3405</v>
      </c>
      <c r="G10" s="1381"/>
      <c r="H10" s="1066" t="s">
        <v>402</v>
      </c>
      <c r="I10" s="1362" t="s">
        <v>700</v>
      </c>
      <c r="J10" s="301">
        <f ca="1">ROUND(IF(M10="押一",J6/12*M11,IF(M10="押二",J6/12*2*M11,IF(M10="押三",J6/12*3*M11,J11*M11))),0)</f>
        <v>0</v>
      </c>
      <c r="K10" s="1363" t="s">
        <v>2113</v>
      </c>
      <c r="L10" s="313" t="s">
        <v>701</v>
      </c>
      <c r="M10" s="1113" t="s">
        <v>3405</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12012</v>
      </c>
      <c r="D13" s="1078" t="s">
        <v>705</v>
      </c>
      <c r="E13" s="1078" t="s">
        <v>706</v>
      </c>
      <c r="F13" s="1079">
        <f ca="1">INDIRECT("'数据-取费表'!y"&amp;$G$1)</f>
        <v>1</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8814</v>
      </c>
      <c r="D14" s="1342" t="s">
        <v>708</v>
      </c>
      <c r="E14" s="1339"/>
      <c r="F14" s="319"/>
      <c r="G14" s="1381"/>
      <c r="H14" s="979" t="s">
        <v>398</v>
      </c>
      <c r="I14" s="302" t="s">
        <v>709</v>
      </c>
      <c r="J14" s="21">
        <f ca="1">C29</f>
        <v>12012</v>
      </c>
      <c r="K14" s="12"/>
      <c r="L14" s="804"/>
      <c r="M14" s="805"/>
    </row>
    <row r="15" spans="1:37" s="1394" customFormat="1" ht="18" customHeight="1" thickBot="1">
      <c r="A15" s="979" t="s">
        <v>399</v>
      </c>
      <c r="B15" s="302" t="s">
        <v>710</v>
      </c>
      <c r="C15" s="21">
        <f ca="1">ROUND(C14*F15,0)</f>
        <v>264</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26</v>
      </c>
      <c r="K16" s="1084" t="s">
        <v>715</v>
      </c>
      <c r="L16" s="1085"/>
      <c r="M16" s="1069"/>
    </row>
    <row r="17" spans="1:37" s="1394" customFormat="1" ht="18" customHeight="1">
      <c r="A17" s="979" t="s">
        <v>681</v>
      </c>
      <c r="B17" s="302" t="s">
        <v>716</v>
      </c>
      <c r="C17" s="21">
        <f ca="1">ROUND(F17*(F43+INDIRECT("'数据-取费表'!S"&amp;$G$1))/10000,0)</f>
        <v>331</v>
      </c>
      <c r="D17" s="302" t="s">
        <v>717</v>
      </c>
      <c r="E17" s="302" t="s">
        <v>718</v>
      </c>
      <c r="F17" s="23">
        <f>'数据-取费表'!B35</f>
        <v>150</v>
      </c>
      <c r="G17" s="1393"/>
      <c r="H17" s="979" t="s">
        <v>398</v>
      </c>
      <c r="I17" s="302" t="s">
        <v>719</v>
      </c>
      <c r="J17" s="2312">
        <f ca="1">ROUND(IF(AND(项目基本情况!B11="自然人",项目基本情况!B10="北京市"),J6*M17/(1+'数据-取费表'!C42),J18+J19+J20),2)</f>
        <v>2.12</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132</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9541</v>
      </c>
      <c r="D19" s="131" t="s">
        <v>726</v>
      </c>
      <c r="E19" s="1357"/>
      <c r="F19" s="23"/>
      <c r="G19" s="1381"/>
      <c r="H19" s="979" t="s">
        <v>399</v>
      </c>
      <c r="I19" s="302" t="s">
        <v>727</v>
      </c>
      <c r="J19" s="21">
        <f ca="1">IF(K19="按租金收入计税",ROUND(J6*M19/(1+'数据-取费表'!C42),2),ROUND(C29*M19*0.7,2))</f>
        <v>0</v>
      </c>
      <c r="K19" s="1367" t="s">
        <v>3325</v>
      </c>
      <c r="L19" s="302" t="s">
        <v>712</v>
      </c>
      <c r="M19" s="322">
        <f>IF(K19="按租金收入计税",'数据-取费表'!B51,'数据-取费表'!B50)</f>
        <v>0.12</v>
      </c>
    </row>
    <row r="20" spans="1:37" s="1394" customFormat="1" ht="18" customHeight="1">
      <c r="A20" s="979" t="s">
        <v>402</v>
      </c>
      <c r="B20" s="302" t="s">
        <v>728</v>
      </c>
      <c r="C20" s="21">
        <f ca="1">ROUND(C19*F20,0)</f>
        <v>191</v>
      </c>
      <c r="D20" s="323" t="s">
        <v>729</v>
      </c>
      <c r="E20" s="302" t="s">
        <v>712</v>
      </c>
      <c r="F20" s="322">
        <f>'数据-取费表'!B37</f>
        <v>0.02</v>
      </c>
      <c r="G20" s="1393"/>
      <c r="H20" s="979" t="s">
        <v>680</v>
      </c>
      <c r="I20" s="155" t="s">
        <v>730</v>
      </c>
      <c r="J20" s="22">
        <f ca="1">ROUND(M20*M21/10000,2)</f>
        <v>2.12</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14110.95</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24.02</v>
      </c>
      <c r="K22" s="1341" t="s">
        <v>739</v>
      </c>
      <c r="L22" s="302" t="s">
        <v>712</v>
      </c>
      <c r="M22" s="328">
        <f ca="1">INDIRECT("'数据-取费表'!Ak"&amp;$G$1)</f>
        <v>2E-3</v>
      </c>
    </row>
    <row r="23" spans="1:37" s="1394" customFormat="1" ht="18" customHeight="1">
      <c r="A23" s="979" t="s">
        <v>397</v>
      </c>
      <c r="B23" s="302" t="s">
        <v>740</v>
      </c>
      <c r="C23" s="21">
        <f ca="1">IF('数据-取费表'!B22&lt;=1,ROUND(C19*F24*F23/2,0)+ROUND(C20*F24*F23/2,0),ROUND(C19*(POWER((1+F24),F23/2)-1),0)+ROUND(C20*(POWER((1+F24),F23/2)-1),0))</f>
        <v>404</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2E-3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-26</v>
      </c>
      <c r="K25" s="1092" t="s">
        <v>753</v>
      </c>
      <c r="L25" s="1093"/>
      <c r="M25" s="1094"/>
    </row>
    <row r="26" spans="1:37">
      <c r="A26" s="979" t="s">
        <v>397</v>
      </c>
      <c r="B26" s="302" t="s">
        <v>754</v>
      </c>
      <c r="C26" s="21">
        <f ca="1">ROUND((C19+C20)*F26,0)</f>
        <v>973</v>
      </c>
      <c r="D26" s="323"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2E-3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12012</v>
      </c>
      <c r="D29" s="1089"/>
      <c r="E29" s="1087"/>
      <c r="F29" s="1090"/>
      <c r="G29" s="1393"/>
      <c r="H29" s="334" t="s">
        <v>396</v>
      </c>
      <c r="I29" s="335" t="s">
        <v>768</v>
      </c>
      <c r="J29" s="336">
        <f ca="1">ROUND(J26/(1+F40)^F41,0)</f>
        <v>0</v>
      </c>
      <c r="K29" s="337" t="s">
        <v>769</v>
      </c>
      <c r="L29" s="338"/>
      <c r="M29" s="339">
        <f ca="1">INDIRECT("'数据-取费表'!k"&amp;$G$1)</f>
        <v>20593.5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285</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240.12</v>
      </c>
      <c r="D31" s="1342" t="s">
        <v>720</v>
      </c>
      <c r="E31" s="1341" t="s">
        <v>770</v>
      </c>
      <c r="F31" s="2311" t="str">
        <f>IF(项目基本情况!B11="企业","——",IF(M47="住宅",IF(F6*F7*F8/12/(1+'数据-取费表'!F30)&gt;100000,4%,2.5%),IF(F6*F7*F8/12/(1+'数据-取费表'!F30)&gt;100000,12%,7%)))</f>
        <v>——</v>
      </c>
      <c r="G31" s="1381"/>
      <c r="H31" s="2799" t="s">
        <v>2294</v>
      </c>
      <c r="I31" s="1395"/>
      <c r="J31" s="1396"/>
      <c r="K31" s="2466"/>
      <c r="L31" s="2689"/>
      <c r="M31" s="2690"/>
    </row>
    <row r="32" spans="1:37" ht="18" customHeight="1">
      <c r="A32" s="979" t="s">
        <v>397</v>
      </c>
      <c r="B32" s="302" t="s">
        <v>723</v>
      </c>
      <c r="C32" s="21">
        <f ca="1">IF(项目基本情况!B11="自然人","——",ROUND(C6*F32/(1+'数据-取费表'!C42),2))</f>
        <v>74.8</v>
      </c>
      <c r="D32" s="1341" t="s">
        <v>724</v>
      </c>
      <c r="E32" s="302" t="s">
        <v>712</v>
      </c>
      <c r="F32" s="331">
        <f>'数据-取费表'!B41</f>
        <v>5.5000000000000007E-2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163.19999999999999</v>
      </c>
      <c r="D33" s="1367" t="s">
        <v>3325</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2.12</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14110.95</v>
      </c>
      <c r="G35" s="1381"/>
      <c r="H35" s="2688"/>
      <c r="I35" s="1395"/>
      <c r="J35" s="1396"/>
      <c r="K35" s="2692"/>
      <c r="L35" s="2691"/>
      <c r="M35" s="2691"/>
    </row>
    <row r="36" spans="1:18" ht="18" customHeight="1">
      <c r="A36" s="1099" t="s">
        <v>402</v>
      </c>
      <c r="B36" s="302" t="s">
        <v>738</v>
      </c>
      <c r="C36" s="21">
        <f ca="1">ROUND(C29*F36,2)</f>
        <v>24.02</v>
      </c>
      <c r="D36" s="1341" t="s">
        <v>771</v>
      </c>
      <c r="E36" s="302" t="s">
        <v>712</v>
      </c>
      <c r="F36" s="328">
        <f ca="1">INDIRECT("'数据-取费表'!Ak"&amp;$G$1)</f>
        <v>2E-3</v>
      </c>
      <c r="G36" s="1381"/>
      <c r="H36" s="2691"/>
      <c r="I36" s="1395"/>
      <c r="J36" s="1396"/>
      <c r="K36" s="2535"/>
      <c r="L36" s="2691"/>
      <c r="M36" s="2691"/>
    </row>
    <row r="37" spans="1:18" ht="18" customHeight="1">
      <c r="A37" s="979" t="s">
        <v>437</v>
      </c>
      <c r="B37" s="302" t="s">
        <v>742</v>
      </c>
      <c r="C37" s="21">
        <f ca="1">ROUND(C13*F37,2)</f>
        <v>18.02</v>
      </c>
      <c r="D37" s="1341" t="s">
        <v>743</v>
      </c>
      <c r="E37" s="302" t="s">
        <v>744</v>
      </c>
      <c r="F37" s="330">
        <f ca="1">INDIRECT("'数据-取费表'!Al"&amp;$G$1)</f>
        <v>1.5E-3</v>
      </c>
      <c r="G37" s="1381"/>
      <c r="H37" s="2691"/>
      <c r="I37" s="1395"/>
      <c r="J37" s="1396"/>
      <c r="K37" s="2535"/>
      <c r="L37" s="2691"/>
      <c r="M37" s="2691"/>
    </row>
    <row r="38" spans="1:18" ht="18" customHeight="1" thickBot="1">
      <c r="A38" s="1086" t="s">
        <v>684</v>
      </c>
      <c r="B38" s="1087" t="s">
        <v>728</v>
      </c>
      <c r="C38" s="1088">
        <f ca="1">ROUND(C5*F38,2)</f>
        <v>2.86</v>
      </c>
      <c r="D38" s="1089" t="s">
        <v>748</v>
      </c>
      <c r="E38" s="1087" t="s">
        <v>744</v>
      </c>
      <c r="F38" s="1083">
        <f ca="1">INDIRECT("'数据-取费表'!Am"&amp;$G$1)</f>
        <v>2E-3</v>
      </c>
      <c r="G38" s="1381"/>
      <c r="H38" s="2691"/>
      <c r="I38" s="1395"/>
      <c r="J38" s="1396"/>
      <c r="K38" s="2695"/>
      <c r="L38" s="2691"/>
      <c r="M38" s="2691"/>
    </row>
    <row r="39" spans="1:18" ht="24.6" customHeight="1" thickTop="1">
      <c r="A39" s="1076" t="s">
        <v>394</v>
      </c>
      <c r="B39" s="1091" t="s">
        <v>772</v>
      </c>
      <c r="C39" s="310">
        <f ca="1">C5-C30</f>
        <v>1145</v>
      </c>
      <c r="D39" s="1092" t="s">
        <v>773</v>
      </c>
      <c r="E39" s="1093"/>
      <c r="F39" s="1094"/>
      <c r="G39" s="1381"/>
      <c r="H39" s="2691"/>
      <c r="I39" s="1395"/>
      <c r="J39" s="1396"/>
      <c r="K39" s="2695"/>
      <c r="L39" s="2691"/>
      <c r="M39" s="2691"/>
    </row>
    <row r="40" spans="1:18" ht="18" customHeight="1">
      <c r="A40" s="299" t="s">
        <v>395</v>
      </c>
      <c r="B40" s="300" t="s">
        <v>774</v>
      </c>
      <c r="C40" s="301">
        <f ca="1">ROUND(C39*(1-((1+F42)/(1+F40))^F41)/(F40-F42),0)</f>
        <v>15454</v>
      </c>
      <c r="D40" s="324" t="s">
        <v>758</v>
      </c>
      <c r="E40" s="302" t="s">
        <v>759</v>
      </c>
      <c r="F40" s="312">
        <f ca="1">INDIRECT("'数据-取费表'!I"&amp;$G$1)</f>
        <v>0.05</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16.36</v>
      </c>
      <c r="G41" s="1381"/>
      <c r="H41" s="1188"/>
      <c r="I41" s="1395"/>
      <c r="J41" s="1396"/>
      <c r="K41" s="2535"/>
      <c r="L41" s="1188"/>
      <c r="M41" s="1188"/>
    </row>
    <row r="42" spans="1:18" ht="18" customHeight="1">
      <c r="A42" s="308"/>
      <c r="B42" s="309"/>
      <c r="C42" s="310"/>
      <c r="D42" s="327"/>
      <c r="E42" s="302" t="s">
        <v>766</v>
      </c>
      <c r="F42" s="312">
        <f ca="1">INDIRECT("'数据-取费表'!v"&amp;$G$1)</f>
        <v>0.03</v>
      </c>
      <c r="G42" s="1381"/>
      <c r="H42" s="1188"/>
      <c r="I42" s="1395"/>
      <c r="J42" s="1396"/>
      <c r="K42" s="2535"/>
      <c r="L42" s="1188"/>
      <c r="M42" s="1188"/>
    </row>
    <row r="43" spans="1:18" ht="18" customHeight="1" thickBot="1">
      <c r="A43" s="334" t="s">
        <v>396</v>
      </c>
      <c r="B43" s="335" t="s">
        <v>776</v>
      </c>
      <c r="C43" s="336">
        <f ca="1">ROUND(C40*10000/F43,0)</f>
        <v>7504</v>
      </c>
      <c r="D43" s="337" t="s">
        <v>777</v>
      </c>
      <c r="E43" s="338" t="s">
        <v>778</v>
      </c>
      <c r="F43" s="339">
        <f ca="1">INDIRECT("'数据-取费表'!k"&amp;$G$1)</f>
        <v>20593.5</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-15938</v>
      </c>
      <c r="D46" s="1403" t="str">
        <f>C2</f>
        <v>万元</v>
      </c>
      <c r="E46" s="1397"/>
      <c r="F46" s="1397"/>
      <c r="I46" s="1404" t="s">
        <v>810</v>
      </c>
      <c r="J46" s="1405"/>
      <c r="K46" s="1406"/>
      <c r="L46" s="1407">
        <f ca="1">IF(M47="住宅",0,IF(L48&gt;J51,L60,J60))</f>
        <v>2308</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3406</v>
      </c>
      <c r="K47" s="1413" t="s">
        <v>816</v>
      </c>
      <c r="L47" s="1414">
        <f ca="1">INDIRECT("'数据-取费表'!d"&amp;$G$1)</f>
        <v>20</v>
      </c>
      <c r="M47" s="1377" t="str">
        <f>IF(ISNUMBER(FIND("住宅",C1)),"住宅","非住宅")</f>
        <v>非住宅</v>
      </c>
      <c r="O47" s="1415" t="s">
        <v>403</v>
      </c>
      <c r="P47" s="1416" t="s">
        <v>817</v>
      </c>
      <c r="Q47" s="1417">
        <f ca="1">C40+J29</f>
        <v>15454</v>
      </c>
      <c r="R47" s="1417" t="s">
        <v>818</v>
      </c>
    </row>
    <row r="48" spans="1:18" s="1381" customFormat="1" ht="28.5" thickBot="1">
      <c r="A48" s="1107" t="s">
        <v>438</v>
      </c>
      <c r="B48" s="300" t="s">
        <v>692</v>
      </c>
      <c r="C48" s="1356">
        <f ca="1">C49+C53+C55</f>
        <v>0</v>
      </c>
      <c r="D48" s="1109"/>
      <c r="E48" s="1110"/>
      <c r="F48" s="959"/>
      <c r="G48" s="719"/>
      <c r="H48" s="720"/>
      <c r="I48" s="1418" t="s">
        <v>819</v>
      </c>
      <c r="J48" s="1419" t="s">
        <v>3407</v>
      </c>
      <c r="K48" s="1420" t="s">
        <v>820</v>
      </c>
      <c r="L48" s="1421">
        <f ca="1">INDIRECT("'数据-取费表'!f"&amp;$G$1)</f>
        <v>18.2</v>
      </c>
      <c r="O48" s="1415" t="s">
        <v>404</v>
      </c>
      <c r="P48" s="1416" t="s">
        <v>821</v>
      </c>
      <c r="Q48" s="1417">
        <f ca="1">J60</f>
        <v>2308</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v>2025</v>
      </c>
      <c r="K49" s="1420" t="s">
        <v>824</v>
      </c>
      <c r="L49" s="1424"/>
      <c r="O49" s="1425" t="s">
        <v>405</v>
      </c>
      <c r="P49" s="1416" t="s">
        <v>825</v>
      </c>
      <c r="Q49" s="1417">
        <f ca="1">C29</f>
        <v>12012</v>
      </c>
      <c r="R49" s="1417" t="s">
        <v>818</v>
      </c>
    </row>
    <row r="50" spans="1:18" s="1381" customFormat="1" ht="13.5" thickBot="1">
      <c r="A50" s="973"/>
      <c r="B50" s="976"/>
      <c r="C50" s="1115"/>
      <c r="D50" s="950"/>
      <c r="E50" s="1053" t="s">
        <v>697</v>
      </c>
      <c r="F50" s="1054">
        <f ca="1">F7</f>
        <v>20593.5</v>
      </c>
      <c r="H50" s="720"/>
      <c r="I50" s="1418" t="s">
        <v>826</v>
      </c>
      <c r="J50" s="1426">
        <f>SUMPRODUCT((I63:I65=J47)*(J62:L62=J48)*(J63:L65))</f>
        <v>60</v>
      </c>
      <c r="K50" s="1420" t="s">
        <v>827</v>
      </c>
      <c r="L50" s="1424"/>
      <c r="M50" s="1427"/>
      <c r="O50" s="1425" t="s">
        <v>406</v>
      </c>
      <c r="P50" s="1416" t="s">
        <v>828</v>
      </c>
      <c r="Q50" s="1428">
        <f ca="1">J58</f>
        <v>0.73</v>
      </c>
      <c r="R50" s="1417"/>
    </row>
    <row r="51" spans="1:18" s="1381" customFormat="1" ht="13.5" thickBot="1">
      <c r="A51" s="974"/>
      <c r="B51" s="976"/>
      <c r="C51" s="977"/>
      <c r="D51" s="950"/>
      <c r="E51" s="978" t="s">
        <v>698</v>
      </c>
      <c r="F51" s="303">
        <f ca="1">F8</f>
        <v>365</v>
      </c>
      <c r="I51" s="1429" t="s">
        <v>829</v>
      </c>
      <c r="J51" s="1430">
        <f>IF(J49="",J50,J49+J50-YEAR('数据-取费表'!B2))</f>
        <v>62</v>
      </c>
      <c r="K51" s="1431" t="s">
        <v>830</v>
      </c>
      <c r="L51" s="1432">
        <f ca="1">ROUND(-PV(INDIRECT("'数据-取费表'!h"&amp;$G$1),J51,(C39-C13*C76),0),0)</f>
        <v>3823</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16.36</v>
      </c>
      <c r="R52" s="1417" t="s">
        <v>835</v>
      </c>
    </row>
    <row r="53" spans="1:18" s="1381" customFormat="1" ht="24.75" thickBot="1">
      <c r="A53" s="1149" t="s">
        <v>440</v>
      </c>
      <c r="B53" s="1370" t="s">
        <v>700</v>
      </c>
      <c r="C53" s="316">
        <f ca="1">ROUND(IF(F53="押一",C49/12*F11,IF(F53="押二",C49/12*2*F11,IF(F53="押三",C49/12*3*F11,C54*F11))),0)</f>
        <v>0</v>
      </c>
      <c r="D53" s="1363" t="s">
        <v>2113</v>
      </c>
      <c r="E53" s="313" t="s">
        <v>701</v>
      </c>
      <c r="F53" s="1113"/>
      <c r="I53" s="1436" t="s">
        <v>836</v>
      </c>
      <c r="J53" s="2164">
        <f ca="1">IF(M47="住宅",IF(D1="——",MAX(J51,L48),MAX(J51,L48-'数据-取费表'!B24)),IF(D1="——",MIN(J51,L48),MIN(J51,L48-'数据-取费表'!B24)))</f>
        <v>16.36</v>
      </c>
      <c r="K53" s="3715" t="s">
        <v>837</v>
      </c>
      <c r="L53" s="3716"/>
      <c r="O53" s="1415" t="s">
        <v>409</v>
      </c>
      <c r="P53" s="1416" t="s">
        <v>838</v>
      </c>
      <c r="Q53" s="1417">
        <f ca="1">Q47+Q48</f>
        <v>17762</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0.73</v>
      </c>
      <c r="K55" s="1442" t="s">
        <v>841</v>
      </c>
      <c r="L55" s="1443"/>
      <c r="O55" s="1408" t="s">
        <v>811</v>
      </c>
      <c r="P55" s="1409" t="s">
        <v>812</v>
      </c>
      <c r="Q55" s="1410" t="s">
        <v>813</v>
      </c>
      <c r="R55" s="1410" t="s">
        <v>814</v>
      </c>
    </row>
    <row r="56" spans="1:18" s="1381" customFormat="1" ht="25.5" thickTop="1" thickBot="1">
      <c r="A56" s="954">
        <v>2</v>
      </c>
      <c r="B56" s="955" t="s">
        <v>704</v>
      </c>
      <c r="C56" s="232">
        <f ca="1">C13</f>
        <v>12012</v>
      </c>
      <c r="D56" s="1444"/>
      <c r="E56" s="1445"/>
      <c r="F56" s="1437"/>
      <c r="I56" s="1446" t="s">
        <v>842</v>
      </c>
      <c r="J56" s="1447" t="s">
        <v>3370</v>
      </c>
      <c r="K56" s="1418" t="s">
        <v>843</v>
      </c>
      <c r="L56" s="1421" t="str">
        <f ca="1">IF(L48&lt;J51,"——",L48-J53)</f>
        <v>——</v>
      </c>
      <c r="O56" s="1415" t="s">
        <v>403</v>
      </c>
      <c r="P56" s="1416" t="s">
        <v>817</v>
      </c>
      <c r="Q56" s="1417">
        <f ca="1">C40+J29</f>
        <v>15454</v>
      </c>
      <c r="R56" s="1417" t="s">
        <v>818</v>
      </c>
    </row>
    <row r="57" spans="1:18" s="1381" customFormat="1" ht="24.75" thickBot="1">
      <c r="A57" s="1448"/>
      <c r="B57" s="947" t="s">
        <v>767</v>
      </c>
      <c r="C57" s="238">
        <f ca="1">C29</f>
        <v>12012</v>
      </c>
      <c r="D57" s="1449"/>
      <c r="E57" s="1450"/>
      <c r="F57" s="1451"/>
      <c r="I57" s="1452" t="s">
        <v>844</v>
      </c>
      <c r="J57" s="1453">
        <f ca="1">IF(OR(M47="住宅",J51&lt;L48,J56="是"),"——",J51-L48)</f>
        <v>43.8</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44</v>
      </c>
      <c r="D58" s="957" t="s">
        <v>715</v>
      </c>
      <c r="E58" s="958"/>
      <c r="F58" s="959"/>
      <c r="I58" s="1452" t="s">
        <v>848</v>
      </c>
      <c r="J58" s="1454">
        <f ca="1">IF(J55&lt;0.4,0.4,J55)</f>
        <v>0.73</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2</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8769</v>
      </c>
      <c r="K59" s="141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2308</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3325</v>
      </c>
      <c r="E61" s="947" t="s">
        <v>783</v>
      </c>
      <c r="F61" s="322">
        <f t="shared" si="0"/>
        <v>0.12</v>
      </c>
      <c r="I61" s="1458"/>
      <c r="J61" s="1458"/>
      <c r="K61" s="1458"/>
      <c r="L61" s="1458"/>
      <c r="O61" s="1425" t="s">
        <v>408</v>
      </c>
      <c r="P61" s="1416" t="str">
        <f>K59</f>
        <v>续建工期及建筑物耐用年限下的土地年期修正系数Kn</v>
      </c>
      <c r="Q61" s="1417" t="e">
        <f ca="1">L59</f>
        <v>#DIV/0!</v>
      </c>
      <c r="R61" s="1417" t="s">
        <v>857</v>
      </c>
    </row>
    <row r="62" spans="1:18" s="1381" customFormat="1" ht="13.5" thickBot="1">
      <c r="A62" s="979" t="s">
        <v>784</v>
      </c>
      <c r="B62" s="946" t="s">
        <v>785</v>
      </c>
      <c r="C62" s="22">
        <f ca="1">IF(项目基本情况!B11="自然人","——",ROUND(F62*F63/10000,2))</f>
        <v>2.12</v>
      </c>
      <c r="D62" s="962" t="s">
        <v>786</v>
      </c>
      <c r="E62" s="947" t="s">
        <v>787</v>
      </c>
      <c r="F62" s="325">
        <f t="shared" si="0"/>
        <v>1.5</v>
      </c>
      <c r="I62" s="1459" t="s">
        <v>858</v>
      </c>
      <c r="J62" s="1460" t="s">
        <v>859</v>
      </c>
      <c r="K62" s="1460" t="s">
        <v>860</v>
      </c>
      <c r="L62" s="1460" t="s">
        <v>861</v>
      </c>
      <c r="M62" s="1461" t="s">
        <v>862</v>
      </c>
      <c r="O62" s="1415" t="s">
        <v>409</v>
      </c>
      <c r="P62" s="1416" t="s">
        <v>863</v>
      </c>
      <c r="Q62" s="1417">
        <f ca="1">Q56+Q57</f>
        <v>15454</v>
      </c>
      <c r="R62" s="1417" t="s">
        <v>410</v>
      </c>
    </row>
    <row r="63" spans="1:18" s="1381" customFormat="1" ht="13.5" thickBot="1">
      <c r="A63" s="326"/>
      <c r="B63" s="953"/>
      <c r="C63" s="26"/>
      <c r="D63" s="963"/>
      <c r="E63" s="947" t="s">
        <v>788</v>
      </c>
      <c r="F63" s="303">
        <f t="shared" ca="1" si="0"/>
        <v>14110.95</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24.02</v>
      </c>
      <c r="D64" s="961" t="s">
        <v>791</v>
      </c>
      <c r="E64" s="947" t="s">
        <v>783</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18.02</v>
      </c>
      <c r="D65" s="961" t="s">
        <v>743</v>
      </c>
      <c r="E65" s="947" t="s">
        <v>744</v>
      </c>
      <c r="F65" s="330">
        <f t="shared" ca="1" si="0"/>
        <v>1.5E-3</v>
      </c>
      <c r="I65" s="1459" t="s">
        <v>867</v>
      </c>
      <c r="J65" s="1460">
        <v>40</v>
      </c>
      <c r="K65" s="1460">
        <v>30</v>
      </c>
      <c r="L65" s="1460">
        <v>50</v>
      </c>
      <c r="M65" s="1462">
        <v>0.02</v>
      </c>
      <c r="O65" s="1415" t="s">
        <v>403</v>
      </c>
      <c r="P65" s="1416" t="s">
        <v>868</v>
      </c>
      <c r="Q65" s="1417">
        <f ca="1">C40+J29</f>
        <v>15454</v>
      </c>
      <c r="R65" s="1417" t="s">
        <v>818</v>
      </c>
    </row>
    <row r="66" spans="1:18" s="1381" customFormat="1" ht="16.5" thickBot="1">
      <c r="A66" s="979" t="s">
        <v>793</v>
      </c>
      <c r="B66" s="947" t="s">
        <v>728</v>
      </c>
      <c r="C66" s="21">
        <f ca="1">ROUND(C48*F66,2)</f>
        <v>0</v>
      </c>
      <c r="D66" s="961" t="s">
        <v>794</v>
      </c>
      <c r="E66" s="947" t="s">
        <v>712</v>
      </c>
      <c r="F66" s="312">
        <f t="shared" ca="1" si="0"/>
        <v>2E-3</v>
      </c>
      <c r="O66" s="1415" t="s">
        <v>404</v>
      </c>
      <c r="P66" s="1416" t="s">
        <v>846</v>
      </c>
      <c r="Q66" s="1417">
        <f ca="1">L60</f>
        <v>0</v>
      </c>
      <c r="R66" s="1417" t="s">
        <v>869</v>
      </c>
    </row>
    <row r="67" spans="1:18" s="1381" customFormat="1" ht="16.5" thickBot="1">
      <c r="A67" s="954" t="s">
        <v>394</v>
      </c>
      <c r="B67" s="964" t="s">
        <v>752</v>
      </c>
      <c r="C67" s="316">
        <f ca="1">C48-C58</f>
        <v>-44</v>
      </c>
      <c r="D67" s="960" t="s">
        <v>753</v>
      </c>
      <c r="E67" s="965"/>
      <c r="F67" s="966"/>
      <c r="O67" s="1425" t="s">
        <v>405</v>
      </c>
      <c r="P67" s="1416" t="s">
        <v>850</v>
      </c>
      <c r="Q67" s="1463">
        <f ca="1">L51</f>
        <v>3823</v>
      </c>
      <c r="R67" s="1417" t="s">
        <v>870</v>
      </c>
    </row>
    <row r="68" spans="1:18" s="1381" customFormat="1" ht="16.5" thickBot="1">
      <c r="A68" s="944" t="s">
        <v>395</v>
      </c>
      <c r="B68" s="945" t="s">
        <v>774</v>
      </c>
      <c r="C68" s="301">
        <f ca="1">ROUND(C67*(1-((1+F70)/(1+F68))^F69)/(F68-F70),0)</f>
        <v>-484</v>
      </c>
      <c r="D68" s="962" t="s">
        <v>758</v>
      </c>
      <c r="E68" s="947" t="s">
        <v>759</v>
      </c>
      <c r="F68" s="312">
        <f ca="1">F40</f>
        <v>0.05</v>
      </c>
      <c r="O68" s="1425" t="s">
        <v>406</v>
      </c>
      <c r="P68" s="1464" t="s">
        <v>871</v>
      </c>
      <c r="Q68" s="1417">
        <f ca="1">ROUND(Q69-Q70*Q71,0)</f>
        <v>184</v>
      </c>
      <c r="R68" s="1417" t="s">
        <v>414</v>
      </c>
    </row>
    <row r="69" spans="1:18" s="1381" customFormat="1" ht="13.5" thickBot="1">
      <c r="A69" s="948"/>
      <c r="B69" s="949"/>
      <c r="C69" s="306"/>
      <c r="D69" s="967" t="s">
        <v>762</v>
      </c>
      <c r="E69" s="947" t="s">
        <v>763</v>
      </c>
      <c r="F69" s="333">
        <f ca="1">F41</f>
        <v>16.36</v>
      </c>
      <c r="O69" s="1425" t="s">
        <v>411</v>
      </c>
      <c r="P69" s="1464" t="s">
        <v>872</v>
      </c>
      <c r="Q69" s="1417">
        <f ca="1">C39</f>
        <v>1145</v>
      </c>
      <c r="R69" s="1417" t="s">
        <v>818</v>
      </c>
    </row>
    <row r="70" spans="1:18" s="1381" customFormat="1" ht="13.5" thickBot="1">
      <c r="A70" s="951"/>
      <c r="B70" s="952"/>
      <c r="C70" s="310"/>
      <c r="D70" s="963"/>
      <c r="E70" s="947" t="s">
        <v>766</v>
      </c>
      <c r="F70" s="1051"/>
      <c r="O70" s="1425" t="s">
        <v>412</v>
      </c>
      <c r="P70" s="1464" t="s">
        <v>873</v>
      </c>
      <c r="Q70" s="1417">
        <f ca="1">C13</f>
        <v>12012</v>
      </c>
      <c r="R70" s="1417" t="s">
        <v>818</v>
      </c>
    </row>
    <row r="71" spans="1:18" s="1381" customFormat="1" ht="13.5" thickBot="1">
      <c r="A71" s="968" t="s">
        <v>396</v>
      </c>
      <c r="B71" s="969" t="s">
        <v>776</v>
      </c>
      <c r="C71" s="336">
        <f ca="1">ROUND(C68*10000/F71,0)</f>
        <v>-235</v>
      </c>
      <c r="D71" s="970" t="s">
        <v>777</v>
      </c>
      <c r="E71" s="971" t="s">
        <v>778</v>
      </c>
      <c r="F71" s="339">
        <f ca="1">F43</f>
        <v>20593.5</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续建工期及建筑物耐用年限下的土地年期修正系数Kn</v>
      </c>
      <c r="Q74" s="1417" t="e">
        <f ca="1">L59</f>
        <v>#DIV/0!</v>
      </c>
      <c r="R74" s="1417" t="s">
        <v>857</v>
      </c>
    </row>
    <row r="75" spans="1:18" ht="13.5" thickBot="1">
      <c r="A75" s="1381"/>
      <c r="B75" s="340" t="s">
        <v>795</v>
      </c>
      <c r="C75" s="341">
        <f ca="1">ROUND(C13*C76,0)</f>
        <v>961</v>
      </c>
      <c r="D75" s="1381"/>
      <c r="E75" s="1381"/>
      <c r="F75" s="1381"/>
      <c r="K75" s="1399"/>
      <c r="L75" s="1381"/>
      <c r="O75" s="1415" t="s">
        <v>409</v>
      </c>
      <c r="P75" s="1416" t="s">
        <v>838</v>
      </c>
      <c r="Q75" s="1417">
        <f ca="1">Q65+Q66</f>
        <v>15454</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0.16100000000000003</v>
      </c>
    </row>
    <row r="80" spans="1:18">
      <c r="B80" s="340" t="s">
        <v>800</v>
      </c>
      <c r="C80" s="274">
        <f ca="1">ROUND(C75/C39,3)</f>
        <v>0.83899999999999997</v>
      </c>
    </row>
    <row r="81" spans="2:3">
      <c r="B81" s="270" t="s">
        <v>801</v>
      </c>
      <c r="C81" s="238"/>
    </row>
    <row r="82" spans="2:3">
      <c r="B82" s="273" t="s">
        <v>802</v>
      </c>
      <c r="C82" s="275">
        <f ca="1">1-C83</f>
        <v>0.22299999999999998</v>
      </c>
    </row>
    <row r="83" spans="2:3">
      <c r="B83" s="273" t="s">
        <v>803</v>
      </c>
      <c r="C83" s="274">
        <f ca="1">ROUND(C13/C40,3)</f>
        <v>0.77700000000000002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election activeCell="H22" sqref="H22"/>
    </sheetView>
  </sheetViews>
  <sheetFormatPr defaultRowHeight="13.5"/>
  <cols>
    <col min="1" max="1" width="9" style="3458"/>
    <col min="2" max="2" width="10.5" style="3458" bestFit="1" customWidth="1"/>
    <col min="3" max="16384" width="9" style="3458"/>
  </cols>
  <sheetData>
    <row r="1" spans="1:4">
      <c r="A1" s="3457" t="s">
        <v>3573</v>
      </c>
    </row>
    <row r="2" spans="1:4">
      <c r="A2" s="3457" t="s">
        <v>3574</v>
      </c>
      <c r="B2" s="3457" t="s">
        <v>3575</v>
      </c>
    </row>
    <row r="3" spans="1:4">
      <c r="A3" s="3457" t="s">
        <v>3576</v>
      </c>
      <c r="B3" s="3458">
        <v>17315.577000000001</v>
      </c>
    </row>
    <row r="4" spans="1:4">
      <c r="A4" s="3457" t="s">
        <v>3577</v>
      </c>
      <c r="B4" s="3457" t="s">
        <v>3578</v>
      </c>
    </row>
    <row r="5" spans="1:4">
      <c r="A5" s="3457" t="s">
        <v>672</v>
      </c>
      <c r="B5" s="3457" t="s">
        <v>3579</v>
      </c>
    </row>
    <row r="6" spans="1:4">
      <c r="A6" s="3457" t="s">
        <v>3580</v>
      </c>
      <c r="B6" s="3457" t="s">
        <v>3581</v>
      </c>
    </row>
    <row r="7" spans="1:4">
      <c r="A7" s="3457" t="s">
        <v>3582</v>
      </c>
      <c r="B7" s="3458">
        <v>20</v>
      </c>
      <c r="C7" s="3457" t="s">
        <v>3583</v>
      </c>
    </row>
    <row r="8" spans="1:4">
      <c r="A8" s="3457" t="s">
        <v>3584</v>
      </c>
      <c r="B8" s="3458">
        <v>685.7</v>
      </c>
      <c r="C8" s="3457" t="s">
        <v>3585</v>
      </c>
      <c r="D8" s="3457" t="s">
        <v>3586</v>
      </c>
    </row>
    <row r="9" spans="1:4">
      <c r="A9" s="3457" t="s">
        <v>3587</v>
      </c>
      <c r="B9" s="3458">
        <v>330</v>
      </c>
      <c r="C9" s="3457" t="s">
        <v>3588</v>
      </c>
    </row>
    <row r="10" spans="1:4">
      <c r="A10" s="3457" t="s">
        <v>3589</v>
      </c>
      <c r="B10" s="3457" t="s">
        <v>3579</v>
      </c>
    </row>
    <row r="11" spans="1:4">
      <c r="A11" s="3457" t="s">
        <v>3590</v>
      </c>
      <c r="B11" s="3457">
        <v>20778.6924</v>
      </c>
      <c r="C11" s="3457" t="s">
        <v>3591</v>
      </c>
      <c r="D11" s="3457" t="s">
        <v>3586</v>
      </c>
    </row>
    <row r="12" spans="1:4">
      <c r="A12" s="3457" t="s">
        <v>3592</v>
      </c>
      <c r="B12" s="3457">
        <v>1.2</v>
      </c>
    </row>
    <row r="13" spans="1:4">
      <c r="A13" s="3457" t="s">
        <v>3593</v>
      </c>
      <c r="B13" s="3457">
        <v>24</v>
      </c>
    </row>
    <row r="14" spans="1:4">
      <c r="A14" s="3457" t="s">
        <v>3594</v>
      </c>
      <c r="B14" s="3463">
        <v>44804</v>
      </c>
    </row>
    <row r="15" spans="1:4">
      <c r="A15" s="3457" t="s">
        <v>3595</v>
      </c>
      <c r="B15" s="3463">
        <v>45899</v>
      </c>
    </row>
    <row r="16" spans="1:4">
      <c r="A16" s="3457" t="s">
        <v>3596</v>
      </c>
      <c r="B16" s="3463">
        <v>44414</v>
      </c>
    </row>
    <row r="18" spans="1:5">
      <c r="A18" s="3457" t="s">
        <v>3597</v>
      </c>
      <c r="B18" s="3457" t="s">
        <v>3598</v>
      </c>
      <c r="D18" s="3457" t="s">
        <v>3599</v>
      </c>
      <c r="E18" s="3458">
        <v>1219302</v>
      </c>
    </row>
    <row r="19" spans="1:5">
      <c r="A19" s="3457" t="s">
        <v>3584</v>
      </c>
      <c r="B19" s="3464">
        <v>4064.34</v>
      </c>
      <c r="E19" s="3458">
        <v>121.9302</v>
      </c>
    </row>
    <row r="20" spans="1:5">
      <c r="A20" s="3457" t="s">
        <v>3596</v>
      </c>
      <c r="B20" s="3463">
        <v>44414</v>
      </c>
    </row>
    <row r="22" spans="1:5">
      <c r="A22" s="3457" t="s">
        <v>3600</v>
      </c>
    </row>
    <row r="23" spans="1:5">
      <c r="A23" s="3457" t="s">
        <v>3601</v>
      </c>
      <c r="B23" s="3457" t="s">
        <v>3602</v>
      </c>
    </row>
    <row r="24" spans="1:5">
      <c r="A24" s="3457" t="s">
        <v>3603</v>
      </c>
      <c r="B24" s="3458">
        <v>2.6</v>
      </c>
      <c r="C24" s="3457" t="s">
        <v>3604</v>
      </c>
    </row>
    <row r="26" spans="1:5">
      <c r="A26" s="3457" t="s">
        <v>3605</v>
      </c>
      <c r="B26" s="3463">
        <v>44414</v>
      </c>
    </row>
    <row r="27" spans="1:5">
      <c r="B27" s="3463">
        <v>51718</v>
      </c>
    </row>
    <row r="29" spans="1:5">
      <c r="A29" s="3457" t="s">
        <v>3606</v>
      </c>
      <c r="B29" s="3458">
        <v>14673.160746</v>
      </c>
      <c r="C29" s="3457" t="s">
        <v>3607</v>
      </c>
    </row>
    <row r="36" spans="4:5">
      <c r="E36" s="3457" t="s">
        <v>3608</v>
      </c>
    </row>
    <row r="37" spans="4:5">
      <c r="D37" s="3457" t="s">
        <v>3609</v>
      </c>
      <c r="E37" s="3458">
        <v>6</v>
      </c>
    </row>
    <row r="38" spans="4:5">
      <c r="D38" s="3457" t="s">
        <v>3610</v>
      </c>
      <c r="E38" s="3458">
        <v>4</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54" sqref="G54"/>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8</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717" t="s">
        <v>694</v>
      </c>
      <c r="C6" s="1071">
        <f ca="1">ROUND(F6*F8*F7*(1-F9),0)</f>
        <v>0</v>
      </c>
      <c r="D6" s="155" t="s">
        <v>2103</v>
      </c>
      <c r="E6" s="302" t="s">
        <v>696</v>
      </c>
      <c r="F6" s="303">
        <f ca="1">INDIRECT("'数据-取费表'!u"&amp;$G$1)</f>
        <v>0</v>
      </c>
      <c r="G6" s="1381"/>
      <c r="H6" s="1066" t="s">
        <v>398</v>
      </c>
      <c r="I6" s="3717" t="s">
        <v>694</v>
      </c>
      <c r="J6" s="301">
        <f ca="1">ROUND(M6*M8*M7*(1-M9),0)</f>
        <v>0</v>
      </c>
      <c r="K6" s="1373" t="s">
        <v>2104</v>
      </c>
      <c r="L6" s="302" t="s">
        <v>696</v>
      </c>
      <c r="M6" s="303">
        <f ca="1">INDIRECT("'数据-取费表'!z"&amp;$G$1)</f>
        <v>0</v>
      </c>
    </row>
    <row r="7" spans="1:37" ht="18" customHeight="1">
      <c r="A7" s="1070"/>
      <c r="B7" s="3718"/>
      <c r="C7" s="1072"/>
      <c r="D7" s="307"/>
      <c r="E7" s="1073" t="s">
        <v>697</v>
      </c>
      <c r="F7" s="303">
        <f ca="1">IF(INDIRECT("'数据-取费表'!ah"&amp;$G$1)="",INDIRECT("'数据-取费表'!k"&amp;$G$1),INDIRECT("'数据-取费表'!ah"&amp;$G$1))</f>
        <v>0</v>
      </c>
      <c r="G7" s="1381"/>
      <c r="H7" s="304"/>
      <c r="I7" s="3718"/>
      <c r="J7" s="306"/>
      <c r="K7" s="307"/>
      <c r="L7" s="302" t="s">
        <v>697</v>
      </c>
      <c r="M7" s="303">
        <f ca="1">F7</f>
        <v>0</v>
      </c>
    </row>
    <row r="8" spans="1:37" ht="18" customHeight="1">
      <c r="A8" s="304"/>
      <c r="B8" s="3718"/>
      <c r="C8" s="306"/>
      <c r="D8" s="307"/>
      <c r="E8" s="302" t="s">
        <v>698</v>
      </c>
      <c r="F8" s="303">
        <f ca="1">INDIRECT("'数据-取费表'!ai"&amp;$G$1)</f>
        <v>0</v>
      </c>
      <c r="G8" s="1381"/>
      <c r="H8" s="304"/>
      <c r="I8" s="3718"/>
      <c r="J8" s="306"/>
      <c r="K8" s="307"/>
      <c r="L8" s="302" t="s">
        <v>698</v>
      </c>
      <c r="M8" s="303">
        <f ca="1">INDIRECT("'数据-取费表'!ai"&amp;$G$1)</f>
        <v>0</v>
      </c>
    </row>
    <row r="9" spans="1:37" ht="18" customHeight="1">
      <c r="A9" s="304"/>
      <c r="B9" s="3719"/>
      <c r="C9" s="306"/>
      <c r="D9" s="307"/>
      <c r="E9" s="302" t="s">
        <v>699</v>
      </c>
      <c r="F9" s="312">
        <f ca="1">INDIRECT("'数据-取费表'!w"&amp;$G$1)</f>
        <v>0</v>
      </c>
      <c r="G9" s="1381"/>
      <c r="H9" s="304"/>
      <c r="I9" s="371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2113</v>
      </c>
      <c r="E10" s="313" t="s">
        <v>701</v>
      </c>
      <c r="F10" s="1113" t="s">
        <v>3405</v>
      </c>
      <c r="G10" s="1381"/>
      <c r="H10" s="1066" t="s">
        <v>402</v>
      </c>
      <c r="I10" s="1362" t="s">
        <v>700</v>
      </c>
      <c r="J10" s="301">
        <f ca="1">ROUND(IF(M10="押一",J6/12*M11,IF(M10="押二",J6/12*2*M11,IF(M10="押三",J6/12*3*M11,J11*M11))),0)</f>
        <v>0</v>
      </c>
      <c r="K10" s="1374" t="s">
        <v>2115</v>
      </c>
      <c r="L10" s="313" t="s">
        <v>701</v>
      </c>
      <c r="M10" s="1113" t="s">
        <v>3405</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150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3325</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2294</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5.5000000000000007E-2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3325</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3341</v>
      </c>
      <c r="B45" s="1397"/>
      <c r="C45" s="1469" t="e">
        <f ca="1">ROUND((C68-C40)/10000,4)</f>
        <v>#DIV/0!</v>
      </c>
      <c r="D45" s="3423" t="s">
        <v>3342</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3406</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3407</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2116</v>
      </c>
      <c r="E53" s="313" t="s">
        <v>701</v>
      </c>
      <c r="F53" s="1113"/>
      <c r="I53" s="1436" t="s">
        <v>836</v>
      </c>
      <c r="J53" s="2164">
        <f ca="1">IF(M47="住宅",IF(D1="——",MAX(J51,L48),MAX(J51,L48-'数据-取费表'!B24)),IF(D1="——",MIN(J51,L48),MIN(J51,L48-'数据-取费表'!B24)))</f>
        <v>-1963</v>
      </c>
      <c r="K53" s="3715" t="s">
        <v>837</v>
      </c>
      <c r="L53" s="3716"/>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3370</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2422</v>
      </c>
      <c r="B1" s="2823"/>
      <c r="C1" s="2835"/>
      <c r="D1" s="2835"/>
      <c r="E1" s="2824"/>
      <c r="F1" s="2825"/>
      <c r="G1" s="2826"/>
      <c r="J1" s="2829" t="s">
        <v>2301</v>
      </c>
      <c r="K1" s="2830"/>
      <c r="L1" s="2830"/>
      <c r="M1" s="2830"/>
      <c r="N1" s="2830"/>
      <c r="O1" s="2830"/>
      <c r="P1" s="2830"/>
      <c r="Q1" s="2830"/>
      <c r="R1" s="2831"/>
      <c r="S1" s="2832"/>
      <c r="T1" s="2832"/>
      <c r="U1" s="2832"/>
    </row>
    <row r="2" spans="1:22" s="2844" customFormat="1" ht="13.15" customHeight="1">
      <c r="A2" s="1382" t="s">
        <v>2302</v>
      </c>
      <c r="B2" s="2834" t="e">
        <f>IF(D2="——",C40,C40+E2)</f>
        <v>#DIV/0!</v>
      </c>
      <c r="C2" s="2835" t="s">
        <v>2303</v>
      </c>
      <c r="D2" s="3434" t="s">
        <v>3347</v>
      </c>
      <c r="E2" s="3435"/>
      <c r="F2" s="2837"/>
      <c r="G2" s="2838"/>
      <c r="H2" s="2839"/>
      <c r="I2" s="2840"/>
      <c r="J2" s="3720" t="s">
        <v>2304</v>
      </c>
      <c r="K2" s="3721"/>
      <c r="L2" s="2841" t="s">
        <v>2305</v>
      </c>
      <c r="M2" s="2841" t="s">
        <v>2306</v>
      </c>
      <c r="N2" s="2841" t="s">
        <v>2307</v>
      </c>
      <c r="O2" s="2841" t="s">
        <v>2308</v>
      </c>
      <c r="P2" s="2841" t="s">
        <v>2309</v>
      </c>
      <c r="Q2" s="2842" t="s">
        <v>2310</v>
      </c>
      <c r="R2" s="2843" t="s">
        <v>2311</v>
      </c>
      <c r="S2" s="2832"/>
      <c r="T2" s="2832"/>
      <c r="U2" s="2832"/>
      <c r="V2" s="2840"/>
    </row>
    <row r="3" spans="1:22" s="2844" customFormat="1" ht="13.15" customHeight="1">
      <c r="A3" s="2845" t="s">
        <v>2312</v>
      </c>
      <c r="B3" s="2846" t="e">
        <f>ROUND(B2*10000/B4,0)</f>
        <v>#DIV/0!</v>
      </c>
      <c r="C3" s="2835" t="s">
        <v>2313</v>
      </c>
      <c r="D3" s="2835"/>
      <c r="E3" s="2836"/>
      <c r="F3" s="2837"/>
      <c r="G3" s="2838"/>
      <c r="H3" s="2839"/>
      <c r="I3" s="2840"/>
      <c r="J3" s="3722" t="s">
        <v>2314</v>
      </c>
      <c r="K3" s="3723"/>
      <c r="L3" s="2847"/>
      <c r="M3" s="2847"/>
      <c r="N3" s="2847"/>
      <c r="O3" s="2847"/>
      <c r="P3" s="2847"/>
      <c r="Q3" s="2848"/>
      <c r="R3" s="2849">
        <f>SUM(L3:Q3)</f>
        <v>0</v>
      </c>
      <c r="S3" s="2832"/>
      <c r="T3" s="2832"/>
      <c r="U3" s="2832"/>
      <c r="V3" s="2840"/>
    </row>
    <row r="4" spans="1:22" s="2844" customFormat="1" ht="13.15" customHeight="1">
      <c r="A4" s="2850" t="s">
        <v>2315</v>
      </c>
      <c r="B4" s="2851"/>
      <c r="C4" s="2835"/>
      <c r="D4" s="2835"/>
      <c r="E4" s="2836"/>
      <c r="F4" s="2837"/>
      <c r="G4" s="2838"/>
      <c r="H4" s="2839"/>
      <c r="I4" s="2840"/>
      <c r="J4" s="3722" t="s">
        <v>2316</v>
      </c>
      <c r="K4" s="3723"/>
      <c r="L4" s="2852"/>
      <c r="M4" s="2852"/>
      <c r="N4" s="2852"/>
      <c r="O4" s="2852"/>
      <c r="P4" s="2852"/>
      <c r="Q4" s="2853"/>
      <c r="R4" s="2854">
        <f>SUM(L4:Q4)</f>
        <v>0</v>
      </c>
      <c r="S4" s="2832"/>
      <c r="T4" s="2832"/>
      <c r="U4" s="2832"/>
      <c r="V4" s="2840"/>
    </row>
    <row r="5" spans="1:22" s="2844" customFormat="1" ht="13.15" customHeight="1" thickBot="1">
      <c r="A5" s="2855" t="s">
        <v>2317</v>
      </c>
      <c r="B5" s="2856"/>
      <c r="C5" s="2835"/>
      <c r="D5" s="2857"/>
      <c r="E5" s="2837"/>
      <c r="F5" s="2837"/>
      <c r="G5" s="2838"/>
      <c r="H5" s="2839"/>
      <c r="I5" s="2840"/>
      <c r="J5" s="2858" t="s">
        <v>2318</v>
      </c>
      <c r="K5" s="2859"/>
      <c r="L5" s="2859"/>
      <c r="M5" s="2860"/>
      <c r="N5" s="2860"/>
      <c r="O5" s="2860"/>
      <c r="P5" s="2860"/>
      <c r="Q5" s="2860"/>
      <c r="R5" s="2843">
        <f>SUM(R14,R19,R24,R25,R27,R28)</f>
        <v>0</v>
      </c>
      <c r="S5" s="2832"/>
      <c r="T5" s="2832" t="s">
        <v>2319</v>
      </c>
      <c r="U5" s="2832" t="e">
        <f>ROUND(R5*10000/365/R3,1)</f>
        <v>#DIV/0!</v>
      </c>
      <c r="V5" s="2840"/>
    </row>
    <row r="6" spans="1:22" s="2844" customFormat="1" ht="13.15" customHeight="1" thickBot="1">
      <c r="A6" s="3724" t="s">
        <v>2320</v>
      </c>
      <c r="B6" s="3725"/>
      <c r="C6" s="3726"/>
      <c r="D6" s="2861"/>
      <c r="E6" s="2862"/>
      <c r="F6" s="2863"/>
      <c r="G6" s="2864"/>
      <c r="H6" s="2839"/>
      <c r="I6" s="2840"/>
      <c r="J6" s="3727">
        <v>1</v>
      </c>
      <c r="K6" s="3728" t="s">
        <v>2321</v>
      </c>
      <c r="L6" s="2865" t="s">
        <v>2322</v>
      </c>
      <c r="M6" s="2866" t="s">
        <v>2323</v>
      </c>
      <c r="N6" s="2866" t="s">
        <v>2324</v>
      </c>
      <c r="O6" s="2866" t="s">
        <v>2325</v>
      </c>
      <c r="P6" s="2866" t="s">
        <v>2326</v>
      </c>
      <c r="Q6" s="2866" t="s">
        <v>2327</v>
      </c>
      <c r="R6" s="2849" t="s">
        <v>2328</v>
      </c>
      <c r="S6" s="2832"/>
      <c r="T6" s="2832" t="s">
        <v>2329</v>
      </c>
      <c r="U6" s="2832"/>
      <c r="V6" s="2840"/>
    </row>
    <row r="7" spans="1:22" s="2844" customFormat="1" ht="13.15" customHeight="1">
      <c r="A7" s="2867" t="s">
        <v>2330</v>
      </c>
      <c r="B7" s="2868"/>
      <c r="C7" s="2869"/>
      <c r="D7" s="2870">
        <f>SUM(D9,D10,D11,D17,0)</f>
        <v>0</v>
      </c>
      <c r="E7" s="2871" t="e">
        <f>E9+E10+E11+E17</f>
        <v>#DIV/0!</v>
      </c>
      <c r="F7" s="2872"/>
      <c r="G7" s="2873"/>
      <c r="H7" s="2839"/>
      <c r="I7" s="2840"/>
      <c r="J7" s="3727"/>
      <c r="K7" s="3729"/>
      <c r="L7" s="2874" t="s">
        <v>2331</v>
      </c>
      <c r="M7" s="2875"/>
      <c r="N7" s="2851"/>
      <c r="O7" s="2876"/>
      <c r="P7" s="2876"/>
      <c r="Q7" s="2877">
        <v>365</v>
      </c>
      <c r="R7" s="2878">
        <f>ROUND(M7*N7*O7*P7*Q7/10000,0)</f>
        <v>0</v>
      </c>
      <c r="S7" s="2832"/>
      <c r="T7" s="2832" t="s">
        <v>2332</v>
      </c>
      <c r="U7" s="2832"/>
      <c r="V7" s="2840"/>
    </row>
    <row r="8" spans="1:22" s="2844" customFormat="1" ht="13.15" customHeight="1">
      <c r="A8" s="2879" t="s">
        <v>2333</v>
      </c>
      <c r="B8" s="3731" t="s">
        <v>2334</v>
      </c>
      <c r="C8" s="3732"/>
      <c r="D8" s="2880" t="s">
        <v>2335</v>
      </c>
      <c r="E8" s="2881" t="s">
        <v>2336</v>
      </c>
      <c r="F8" s="2882" t="s">
        <v>2337</v>
      </c>
      <c r="G8" s="2883"/>
      <c r="H8" s="2839"/>
      <c r="I8" s="2840"/>
      <c r="J8" s="3727"/>
      <c r="K8" s="3729"/>
      <c r="L8" s="2874" t="s">
        <v>2338</v>
      </c>
      <c r="M8" s="2875"/>
      <c r="N8" s="2851"/>
      <c r="O8" s="2876"/>
      <c r="P8" s="2876"/>
      <c r="Q8" s="2877">
        <v>365</v>
      </c>
      <c r="R8" s="2878">
        <f t="shared" ref="R8:R13" si="0">ROUND(M8*N8*O8*P8*Q8/10000,0)</f>
        <v>0</v>
      </c>
      <c r="S8" s="2832"/>
      <c r="T8" s="2832" t="s">
        <v>2339</v>
      </c>
      <c r="U8" s="2832"/>
      <c r="V8" s="2840"/>
    </row>
    <row r="9" spans="1:22" s="2844" customFormat="1" ht="13.15" customHeight="1">
      <c r="A9" s="2879">
        <v>1</v>
      </c>
      <c r="B9" s="3731" t="s">
        <v>2340</v>
      </c>
      <c r="C9" s="3732"/>
      <c r="D9" s="2880">
        <f>ROUND(D6*E9,0)</f>
        <v>0</v>
      </c>
      <c r="E9" s="2884"/>
      <c r="F9" s="2885" t="s">
        <v>2341</v>
      </c>
      <c r="G9" s="2864"/>
      <c r="H9" s="2839"/>
      <c r="I9" s="2840"/>
      <c r="J9" s="3727"/>
      <c r="K9" s="3729"/>
      <c r="L9" s="2874" t="s">
        <v>2342</v>
      </c>
      <c r="M9" s="2875"/>
      <c r="N9" s="2851"/>
      <c r="O9" s="2876"/>
      <c r="P9" s="2876"/>
      <c r="Q9" s="2877">
        <v>365</v>
      </c>
      <c r="R9" s="2878">
        <f t="shared" si="0"/>
        <v>0</v>
      </c>
      <c r="S9" s="2832"/>
      <c r="T9" s="2832"/>
      <c r="U9" s="2832"/>
      <c r="V9" s="2840"/>
    </row>
    <row r="10" spans="1:22" s="2844" customFormat="1" ht="13.15" customHeight="1">
      <c r="A10" s="2879">
        <v>2</v>
      </c>
      <c r="B10" s="3731" t="s">
        <v>2343</v>
      </c>
      <c r="C10" s="3732"/>
      <c r="D10" s="2880">
        <f>ROUND(D6*E10,0)</f>
        <v>0</v>
      </c>
      <c r="E10" s="2884"/>
      <c r="F10" s="2885" t="s">
        <v>2344</v>
      </c>
      <c r="G10" s="2864"/>
      <c r="H10" s="2839"/>
      <c r="I10" s="2840"/>
      <c r="J10" s="3727"/>
      <c r="K10" s="3729"/>
      <c r="L10" s="2874" t="s">
        <v>2345</v>
      </c>
      <c r="M10" s="2875"/>
      <c r="N10" s="2851"/>
      <c r="O10" s="2876"/>
      <c r="P10" s="2876"/>
      <c r="Q10" s="2877">
        <v>365</v>
      </c>
      <c r="R10" s="2878">
        <f t="shared" si="0"/>
        <v>0</v>
      </c>
      <c r="S10" s="2832"/>
      <c r="T10" s="2832"/>
      <c r="U10" s="2832"/>
      <c r="V10" s="2840"/>
    </row>
    <row r="11" spans="1:22" s="2844" customFormat="1" ht="13.15" customHeight="1">
      <c r="A11" s="2879">
        <v>3</v>
      </c>
      <c r="B11" s="3731" t="s">
        <v>2346</v>
      </c>
      <c r="C11" s="3732"/>
      <c r="D11" s="2880">
        <f>D12+D14+D15+D16</f>
        <v>0</v>
      </c>
      <c r="E11" s="2886" t="e">
        <f>D11/D6</f>
        <v>#DIV/0!</v>
      </c>
      <c r="F11" s="2882"/>
      <c r="G11" s="2883"/>
      <c r="H11" s="2839"/>
      <c r="I11" s="2840"/>
      <c r="J11" s="3727"/>
      <c r="K11" s="3729"/>
      <c r="L11" s="2874" t="s">
        <v>2347</v>
      </c>
      <c r="M11" s="2875"/>
      <c r="N11" s="2851"/>
      <c r="O11" s="2876"/>
      <c r="P11" s="2876"/>
      <c r="Q11" s="2877">
        <v>365</v>
      </c>
      <c r="R11" s="2878">
        <f t="shared" si="0"/>
        <v>0</v>
      </c>
      <c r="S11" s="2832"/>
      <c r="T11" s="2832"/>
      <c r="U11" s="2832"/>
      <c r="V11" s="2840"/>
    </row>
    <row r="12" spans="1:22" s="2844" customFormat="1" ht="13.15" customHeight="1">
      <c r="A12" s="2887" t="s">
        <v>2348</v>
      </c>
      <c r="B12" s="3733" t="s">
        <v>2349</v>
      </c>
      <c r="C12" s="3734"/>
      <c r="D12" s="2888">
        <f>ROUND(D13*1.2%*(1-30%),0)</f>
        <v>0</v>
      </c>
      <c r="E12" s="2889">
        <v>1.2E-2</v>
      </c>
      <c r="F12" s="2882" t="s">
        <v>2350</v>
      </c>
      <c r="G12" s="2883"/>
      <c r="H12" s="2839"/>
      <c r="I12" s="2840"/>
      <c r="J12" s="3727"/>
      <c r="K12" s="3729"/>
      <c r="L12" s="2874" t="s">
        <v>2351</v>
      </c>
      <c r="M12" s="2875"/>
      <c r="N12" s="2851"/>
      <c r="O12" s="2876"/>
      <c r="P12" s="2876"/>
      <c r="Q12" s="2877">
        <v>365</v>
      </c>
      <c r="R12" s="2878">
        <f t="shared" si="0"/>
        <v>0</v>
      </c>
      <c r="S12" s="2832"/>
      <c r="T12" s="2832"/>
      <c r="U12" s="2832"/>
      <c r="V12" s="2840"/>
    </row>
    <row r="13" spans="1:22" s="2844" customFormat="1" ht="13.15" customHeight="1">
      <c r="A13" s="2887"/>
      <c r="B13" s="2890"/>
      <c r="C13" s="2891" t="s">
        <v>2352</v>
      </c>
      <c r="D13" s="2892"/>
      <c r="E13" s="2893"/>
      <c r="F13" s="2882"/>
      <c r="G13" s="2883"/>
      <c r="H13" s="2839"/>
      <c r="I13" s="2840"/>
      <c r="J13" s="3727"/>
      <c r="K13" s="3729"/>
      <c r="L13" s="2874" t="s">
        <v>2353</v>
      </c>
      <c r="M13" s="2875"/>
      <c r="N13" s="2851"/>
      <c r="O13" s="2876"/>
      <c r="P13" s="2876"/>
      <c r="Q13" s="2877">
        <v>365</v>
      </c>
      <c r="R13" s="2878">
        <f t="shared" si="0"/>
        <v>0</v>
      </c>
      <c r="S13" s="2832"/>
      <c r="T13" s="2832"/>
      <c r="U13" s="2832"/>
      <c r="V13" s="2840"/>
    </row>
    <row r="14" spans="1:22" s="2844" customFormat="1" ht="13.15" customHeight="1">
      <c r="A14" s="2887" t="s">
        <v>2354</v>
      </c>
      <c r="B14" s="3733" t="s">
        <v>2355</v>
      </c>
      <c r="C14" s="3734"/>
      <c r="D14" s="2888">
        <f>ROUND(E14*B5/10000,0)</f>
        <v>0</v>
      </c>
      <c r="E14" s="2877"/>
      <c r="F14" s="2882" t="s">
        <v>2356</v>
      </c>
      <c r="G14" s="2883"/>
      <c r="H14" s="2839"/>
      <c r="I14" s="2840"/>
      <c r="J14" s="3727"/>
      <c r="K14" s="3730"/>
      <c r="L14" s="2894" t="s">
        <v>2357</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2358</v>
      </c>
      <c r="B15" s="3733" t="s">
        <v>2359</v>
      </c>
      <c r="C15" s="3734"/>
      <c r="D15" s="2888">
        <f>ROUND(D6*E15,0)</f>
        <v>0</v>
      </c>
      <c r="E15" s="2889">
        <v>5.5E-2</v>
      </c>
      <c r="F15" s="2882" t="s">
        <v>2360</v>
      </c>
      <c r="G15" s="2864"/>
      <c r="H15" s="2839"/>
      <c r="I15" s="2840"/>
      <c r="J15" s="3727">
        <v>2</v>
      </c>
      <c r="K15" s="3728" t="s">
        <v>2361</v>
      </c>
      <c r="L15" s="2874" t="s">
        <v>2362</v>
      </c>
      <c r="M15" s="2875" t="s">
        <v>2363</v>
      </c>
      <c r="N15" s="2875" t="s">
        <v>2364</v>
      </c>
      <c r="O15" s="2876" t="s">
        <v>2365</v>
      </c>
      <c r="P15" s="2876" t="s">
        <v>2327</v>
      </c>
      <c r="Q15" s="2851" t="s">
        <v>2366</v>
      </c>
      <c r="R15" s="2898" t="s">
        <v>2328</v>
      </c>
      <c r="S15" s="2832"/>
      <c r="T15" s="2832"/>
      <c r="U15" s="2832"/>
      <c r="V15" s="2840"/>
    </row>
    <row r="16" spans="1:22" s="2844" customFormat="1" ht="13.15" customHeight="1">
      <c r="A16" s="2887" t="s">
        <v>2367</v>
      </c>
      <c r="B16" s="3733" t="s">
        <v>2368</v>
      </c>
      <c r="C16" s="3734"/>
      <c r="D16" s="2899">
        <f>D6*E16</f>
        <v>0</v>
      </c>
      <c r="E16" s="2900"/>
      <c r="F16" s="2885" t="s">
        <v>2369</v>
      </c>
      <c r="G16" s="2864"/>
      <c r="H16" s="2839"/>
      <c r="I16" s="2840"/>
      <c r="J16" s="3727"/>
      <c r="K16" s="3729"/>
      <c r="L16" s="2874" t="s">
        <v>2370</v>
      </c>
      <c r="M16" s="2875"/>
      <c r="N16" s="2875"/>
      <c r="O16" s="2876"/>
      <c r="P16" s="2877">
        <v>365</v>
      </c>
      <c r="Q16" s="2851"/>
      <c r="R16" s="2898">
        <f>ROUND(M16*N16*O16*P16/10000,0)</f>
        <v>0</v>
      </c>
      <c r="S16" s="2832"/>
      <c r="T16" s="2832"/>
      <c r="U16" s="2832"/>
      <c r="V16" s="2840"/>
    </row>
    <row r="17" spans="1:22" s="2844" customFormat="1" ht="13.15" customHeight="1" thickBot="1">
      <c r="A17" s="2901">
        <v>4</v>
      </c>
      <c r="B17" s="3735" t="s">
        <v>2371</v>
      </c>
      <c r="C17" s="3736"/>
      <c r="D17" s="2902">
        <f>ROUND(D6*E17,0)</f>
        <v>0</v>
      </c>
      <c r="E17" s="2903"/>
      <c r="F17" s="2904" t="s">
        <v>2372</v>
      </c>
      <c r="G17" s="2864"/>
      <c r="H17" s="2839"/>
      <c r="I17" s="2840"/>
      <c r="J17" s="3727"/>
      <c r="K17" s="3729"/>
      <c r="L17" s="2874" t="s">
        <v>2373</v>
      </c>
      <c r="M17" s="2875"/>
      <c r="N17" s="2875"/>
      <c r="O17" s="2876"/>
      <c r="P17" s="2877">
        <v>365</v>
      </c>
      <c r="Q17" s="2851"/>
      <c r="R17" s="2898">
        <f>ROUND(M17*N17*O17*P17/10000,0)</f>
        <v>0</v>
      </c>
      <c r="S17" s="2832"/>
      <c r="T17" s="2832"/>
      <c r="U17" s="2832"/>
      <c r="V17" s="2840"/>
    </row>
    <row r="18" spans="1:22" s="2844" customFormat="1" ht="13.15" customHeight="1" thickBot="1">
      <c r="A18" s="2867" t="s">
        <v>2374</v>
      </c>
      <c r="B18" s="2868"/>
      <c r="C18" s="2868"/>
      <c r="D18" s="2905">
        <f>ROUND(D6*E18,0)</f>
        <v>0</v>
      </c>
      <c r="E18" s="2906"/>
      <c r="F18" s="2907" t="s">
        <v>2375</v>
      </c>
      <c r="G18" s="2864"/>
      <c r="H18" s="2839"/>
      <c r="I18" s="2840"/>
      <c r="J18" s="3727"/>
      <c r="K18" s="3729"/>
      <c r="L18" s="2874" t="s">
        <v>2376</v>
      </c>
      <c r="M18" s="2875"/>
      <c r="N18" s="2875"/>
      <c r="O18" s="2876"/>
      <c r="P18" s="2877">
        <v>365</v>
      </c>
      <c r="Q18" s="2851"/>
      <c r="R18" s="2898">
        <f>ROUND(M18*N18*O18*P18/10000,0)</f>
        <v>0</v>
      </c>
      <c r="S18" s="2832"/>
      <c r="T18" s="2832"/>
      <c r="U18" s="2832"/>
      <c r="V18" s="2840"/>
    </row>
    <row r="19" spans="1:22" s="2844" customFormat="1" ht="13.15" customHeight="1" thickBot="1">
      <c r="A19" s="2908" t="s">
        <v>2377</v>
      </c>
      <c r="B19" s="2862"/>
      <c r="C19" s="2862"/>
      <c r="D19" s="2862"/>
      <c r="E19" s="2862"/>
      <c r="F19" s="2863"/>
      <c r="G19" s="2883"/>
      <c r="H19" s="2839"/>
      <c r="I19" s="2840"/>
      <c r="J19" s="3727"/>
      <c r="K19" s="3730"/>
      <c r="L19" s="2894" t="s">
        <v>2357</v>
      </c>
      <c r="M19" s="2895"/>
      <c r="N19" s="2895">
        <f>SUM(N16:N18)</f>
        <v>0</v>
      </c>
      <c r="O19" s="2896"/>
      <c r="P19" s="2909" t="s">
        <v>2421</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27">
        <v>3</v>
      </c>
      <c r="K20" s="3728" t="s">
        <v>2378</v>
      </c>
      <c r="L20" s="2874" t="s">
        <v>2379</v>
      </c>
      <c r="M20" s="2875" t="s">
        <v>2380</v>
      </c>
      <c r="N20" s="2912" t="s">
        <v>2381</v>
      </c>
      <c r="O20" s="2876" t="s">
        <v>2382</v>
      </c>
      <c r="P20" s="2877" t="s">
        <v>2383</v>
      </c>
      <c r="Q20" s="2851" t="s">
        <v>2384</v>
      </c>
      <c r="R20" s="2898" t="s">
        <v>2385</v>
      </c>
      <c r="S20" s="2913"/>
      <c r="T20" s="2913"/>
      <c r="U20" s="2913"/>
      <c r="V20" s="2840"/>
    </row>
    <row r="21" spans="1:22" s="2844" customFormat="1" ht="13.15" customHeight="1">
      <c r="A21" s="2867"/>
      <c r="B21" s="2868"/>
      <c r="C21" s="2914" t="s">
        <v>2386</v>
      </c>
      <c r="D21" s="2915" t="s">
        <v>2387</v>
      </c>
      <c r="E21" s="2916" t="s">
        <v>2388</v>
      </c>
      <c r="F21" s="2911"/>
      <c r="G21" s="2883"/>
      <c r="H21" s="2839"/>
      <c r="I21" s="2840"/>
      <c r="J21" s="3727"/>
      <c r="K21" s="3729"/>
      <c r="L21" s="2874" t="s">
        <v>2389</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2390</v>
      </c>
      <c r="D22" s="2919" t="s">
        <v>2391</v>
      </c>
      <c r="E22" s="2920" t="s">
        <v>2392</v>
      </c>
      <c r="F22" s="2911"/>
      <c r="G22" s="2921"/>
      <c r="H22" s="2839"/>
      <c r="I22" s="2840"/>
      <c r="J22" s="3727"/>
      <c r="K22" s="3729"/>
      <c r="L22" s="2874" t="s">
        <v>2393</v>
      </c>
      <c r="M22" s="2875"/>
      <c r="N22" s="2875"/>
      <c r="O22" s="2876"/>
      <c r="P22" s="2877">
        <v>365</v>
      </c>
      <c r="Q22" s="2851"/>
      <c r="R22" s="2917">
        <f>ROUND(M22*N22*O22*P22/10000,0)</f>
        <v>0</v>
      </c>
      <c r="S22" s="2913"/>
      <c r="T22" s="2913"/>
      <c r="U22" s="2913"/>
      <c r="V22" s="2840"/>
    </row>
    <row r="23" spans="1:22" s="2844" customFormat="1" ht="13.15" customHeight="1">
      <c r="A23" s="2922">
        <v>1</v>
      </c>
      <c r="B23" s="2923" t="s">
        <v>2394</v>
      </c>
      <c r="C23" s="2924">
        <f>D6</f>
        <v>0</v>
      </c>
      <c r="D23" s="2925">
        <f>C23*(1+D24)</f>
        <v>0</v>
      </c>
      <c r="E23" s="2926">
        <f>D23*(1+E24)</f>
        <v>0</v>
      </c>
      <c r="F23" s="2927"/>
      <c r="G23" s="2928"/>
      <c r="H23" s="2839"/>
      <c r="I23" s="2840"/>
      <c r="J23" s="3727"/>
      <c r="K23" s="3729"/>
      <c r="L23" s="2874" t="s">
        <v>2395</v>
      </c>
      <c r="M23" s="2875"/>
      <c r="N23" s="2875"/>
      <c r="O23" s="2876"/>
      <c r="P23" s="2877">
        <v>365</v>
      </c>
      <c r="Q23" s="2851"/>
      <c r="R23" s="2917">
        <f>ROUND(M23*N23*O23*P23/10000,0)</f>
        <v>0</v>
      </c>
      <c r="S23" s="2832"/>
      <c r="T23" s="2832"/>
      <c r="U23" s="2832"/>
      <c r="V23" s="2840"/>
    </row>
    <row r="24" spans="1:22" s="2844" customFormat="1" ht="13.15" customHeight="1">
      <c r="A24" s="2929"/>
      <c r="B24" s="2930" t="s">
        <v>2396</v>
      </c>
      <c r="C24" s="2931"/>
      <c r="D24" s="2932"/>
      <c r="E24" s="2933"/>
      <c r="F24" s="2934"/>
      <c r="G24" s="2928"/>
      <c r="H24" s="2839"/>
      <c r="I24" s="2840"/>
      <c r="J24" s="3727"/>
      <c r="K24" s="3730"/>
      <c r="L24" s="2894" t="s">
        <v>2357</v>
      </c>
      <c r="M24" s="2895">
        <f>SUM(M21:M23)</f>
        <v>0</v>
      </c>
      <c r="N24" s="2895"/>
      <c r="O24" s="2896"/>
      <c r="P24" s="2909" t="s">
        <v>2421</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2397</v>
      </c>
      <c r="L25" s="2937"/>
      <c r="M25" s="2937"/>
      <c r="N25" s="2937"/>
      <c r="O25" s="2937"/>
      <c r="P25" s="2938"/>
      <c r="Q25" s="2939">
        <v>0</v>
      </c>
      <c r="R25" s="2910">
        <f>ROUND(R14*Q25,0)</f>
        <v>0</v>
      </c>
      <c r="S25" s="2832"/>
      <c r="T25" s="2832"/>
      <c r="U25" s="2832"/>
      <c r="V25" s="2940"/>
    </row>
    <row r="26" spans="1:22" s="2941" customFormat="1" ht="13.15" customHeight="1">
      <c r="A26" s="2922">
        <v>2</v>
      </c>
      <c r="B26" s="2923" t="s">
        <v>2398</v>
      </c>
      <c r="C26" s="2924">
        <f>D7</f>
        <v>0</v>
      </c>
      <c r="D26" s="2925">
        <f>D23*D27</f>
        <v>0</v>
      </c>
      <c r="E26" s="2926">
        <f>E23*E27</f>
        <v>0</v>
      </c>
      <c r="F26" s="2927"/>
      <c r="G26" s="2928"/>
      <c r="H26" s="2839"/>
      <c r="I26" s="2840"/>
      <c r="J26" s="3737">
        <v>5</v>
      </c>
      <c r="K26" s="2942" t="s">
        <v>2399</v>
      </c>
      <c r="L26" s="2943"/>
      <c r="M26" s="2944"/>
      <c r="N26" s="2945" t="s">
        <v>2400</v>
      </c>
      <c r="O26" s="2945" t="s">
        <v>2401</v>
      </c>
      <c r="P26" s="2946" t="s">
        <v>2402</v>
      </c>
      <c r="Q26" s="2946" t="s">
        <v>2403</v>
      </c>
      <c r="R26" s="2849" t="s">
        <v>2328</v>
      </c>
      <c r="S26" s="2947"/>
      <c r="T26" s="2947"/>
      <c r="U26" s="2947"/>
      <c r="V26" s="2940"/>
    </row>
    <row r="27" spans="1:22" s="2844" customFormat="1" ht="13.15" customHeight="1">
      <c r="A27" s="2929"/>
      <c r="B27" s="2930" t="s">
        <v>2404</v>
      </c>
      <c r="C27" s="2948" t="e">
        <f>E7</f>
        <v>#DIV/0!</v>
      </c>
      <c r="D27" s="2932"/>
      <c r="E27" s="2933"/>
      <c r="F27" s="2934"/>
      <c r="G27" s="2928"/>
      <c r="H27" s="2949"/>
      <c r="I27" s="2940"/>
      <c r="J27" s="3738"/>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2405</v>
      </c>
      <c r="F28" s="2934"/>
      <c r="G28" s="2921"/>
      <c r="H28" s="2949"/>
      <c r="I28" s="2940"/>
      <c r="J28" s="2955">
        <v>6</v>
      </c>
      <c r="K28" s="2956" t="s">
        <v>2406</v>
      </c>
      <c r="L28" s="2957" t="s">
        <v>2407</v>
      </c>
      <c r="M28" s="2958"/>
      <c r="N28" s="2957" t="s">
        <v>2408</v>
      </c>
      <c r="O28" s="2959"/>
      <c r="P28" s="2957" t="s">
        <v>2409</v>
      </c>
      <c r="Q28" s="2960">
        <v>1.4999999999999999E-2</v>
      </c>
      <c r="R28" s="2961"/>
      <c r="S28" s="2913"/>
      <c r="T28" s="2913"/>
      <c r="U28" s="2913"/>
      <c r="V28" s="2940"/>
    </row>
    <row r="29" spans="1:22" s="2941" customFormat="1" ht="13.15" customHeight="1">
      <c r="A29" s="2922">
        <v>3</v>
      </c>
      <c r="B29" s="2923" t="s">
        <v>2410</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2404</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2411</v>
      </c>
      <c r="K31" s="2830"/>
      <c r="L31" s="2830"/>
      <c r="M31" s="2830"/>
      <c r="N31" s="2830"/>
      <c r="O31" s="2830"/>
      <c r="P31" s="2830"/>
      <c r="Q31" s="2830"/>
      <c r="R31" s="2831"/>
      <c r="S31" s="2913"/>
      <c r="T31" s="2832"/>
      <c r="U31" s="2832"/>
      <c r="V31" s="2940"/>
    </row>
    <row r="32" spans="1:22" s="2941" customFormat="1" ht="13.15" customHeight="1">
      <c r="A32" s="2922">
        <v>4</v>
      </c>
      <c r="B32" s="2923" t="s">
        <v>2412</v>
      </c>
      <c r="C32" s="2924">
        <f>C23-C26-C29</f>
        <v>0</v>
      </c>
      <c r="D32" s="2925">
        <f>D23-D26-D29</f>
        <v>0</v>
      </c>
      <c r="E32" s="2926">
        <f>E23-E26-E29</f>
        <v>0</v>
      </c>
      <c r="F32" s="2927"/>
      <c r="G32" s="2921"/>
      <c r="H32" s="2839"/>
      <c r="I32" s="2840"/>
      <c r="J32" s="3720" t="s">
        <v>2304</v>
      </c>
      <c r="K32" s="3721"/>
      <c r="L32" s="2841" t="s">
        <v>2305</v>
      </c>
      <c r="M32" s="2841" t="s">
        <v>2306</v>
      </c>
      <c r="N32" s="2841" t="s">
        <v>2307</v>
      </c>
      <c r="O32" s="2841" t="s">
        <v>2308</v>
      </c>
      <c r="P32" s="2841" t="s">
        <v>2309</v>
      </c>
      <c r="Q32" s="2842" t="s">
        <v>2310</v>
      </c>
      <c r="R32" s="2964" t="s">
        <v>2311</v>
      </c>
      <c r="S32" s="2913"/>
      <c r="T32" s="2832"/>
      <c r="U32" s="2832"/>
      <c r="V32" s="2940"/>
    </row>
    <row r="33" spans="1:23" s="2844" customFormat="1" ht="13.15" customHeight="1">
      <c r="A33" s="2922"/>
      <c r="B33" s="2923"/>
      <c r="C33" s="2924"/>
      <c r="D33" s="2965"/>
      <c r="E33" s="2966"/>
      <c r="F33" s="2927"/>
      <c r="G33" s="2921"/>
      <c r="H33" s="2949"/>
      <c r="I33" s="2940"/>
      <c r="J33" s="3722" t="s">
        <v>2314</v>
      </c>
      <c r="K33" s="3723"/>
      <c r="L33" s="2847"/>
      <c r="M33" s="2847"/>
      <c r="N33" s="2847"/>
      <c r="O33" s="2847"/>
      <c r="P33" s="2847"/>
      <c r="Q33" s="2848"/>
      <c r="R33" s="2967">
        <f>SUM(L33:Q33)</f>
        <v>0</v>
      </c>
      <c r="S33" s="2913"/>
      <c r="T33" s="2832"/>
      <c r="U33" s="2832"/>
      <c r="V33" s="2840"/>
    </row>
    <row r="34" spans="1:23" s="2844" customFormat="1" ht="13.15" customHeight="1">
      <c r="A34" s="2922">
        <v>5</v>
      </c>
      <c r="B34" s="2923" t="s">
        <v>2413</v>
      </c>
      <c r="C34" s="2968"/>
      <c r="D34" s="2969"/>
      <c r="E34" s="2970"/>
      <c r="F34" s="2927"/>
      <c r="G34" s="2921"/>
      <c r="H34" s="2949"/>
      <c r="I34" s="2940"/>
      <c r="J34" s="3722" t="s">
        <v>2316</v>
      </c>
      <c r="K34" s="3723"/>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2414</v>
      </c>
      <c r="C35" s="2972"/>
      <c r="D35" s="2973"/>
      <c r="E35" s="2974"/>
      <c r="F35" s="2927"/>
      <c r="G35" s="2975"/>
      <c r="H35" s="2839"/>
      <c r="I35" s="2940"/>
      <c r="J35" s="2858" t="s">
        <v>2318</v>
      </c>
      <c r="K35" s="2859"/>
      <c r="L35" s="2859"/>
      <c r="M35" s="2860"/>
      <c r="N35" s="2860"/>
      <c r="O35" s="2860"/>
      <c r="P35" s="2860"/>
      <c r="Q35" s="2860"/>
      <c r="R35" s="2976">
        <f>R40+R41+R43</f>
        <v>0</v>
      </c>
      <c r="S35" s="2913"/>
      <c r="T35" s="2832" t="s">
        <v>2319</v>
      </c>
      <c r="U35" s="2832"/>
      <c r="V35" s="2840"/>
    </row>
    <row r="36" spans="1:23" s="2844" customFormat="1" ht="13.15" customHeight="1" thickBot="1">
      <c r="A36" s="2922">
        <v>7</v>
      </c>
      <c r="B36" s="2977" t="s">
        <v>2415</v>
      </c>
      <c r="C36" s="2978"/>
      <c r="D36" s="2979"/>
      <c r="E36" s="2980"/>
      <c r="F36" s="2981">
        <f>C36+D36+E36</f>
        <v>0</v>
      </c>
      <c r="G36" s="2921"/>
      <c r="H36" s="2839"/>
      <c r="I36" s="2840"/>
      <c r="J36" s="3727">
        <v>1</v>
      </c>
      <c r="K36" s="3728" t="s">
        <v>2416</v>
      </c>
      <c r="L36" s="2865"/>
      <c r="M36" s="2866"/>
      <c r="N36" s="2866"/>
      <c r="O36" s="2866"/>
      <c r="P36" s="2866"/>
      <c r="Q36" s="2866"/>
      <c r="R36" s="2849" t="s">
        <v>2328</v>
      </c>
      <c r="S36" s="2913"/>
      <c r="T36" s="2832" t="s">
        <v>2329</v>
      </c>
      <c r="U36" s="2832"/>
      <c r="V36" s="2840"/>
    </row>
    <row r="37" spans="1:23" s="2844" customFormat="1" ht="13.15" customHeight="1">
      <c r="A37" s="2922"/>
      <c r="B37" s="2923"/>
      <c r="C37" s="2923"/>
      <c r="D37" s="2923"/>
      <c r="E37" s="2923"/>
      <c r="F37" s="2927"/>
      <c r="G37" s="2921"/>
      <c r="H37" s="2839"/>
      <c r="I37" s="2840"/>
      <c r="J37" s="3727"/>
      <c r="K37" s="3729"/>
      <c r="L37" s="2874"/>
      <c r="M37" s="2875"/>
      <c r="N37" s="2851"/>
      <c r="O37" s="2876"/>
      <c r="P37" s="2876"/>
      <c r="Q37" s="2877"/>
      <c r="R37" s="2878"/>
      <c r="S37" s="2913"/>
      <c r="T37" s="2832" t="s">
        <v>2332</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27"/>
      <c r="K38" s="3729"/>
      <c r="L38" s="2874"/>
      <c r="M38" s="2875"/>
      <c r="N38" s="2851"/>
      <c r="O38" s="2876"/>
      <c r="P38" s="2876"/>
      <c r="Q38" s="2877"/>
      <c r="R38" s="2878"/>
      <c r="S38" s="2913"/>
      <c r="T38" s="2832" t="s">
        <v>2339</v>
      </c>
      <c r="U38" s="2832"/>
      <c r="V38" s="2840"/>
    </row>
    <row r="39" spans="1:23" s="2844" customFormat="1" ht="13.15" customHeight="1">
      <c r="A39" s="2922">
        <v>9</v>
      </c>
      <c r="B39" s="2923" t="s">
        <v>2417</v>
      </c>
      <c r="C39" s="2888" t="e">
        <f>C38</f>
        <v>#DIV/0!</v>
      </c>
      <c r="D39" s="2923">
        <f>D38/(1+D34)^C36</f>
        <v>0</v>
      </c>
      <c r="E39" s="2923">
        <f>E38/(1+E34)^(C36+D36)</f>
        <v>0</v>
      </c>
      <c r="F39" s="2927"/>
      <c r="G39" s="2982"/>
      <c r="H39" s="2839"/>
      <c r="I39" s="2840"/>
      <c r="J39" s="3727"/>
      <c r="K39" s="3729"/>
      <c r="L39" s="2874"/>
      <c r="M39" s="2875"/>
      <c r="N39" s="2851"/>
      <c r="O39" s="2876"/>
      <c r="P39" s="2876"/>
      <c r="Q39" s="2877"/>
      <c r="R39" s="2878"/>
      <c r="S39" s="2913"/>
      <c r="T39" s="2832"/>
      <c r="U39" s="2832"/>
      <c r="V39" s="2840"/>
    </row>
    <row r="40" spans="1:23" s="2844" customFormat="1" ht="13.15" customHeight="1">
      <c r="A40" s="2983">
        <v>10</v>
      </c>
      <c r="B40" s="2923" t="s">
        <v>2418</v>
      </c>
      <c r="C40" s="2984" t="e">
        <f>C39+D39+E39</f>
        <v>#DIV/0!</v>
      </c>
      <c r="D40" s="2985"/>
      <c r="E40" s="2985"/>
      <c r="F40" s="2986"/>
      <c r="G40" s="2921"/>
      <c r="H40" s="2839"/>
      <c r="I40" s="2840"/>
      <c r="J40" s="3727"/>
      <c r="K40" s="3730"/>
      <c r="L40" s="2894" t="s">
        <v>2357</v>
      </c>
      <c r="M40" s="2895"/>
      <c r="N40" s="2895"/>
      <c r="O40" s="2896"/>
      <c r="P40" s="2896"/>
      <c r="Q40" s="2897"/>
      <c r="R40" s="2843">
        <f>SUM(R37:R39)</f>
        <v>0</v>
      </c>
      <c r="S40" s="2913"/>
      <c r="T40" s="2832"/>
      <c r="U40" s="2832"/>
      <c r="V40" s="2840"/>
    </row>
    <row r="41" spans="1:23" s="2844" customFormat="1" ht="13.15" customHeight="1" thickBot="1">
      <c r="A41" s="2987">
        <v>11</v>
      </c>
      <c r="B41" s="2988" t="s">
        <v>2419</v>
      </c>
      <c r="C41" s="2988" t="e">
        <f>ROUND(C40*10000/B4,0)</f>
        <v>#DIV/0!</v>
      </c>
      <c r="D41" s="2989"/>
      <c r="E41" s="2989"/>
      <c r="F41" s="2990"/>
      <c r="G41" s="2991"/>
      <c r="H41" s="2839"/>
      <c r="I41" s="2840"/>
      <c r="J41" s="2935">
        <v>2</v>
      </c>
      <c r="K41" s="2936" t="s">
        <v>2397</v>
      </c>
      <c r="L41" s="2937"/>
      <c r="M41" s="2937"/>
      <c r="N41" s="2937"/>
      <c r="O41" s="2937"/>
      <c r="P41" s="2938"/>
      <c r="Q41" s="2939"/>
      <c r="R41" s="2910">
        <f>ROUND(R40*Q41,0)</f>
        <v>0</v>
      </c>
      <c r="S41" s="2913"/>
      <c r="T41" s="2832"/>
      <c r="U41" s="2947"/>
      <c r="V41" s="2840"/>
    </row>
    <row r="42" spans="1:23" s="2844" customFormat="1" ht="13.15" customHeight="1">
      <c r="G42" s="2991"/>
      <c r="H42" s="2839"/>
      <c r="I42" s="2840"/>
      <c r="J42" s="3737">
        <v>3</v>
      </c>
      <c r="K42" s="2942" t="s">
        <v>2399</v>
      </c>
      <c r="L42" s="2943"/>
      <c r="M42" s="2944"/>
      <c r="N42" s="2945" t="s">
        <v>2400</v>
      </c>
      <c r="O42" s="2945" t="s">
        <v>2401</v>
      </c>
      <c r="P42" s="2946" t="s">
        <v>2402</v>
      </c>
      <c r="Q42" s="2946" t="s">
        <v>2403</v>
      </c>
      <c r="R42" s="2849" t="s">
        <v>2328</v>
      </c>
      <c r="S42" s="2947"/>
      <c r="T42" s="2947"/>
      <c r="U42" s="2832"/>
      <c r="V42" s="2840"/>
    </row>
    <row r="43" spans="1:23" ht="13.15" customHeight="1">
      <c r="A43" s="2844"/>
      <c r="B43" s="2844"/>
      <c r="C43" s="2844"/>
      <c r="D43" s="2844"/>
      <c r="E43" s="2844"/>
      <c r="F43" s="2844"/>
      <c r="I43" s="2827"/>
      <c r="J43" s="3738"/>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2406</v>
      </c>
      <c r="L44" s="2995" t="s">
        <v>2407</v>
      </c>
      <c r="M44" s="2958"/>
      <c r="N44" s="2995" t="s">
        <v>2408</v>
      </c>
      <c r="O44" s="2958"/>
      <c r="P44" s="2995" t="s">
        <v>2409</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受贵公司委托，我公司对北京市出让国有建设用地使用权及在建建筑物房地产抵押价值进行了预评估。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估价对象为北京市出让国有建设用地使用权及在建建筑物房地产，为所有。根据《国有土地使用证》[]，估价对象（分摊）出让国有建设用地使用权面积为17315.58平方米，建筑面积为27041.94平方米。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工业项目，该项目尚在开发建设中。根据《国有土地使用证》[]，估价对象（分摊）出让国有建设用地使用权面积为17315.58平方米，规划建筑面积为27041.94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2023年5月26日（评估专业人员实地查勘之日）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8"/>
      <c r="G1" s="1486"/>
      <c r="H1" s="1486"/>
      <c r="I1" s="1486"/>
      <c r="J1" s="1486"/>
      <c r="K1" s="1486"/>
      <c r="L1" s="1486"/>
      <c r="M1" s="1486"/>
      <c r="N1" s="1486"/>
      <c r="O1" s="1486"/>
      <c r="P1" s="1486"/>
      <c r="Q1" s="1486"/>
      <c r="R1" s="1486"/>
      <c r="S1" s="1486"/>
    </row>
    <row r="2" spans="1:22" ht="15.75">
      <c r="A2" s="1867" t="s">
        <v>1460</v>
      </c>
      <c r="B2" s="1868">
        <f ca="1">SUMIF(B6:B13,"&lt;&gt;#ref!",B6:B13)</f>
        <v>17762</v>
      </c>
      <c r="C2" s="1869" t="s">
        <v>1649</v>
      </c>
      <c r="D2" s="1870" t="s">
        <v>1650</v>
      </c>
      <c r="E2" s="2598">
        <f>SUM(E6:E13)</f>
        <v>22037.24</v>
      </c>
      <c r="F2" s="2698"/>
      <c r="G2" s="1486"/>
      <c r="H2" s="1486"/>
      <c r="I2" s="1486"/>
      <c r="J2" s="1486"/>
      <c r="K2" s="1486"/>
      <c r="L2" s="1486"/>
      <c r="M2" s="1486"/>
      <c r="N2" s="1486"/>
      <c r="O2" s="1486"/>
      <c r="P2" s="1486"/>
      <c r="Q2" s="1486"/>
      <c r="R2" s="1486"/>
      <c r="S2" s="1486"/>
    </row>
    <row r="3" spans="1:22" ht="15.75">
      <c r="A3" s="1867" t="s">
        <v>686</v>
      </c>
      <c r="B3" s="2592">
        <f ca="1">ROUND(B2*10000/E2,0)</f>
        <v>8060</v>
      </c>
      <c r="C3" s="1869" t="s">
        <v>1657</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1651</v>
      </c>
      <c r="B5" s="3739" t="s">
        <v>1652</v>
      </c>
      <c r="C5" s="3740"/>
      <c r="D5" s="2699"/>
      <c r="E5" s="1871" t="s">
        <v>1653</v>
      </c>
      <c r="F5" s="1872" t="s">
        <v>1654</v>
      </c>
      <c r="G5" s="1486"/>
      <c r="H5" s="1486"/>
      <c r="I5" s="1486"/>
      <c r="J5" s="1486"/>
      <c r="K5" s="1486"/>
      <c r="L5" s="1486"/>
      <c r="M5" s="1486"/>
      <c r="N5" s="1486"/>
      <c r="O5" s="1486"/>
      <c r="P5" s="1486"/>
      <c r="Q5" s="1486"/>
      <c r="R5" s="1486"/>
      <c r="S5" s="1486"/>
    </row>
    <row r="6" spans="1:22">
      <c r="A6" s="2595" t="str">
        <f>'数据-取费表'!AN6</f>
        <v>收益法</v>
      </c>
      <c r="B6" s="2593">
        <f ca="1">IF(F6="是",'数据-取费表'!AO6,0)</f>
        <v>17762</v>
      </c>
      <c r="C6" s="1869" t="s">
        <v>1649</v>
      </c>
      <c r="D6" s="2700"/>
      <c r="E6" s="2597">
        <f>IF(OR(A6=0,F6="否"),0,'数据-取费表'!K6+'数据-取费表'!S6)</f>
        <v>22037.24</v>
      </c>
      <c r="F6" s="1873" t="s">
        <v>1655</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1649</v>
      </c>
      <c r="D7" s="2700"/>
      <c r="E7" s="2597">
        <f>IF(OR(A7=0,F7="否"),0,'数据-取费表'!K7+'数据-取费表'!S7)</f>
        <v>0</v>
      </c>
      <c r="F7" s="1873" t="s">
        <v>1655</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1649</v>
      </c>
      <c r="D8" s="2700"/>
      <c r="E8" s="2597">
        <f>IF(OR(A8=0,F8="否"),0,'数据-取费表'!K8+'数据-取费表'!S8)</f>
        <v>0</v>
      </c>
      <c r="F8" s="1873" t="s">
        <v>1655</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1649</v>
      </c>
      <c r="D9" s="2700"/>
      <c r="E9" s="2597">
        <f>IF(OR(A9=0,F9="否"),0,'数据-取费表'!K9+'数据-取费表'!S9)</f>
        <v>0</v>
      </c>
      <c r="F9" s="1873" t="s">
        <v>1655</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1649</v>
      </c>
      <c r="D10" s="2700"/>
      <c r="E10" s="2597">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1649</v>
      </c>
      <c r="D11" s="2700"/>
      <c r="E11" s="2597">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1649</v>
      </c>
      <c r="D12" s="2700"/>
      <c r="E12" s="2597">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1649</v>
      </c>
      <c r="D13" s="2701"/>
      <c r="E13" s="2597">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17" t="s">
        <v>3457</v>
      </c>
      <c r="F1" s="1876" t="s">
        <v>3458</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1663</v>
      </c>
      <c r="D3" s="353">
        <f>IF(D1="",'数据-汇总表'!E3,SUMIF('数据-汇总表'!$C19:$C33,D1,'数据-汇总表'!$E19:$E33))</f>
        <v>27041.94</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1664</v>
      </c>
      <c r="B4" s="356"/>
      <c r="C4" s="3669" t="s">
        <v>1665</v>
      </c>
      <c r="D4" s="3670"/>
      <c r="E4" s="3671" t="s">
        <v>1666</v>
      </c>
      <c r="F4" s="3672"/>
      <c r="G4" s="3669" t="s">
        <v>1667</v>
      </c>
      <c r="H4" s="3670"/>
      <c r="I4" s="3669" t="s">
        <v>1668</v>
      </c>
      <c r="J4" s="3670"/>
      <c r="K4" s="1886" t="s">
        <v>1669</v>
      </c>
      <c r="L4" s="2706"/>
      <c r="M4" s="2707"/>
      <c r="N4" s="2707"/>
      <c r="O4" s="2707"/>
      <c r="P4" s="3673" t="s">
        <v>1670</v>
      </c>
      <c r="Q4" s="3674"/>
      <c r="R4" s="3683" t="s">
        <v>1666</v>
      </c>
      <c r="S4" s="3684"/>
      <c r="T4" s="3683" t="s">
        <v>1667</v>
      </c>
      <c r="U4" s="3684"/>
      <c r="V4" s="3661" t="s">
        <v>1668</v>
      </c>
      <c r="W4" s="3661"/>
      <c r="X4" s="1352"/>
      <c r="Y4" s="3683" t="s">
        <v>1670</v>
      </c>
      <c r="Z4" s="3684"/>
      <c r="AA4" s="3666" t="s">
        <v>1666</v>
      </c>
      <c r="AB4" s="3666" t="s">
        <v>1667</v>
      </c>
      <c r="AC4" s="3666" t="s">
        <v>1668</v>
      </c>
    </row>
    <row r="5" spans="1:29" ht="15">
      <c r="A5" s="358"/>
      <c r="B5" s="359"/>
      <c r="C5" s="3687" t="s">
        <v>1671</v>
      </c>
      <c r="D5" s="3688"/>
      <c r="E5" s="3679" t="s">
        <v>1672</v>
      </c>
      <c r="F5" s="3680"/>
      <c r="G5" s="3687" t="s">
        <v>1673</v>
      </c>
      <c r="H5" s="3688"/>
      <c r="I5" s="3687" t="s">
        <v>1674</v>
      </c>
      <c r="J5" s="3688"/>
      <c r="K5" s="1887"/>
      <c r="L5" s="2706"/>
      <c r="M5" s="2707"/>
      <c r="N5" s="2707"/>
      <c r="O5" s="2707"/>
      <c r="P5" s="3675"/>
      <c r="Q5" s="3676"/>
      <c r="R5" s="3685"/>
      <c r="S5" s="3686"/>
      <c r="T5" s="3685"/>
      <c r="U5" s="3686"/>
      <c r="V5" s="3661"/>
      <c r="W5" s="3661"/>
      <c r="X5" s="1352"/>
      <c r="Y5" s="3685"/>
      <c r="Z5" s="3686"/>
      <c r="AA5" s="3667"/>
      <c r="AB5" s="3667"/>
      <c r="AC5" s="3667"/>
    </row>
    <row r="6" spans="1:29" ht="15.75" thickBot="1">
      <c r="A6" s="360"/>
      <c r="B6" s="361"/>
      <c r="C6" s="3741" t="s">
        <v>1675</v>
      </c>
      <c r="D6" s="3742"/>
      <c r="E6" s="3743" t="s">
        <v>1675</v>
      </c>
      <c r="F6" s="3744"/>
      <c r="G6" s="3741" t="s">
        <v>1675</v>
      </c>
      <c r="H6" s="3742"/>
      <c r="I6" s="3741" t="s">
        <v>1675</v>
      </c>
      <c r="J6" s="3742"/>
      <c r="K6" s="1887" t="s">
        <v>1676</v>
      </c>
      <c r="L6" s="2706"/>
      <c r="M6" s="2707"/>
      <c r="N6" s="2707"/>
      <c r="O6" s="2707"/>
      <c r="P6" s="3677"/>
      <c r="Q6" s="3678"/>
      <c r="R6" s="3685"/>
      <c r="S6" s="3686"/>
      <c r="T6" s="3694"/>
      <c r="U6" s="3695"/>
      <c r="V6" s="3661"/>
      <c r="W6" s="3661"/>
      <c r="X6" s="1352"/>
      <c r="Y6" s="3694"/>
      <c r="Z6" s="3695"/>
      <c r="AA6" s="3668"/>
      <c r="AB6" s="3668"/>
      <c r="AC6" s="3668"/>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1888"/>
      <c r="L7" s="2708"/>
      <c r="M7" s="2709"/>
      <c r="N7" s="2709"/>
      <c r="O7" s="2709"/>
      <c r="P7" s="3659" t="s">
        <v>1678</v>
      </c>
      <c r="Q7" s="3691"/>
      <c r="R7" s="698" t="s">
        <v>20</v>
      </c>
      <c r="S7" s="699">
        <f t="shared" ref="S7:S15" si="0">F7</f>
        <v>100</v>
      </c>
      <c r="T7" s="698" t="s">
        <v>20</v>
      </c>
      <c r="U7" s="699">
        <f t="shared" ref="U7:U15" si="1">H7</f>
        <v>100</v>
      </c>
      <c r="V7" s="698" t="s">
        <v>20</v>
      </c>
      <c r="W7" s="699">
        <f t="shared" ref="W7:W15" si="2">J7</f>
        <v>100</v>
      </c>
      <c r="X7" s="700"/>
      <c r="Y7" s="3659" t="s">
        <v>1678</v>
      </c>
      <c r="Z7" s="3660"/>
      <c r="AA7" s="701">
        <f>D7/F7</f>
        <v>1</v>
      </c>
      <c r="AB7" s="701">
        <f>D7/H7</f>
        <v>1</v>
      </c>
      <c r="AC7" s="701">
        <f>D7/J7</f>
        <v>1</v>
      </c>
    </row>
    <row r="8" spans="1:29" s="108" customFormat="1" ht="15.75" thickBot="1">
      <c r="A8" s="362" t="s">
        <v>1679</v>
      </c>
      <c r="B8" s="363"/>
      <c r="C8" s="368" t="s">
        <v>3396</v>
      </c>
      <c r="D8" s="365">
        <v>100</v>
      </c>
      <c r="E8" s="1889" t="s">
        <v>3408</v>
      </c>
      <c r="F8" s="367">
        <f>SUMIF(61:61,E8,62:62)-SUMIF(61:61,C8,62:62)+100</f>
        <v>102</v>
      </c>
      <c r="G8" s="368" t="s">
        <v>3408</v>
      </c>
      <c r="H8" s="365">
        <f>SUMIF(61:61,G8,62:62)-SUMIF(61:61,C8,62:62)+100</f>
        <v>102</v>
      </c>
      <c r="I8" s="1889" t="s">
        <v>3408</v>
      </c>
      <c r="J8" s="365">
        <f>SUMIF(61:61,I8,62:62)-SUMIF(61:61,C8,62:62)+100</f>
        <v>102</v>
      </c>
      <c r="K8" s="1888"/>
      <c r="L8" s="2708"/>
      <c r="M8" s="2709"/>
      <c r="N8" s="2709"/>
      <c r="O8" s="2709"/>
      <c r="P8" s="3659" t="s">
        <v>1681</v>
      </c>
      <c r="Q8" s="3660"/>
      <c r="R8" s="698" t="s">
        <v>20</v>
      </c>
      <c r="S8" s="699">
        <f t="shared" si="0"/>
        <v>102</v>
      </c>
      <c r="T8" s="698" t="s">
        <v>20</v>
      </c>
      <c r="U8" s="699">
        <f t="shared" si="1"/>
        <v>102</v>
      </c>
      <c r="V8" s="698" t="s">
        <v>20</v>
      </c>
      <c r="W8" s="699">
        <f t="shared" si="2"/>
        <v>102</v>
      </c>
      <c r="X8" s="700"/>
      <c r="Y8" s="3659" t="s">
        <v>1681</v>
      </c>
      <c r="Z8" s="3660"/>
      <c r="AA8" s="701">
        <f t="shared" ref="AA8:AA19" si="3">D8/F8</f>
        <v>0.98039215686274506</v>
      </c>
      <c r="AB8" s="701">
        <f t="shared" ref="AB8:AB19" si="4">D8/H8</f>
        <v>0.98039215686274506</v>
      </c>
      <c r="AC8" s="701">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682" t="s">
        <v>1684</v>
      </c>
      <c r="Q9" s="1340" t="str">
        <f t="shared" ref="Q9:Q15" si="6">B9</f>
        <v>用途</v>
      </c>
      <c r="R9" s="698" t="s">
        <v>14</v>
      </c>
      <c r="S9" s="699">
        <f t="shared" si="0"/>
        <v>100</v>
      </c>
      <c r="T9" s="698" t="s">
        <v>14</v>
      </c>
      <c r="U9" s="699">
        <f t="shared" si="1"/>
        <v>100</v>
      </c>
      <c r="V9" s="698" t="s">
        <v>14</v>
      </c>
      <c r="W9" s="699">
        <f t="shared" si="2"/>
        <v>100</v>
      </c>
      <c r="X9" s="700"/>
      <c r="Y9" s="3627"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82"/>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682"/>
      <c r="Q11" s="1340" t="str">
        <f t="shared" si="6"/>
        <v>容积率</v>
      </c>
      <c r="R11" s="698" t="s">
        <v>18</v>
      </c>
      <c r="S11" s="699">
        <f t="shared" si="0"/>
        <v>100</v>
      </c>
      <c r="T11" s="698" t="s">
        <v>18</v>
      </c>
      <c r="U11" s="699">
        <f t="shared" si="1"/>
        <v>100</v>
      </c>
      <c r="V11" s="698" t="s">
        <v>18</v>
      </c>
      <c r="W11" s="699">
        <f t="shared" si="2"/>
        <v>100</v>
      </c>
      <c r="X11" s="700"/>
      <c r="Y11" s="3627"/>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682"/>
      <c r="Q12" s="1340">
        <f t="shared" si="6"/>
        <v>111</v>
      </c>
      <c r="R12" s="698" t="s">
        <v>18</v>
      </c>
      <c r="S12" s="699">
        <f t="shared" si="0"/>
        <v>100</v>
      </c>
      <c r="T12" s="698" t="s">
        <v>18</v>
      </c>
      <c r="U12" s="699">
        <f t="shared" si="1"/>
        <v>100</v>
      </c>
      <c r="V12" s="698" t="s">
        <v>18</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682"/>
      <c r="Q13" s="1340">
        <f t="shared" si="6"/>
        <v>111</v>
      </c>
      <c r="R13" s="698" t="s">
        <v>18</v>
      </c>
      <c r="S13" s="699">
        <f t="shared" si="0"/>
        <v>100</v>
      </c>
      <c r="T13" s="698" t="s">
        <v>18</v>
      </c>
      <c r="U13" s="699">
        <f t="shared" si="1"/>
        <v>100</v>
      </c>
      <c r="V13" s="698" t="s">
        <v>18</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682"/>
      <c r="Q14" s="1340">
        <f t="shared" si="6"/>
        <v>111</v>
      </c>
      <c r="R14" s="698" t="s">
        <v>18</v>
      </c>
      <c r="S14" s="699">
        <f t="shared" si="0"/>
        <v>100</v>
      </c>
      <c r="T14" s="698" t="s">
        <v>18</v>
      </c>
      <c r="U14" s="699">
        <f t="shared" si="1"/>
        <v>100</v>
      </c>
      <c r="V14" s="698" t="s">
        <v>18</v>
      </c>
      <c r="W14" s="699">
        <f t="shared" si="2"/>
        <v>100</v>
      </c>
      <c r="X14" s="700"/>
      <c r="Y14" s="3627"/>
      <c r="Z14" s="52">
        <f t="shared" si="7"/>
        <v>111</v>
      </c>
      <c r="AA14" s="701">
        <f t="shared" si="3"/>
        <v>1</v>
      </c>
      <c r="AB14" s="701">
        <f t="shared" si="4"/>
        <v>1</v>
      </c>
      <c r="AC14" s="701">
        <f t="shared" si="5"/>
        <v>1</v>
      </c>
    </row>
    <row r="15" spans="1:29" ht="15">
      <c r="A15" s="391" t="s">
        <v>1688</v>
      </c>
      <c r="B15" s="61" t="s">
        <v>1255</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751" t="s">
        <v>1689</v>
      </c>
      <c r="Q15" s="1349" t="str">
        <f t="shared" si="6"/>
        <v>居住社区成熟度</v>
      </c>
      <c r="R15" s="702" t="s">
        <v>18</v>
      </c>
      <c r="S15" s="703">
        <f t="shared" si="0"/>
        <v>2</v>
      </c>
      <c r="T15" s="702" t="s">
        <v>18</v>
      </c>
      <c r="U15" s="703">
        <f t="shared" si="1"/>
        <v>2</v>
      </c>
      <c r="V15" s="702" t="s">
        <v>18</v>
      </c>
      <c r="W15" s="703">
        <f t="shared" si="2"/>
        <v>2</v>
      </c>
      <c r="X15" s="1352"/>
      <c r="Y15" s="3662" t="s">
        <v>1689</v>
      </c>
      <c r="Z15" s="1353" t="str">
        <f t="shared" si="7"/>
        <v>居住社区成熟度</v>
      </c>
      <c r="AA15" s="1350">
        <f t="shared" si="3"/>
        <v>50</v>
      </c>
      <c r="AB15" s="1350">
        <f t="shared" si="4"/>
        <v>50</v>
      </c>
      <c r="AC15" s="1350">
        <f t="shared" si="5"/>
        <v>50</v>
      </c>
    </row>
    <row r="16" spans="1:29" ht="15">
      <c r="A16" s="379"/>
      <c r="B16" s="397"/>
      <c r="C16" s="398" t="s">
        <v>3383</v>
      </c>
      <c r="D16" s="399"/>
      <c r="E16" s="1894"/>
      <c r="F16" s="399"/>
      <c r="G16" s="1895"/>
      <c r="H16" s="401"/>
      <c r="I16" s="1895"/>
      <c r="J16" s="399"/>
      <c r="K16" s="1896"/>
      <c r="L16" s="2713"/>
      <c r="M16" s="2707"/>
      <c r="N16" s="2707"/>
      <c r="O16" s="2707"/>
      <c r="P16" s="3752"/>
      <c r="Q16" s="1349"/>
      <c r="R16" s="702"/>
      <c r="S16" s="703"/>
      <c r="T16" s="702"/>
      <c r="U16" s="703"/>
      <c r="V16" s="702"/>
      <c r="W16" s="703"/>
      <c r="X16" s="1352"/>
      <c r="Y16" s="3663"/>
      <c r="Z16" s="1353"/>
      <c r="AA16" s="1350">
        <v>1</v>
      </c>
      <c r="AB16" s="1350">
        <v>1</v>
      </c>
      <c r="AC16" s="1350">
        <v>1</v>
      </c>
    </row>
    <row r="17" spans="1:29" ht="15">
      <c r="A17" s="379"/>
      <c r="B17" s="402" t="s">
        <v>1257</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752"/>
      <c r="Q17" s="1349" t="str">
        <f>B17</f>
        <v>交通便捷度</v>
      </c>
      <c r="R17" s="702" t="s">
        <v>18</v>
      </c>
      <c r="S17" s="703">
        <f>F17</f>
        <v>100</v>
      </c>
      <c r="T17" s="702" t="s">
        <v>18</v>
      </c>
      <c r="U17" s="703">
        <f>H17</f>
        <v>100</v>
      </c>
      <c r="V17" s="702" t="s">
        <v>18</v>
      </c>
      <c r="W17" s="703">
        <f>J17</f>
        <v>100</v>
      </c>
      <c r="X17" s="1352"/>
      <c r="Y17" s="366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752"/>
      <c r="Q18" s="1349"/>
      <c r="R18" s="702"/>
      <c r="S18" s="703"/>
      <c r="T18" s="702"/>
      <c r="U18" s="703"/>
      <c r="V18" s="702"/>
      <c r="W18" s="703"/>
      <c r="X18" s="1352"/>
      <c r="Y18" s="3663"/>
      <c r="Z18" s="1353"/>
      <c r="AA18" s="1350">
        <v>1</v>
      </c>
      <c r="AB18" s="1350">
        <v>1</v>
      </c>
      <c r="AC18" s="1350">
        <v>1</v>
      </c>
    </row>
    <row r="19" spans="1:29" ht="15">
      <c r="A19" s="379"/>
      <c r="B19" s="402" t="s">
        <v>1256</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752"/>
      <c r="Q19" s="1349" t="str">
        <f>B19</f>
        <v>公共配套设施</v>
      </c>
      <c r="R19" s="702" t="s">
        <v>18</v>
      </c>
      <c r="S19" s="703">
        <f>F19</f>
        <v>100</v>
      </c>
      <c r="T19" s="702" t="s">
        <v>18</v>
      </c>
      <c r="U19" s="703">
        <f>H19</f>
        <v>100</v>
      </c>
      <c r="V19" s="702" t="s">
        <v>18</v>
      </c>
      <c r="W19" s="703">
        <f>J19</f>
        <v>100</v>
      </c>
      <c r="X19" s="1352"/>
      <c r="Y19" s="366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752"/>
      <c r="Q20" s="1349"/>
      <c r="R20" s="702"/>
      <c r="S20" s="703"/>
      <c r="T20" s="702"/>
      <c r="U20" s="703"/>
      <c r="V20" s="702"/>
      <c r="W20" s="703"/>
      <c r="X20" s="1352"/>
      <c r="Y20" s="3663"/>
      <c r="Z20" s="1353"/>
      <c r="AA20" s="1350">
        <v>1</v>
      </c>
      <c r="AB20" s="1350">
        <v>1</v>
      </c>
      <c r="AC20" s="1350">
        <v>1</v>
      </c>
    </row>
    <row r="21" spans="1:29" ht="15">
      <c r="A21" s="379"/>
      <c r="B21" s="1128" t="s">
        <v>1258</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752"/>
      <c r="Q21" s="1349" t="str">
        <f>B21</f>
        <v>基础设施水平</v>
      </c>
      <c r="R21" s="702" t="s">
        <v>14</v>
      </c>
      <c r="S21" s="703">
        <f>F21</f>
        <v>100</v>
      </c>
      <c r="T21" s="702" t="s">
        <v>14</v>
      </c>
      <c r="U21" s="703">
        <f>H21</f>
        <v>100</v>
      </c>
      <c r="V21" s="702" t="s">
        <v>14</v>
      </c>
      <c r="W21" s="703">
        <f>J21</f>
        <v>100</v>
      </c>
      <c r="X21" s="1352"/>
      <c r="Y21" s="366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752"/>
      <c r="Q22" s="1349"/>
      <c r="R22" s="702"/>
      <c r="S22" s="703"/>
      <c r="T22" s="702"/>
      <c r="U22" s="703"/>
      <c r="V22" s="702"/>
      <c r="W22" s="703"/>
      <c r="X22" s="1352"/>
      <c r="Y22" s="3663"/>
      <c r="Z22" s="1353"/>
      <c r="AA22" s="1350">
        <v>1</v>
      </c>
      <c r="AB22" s="1350">
        <v>1</v>
      </c>
      <c r="AC22" s="1350">
        <v>1</v>
      </c>
    </row>
    <row r="23" spans="1:29" ht="15">
      <c r="A23" s="379"/>
      <c r="B23" s="402" t="s">
        <v>1259</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752"/>
      <c r="Q23" s="1349" t="str">
        <f>B23</f>
        <v>自然及人文环境</v>
      </c>
      <c r="R23" s="702" t="s">
        <v>18</v>
      </c>
      <c r="S23" s="703">
        <f>F23</f>
        <v>100</v>
      </c>
      <c r="T23" s="702" t="s">
        <v>18</v>
      </c>
      <c r="U23" s="703">
        <f>H23</f>
        <v>100</v>
      </c>
      <c r="V23" s="702" t="s">
        <v>18</v>
      </c>
      <c r="W23" s="703">
        <f>J23</f>
        <v>100</v>
      </c>
      <c r="X23" s="1352"/>
      <c r="Y23" s="366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752"/>
      <c r="Q24" s="1349"/>
      <c r="R24" s="702"/>
      <c r="S24" s="703"/>
      <c r="T24" s="702"/>
      <c r="U24" s="703"/>
      <c r="V24" s="702"/>
      <c r="W24" s="703"/>
      <c r="X24" s="1352"/>
      <c r="Y24" s="3663"/>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752"/>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63"/>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752"/>
      <c r="Q26" s="1349" t="str">
        <f t="shared" si="11"/>
        <v>朝向</v>
      </c>
      <c r="R26" s="702" t="s">
        <v>18</v>
      </c>
      <c r="S26" s="703">
        <f t="shared" si="12"/>
        <v>100</v>
      </c>
      <c r="T26" s="702" t="s">
        <v>18</v>
      </c>
      <c r="U26" s="703">
        <f t="shared" si="13"/>
        <v>100</v>
      </c>
      <c r="V26" s="702" t="s">
        <v>18</v>
      </c>
      <c r="W26" s="703">
        <f t="shared" si="14"/>
        <v>100</v>
      </c>
      <c r="X26" s="1352"/>
      <c r="Y26" s="3663"/>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752"/>
      <c r="Q27" s="1340">
        <f t="shared" si="11"/>
        <v>111</v>
      </c>
      <c r="R27" s="698" t="s">
        <v>18</v>
      </c>
      <c r="S27" s="699">
        <f t="shared" si="12"/>
        <v>100</v>
      </c>
      <c r="T27" s="698" t="s">
        <v>18</v>
      </c>
      <c r="U27" s="699">
        <f t="shared" si="13"/>
        <v>100</v>
      </c>
      <c r="V27" s="698" t="s">
        <v>18</v>
      </c>
      <c r="W27" s="699">
        <f t="shared" si="14"/>
        <v>100</v>
      </c>
      <c r="X27" s="700"/>
      <c r="Y27" s="3663"/>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752"/>
      <c r="Q28" s="1349">
        <f t="shared" si="11"/>
        <v>111</v>
      </c>
      <c r="R28" s="702" t="s">
        <v>18</v>
      </c>
      <c r="S28" s="703">
        <f t="shared" si="12"/>
        <v>100</v>
      </c>
      <c r="T28" s="702" t="s">
        <v>18</v>
      </c>
      <c r="U28" s="703">
        <f t="shared" si="13"/>
        <v>100</v>
      </c>
      <c r="V28" s="702" t="s">
        <v>18</v>
      </c>
      <c r="W28" s="703">
        <f t="shared" si="14"/>
        <v>100</v>
      </c>
      <c r="X28" s="1352"/>
      <c r="Y28" s="3663"/>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752"/>
      <c r="Q29" s="1349">
        <f t="shared" si="11"/>
        <v>111</v>
      </c>
      <c r="R29" s="702" t="s">
        <v>18</v>
      </c>
      <c r="S29" s="703">
        <f t="shared" si="12"/>
        <v>100</v>
      </c>
      <c r="T29" s="702" t="s">
        <v>18</v>
      </c>
      <c r="U29" s="703">
        <f t="shared" si="13"/>
        <v>100</v>
      </c>
      <c r="V29" s="702" t="s">
        <v>18</v>
      </c>
      <c r="W29" s="703">
        <f t="shared" si="14"/>
        <v>100</v>
      </c>
      <c r="X29" s="1352"/>
      <c r="Y29" s="3663"/>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752"/>
      <c r="Q30" s="1349">
        <f t="shared" si="11"/>
        <v>111</v>
      </c>
      <c r="R30" s="702" t="s">
        <v>18</v>
      </c>
      <c r="S30" s="703">
        <f t="shared" si="12"/>
        <v>100</v>
      </c>
      <c r="T30" s="702" t="s">
        <v>18</v>
      </c>
      <c r="U30" s="703">
        <f t="shared" si="13"/>
        <v>100</v>
      </c>
      <c r="V30" s="702" t="s">
        <v>18</v>
      </c>
      <c r="W30" s="703">
        <f t="shared" si="14"/>
        <v>100</v>
      </c>
      <c r="X30" s="1352"/>
      <c r="Y30" s="3663"/>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752"/>
      <c r="Q31" s="1349">
        <f t="shared" si="11"/>
        <v>111</v>
      </c>
      <c r="R31" s="702" t="s">
        <v>18</v>
      </c>
      <c r="S31" s="703">
        <f t="shared" si="12"/>
        <v>100</v>
      </c>
      <c r="T31" s="702" t="s">
        <v>18</v>
      </c>
      <c r="U31" s="703">
        <f t="shared" si="13"/>
        <v>100</v>
      </c>
      <c r="V31" s="702" t="s">
        <v>18</v>
      </c>
      <c r="W31" s="703">
        <f t="shared" si="14"/>
        <v>100</v>
      </c>
      <c r="X31" s="1352"/>
      <c r="Y31" s="3663"/>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747" t="s">
        <v>1694</v>
      </c>
      <c r="Q32" s="1349" t="str">
        <f t="shared" si="11"/>
        <v>建筑类型</v>
      </c>
      <c r="R32" s="702" t="s">
        <v>18</v>
      </c>
      <c r="S32" s="703">
        <f t="shared" si="12"/>
        <v>100</v>
      </c>
      <c r="T32" s="702" t="s">
        <v>18</v>
      </c>
      <c r="U32" s="703">
        <f t="shared" si="13"/>
        <v>100</v>
      </c>
      <c r="V32" s="702" t="s">
        <v>18</v>
      </c>
      <c r="W32" s="703">
        <f t="shared" si="14"/>
        <v>100</v>
      </c>
      <c r="X32" s="1352"/>
      <c r="Y32" s="3665"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748"/>
      <c r="Q33" s="704" t="str">
        <f t="shared" si="11"/>
        <v>项目建筑规模</v>
      </c>
      <c r="R33" s="705" t="s">
        <v>18</v>
      </c>
      <c r="S33" s="706">
        <f t="shared" si="12"/>
        <v>100</v>
      </c>
      <c r="T33" s="705" t="s">
        <v>18</v>
      </c>
      <c r="U33" s="706">
        <f t="shared" si="13"/>
        <v>100</v>
      </c>
      <c r="V33" s="705" t="s">
        <v>18</v>
      </c>
      <c r="W33" s="706">
        <f t="shared" si="14"/>
        <v>100</v>
      </c>
      <c r="X33" s="707"/>
      <c r="Y33" s="3665"/>
      <c r="Z33" s="708" t="str">
        <f t="shared" si="18"/>
        <v>项目建筑规模</v>
      </c>
      <c r="AA33" s="1350">
        <f t="shared" si="15"/>
        <v>1</v>
      </c>
      <c r="AB33" s="1350">
        <f t="shared" si="16"/>
        <v>1</v>
      </c>
      <c r="AC33" s="1350">
        <f t="shared" si="17"/>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377">
        <v>2</v>
      </c>
      <c r="L34" s="2713"/>
      <c r="M34" s="2707"/>
      <c r="N34" s="2707"/>
      <c r="O34" s="2707"/>
      <c r="P34" s="3748"/>
      <c r="Q34" s="1349" t="str">
        <f t="shared" si="11"/>
        <v>建筑结构</v>
      </c>
      <c r="R34" s="702" t="s">
        <v>18</v>
      </c>
      <c r="S34" s="703">
        <f t="shared" si="12"/>
        <v>100</v>
      </c>
      <c r="T34" s="702" t="s">
        <v>18</v>
      </c>
      <c r="U34" s="703">
        <f t="shared" si="13"/>
        <v>100</v>
      </c>
      <c r="V34" s="702" t="s">
        <v>18</v>
      </c>
      <c r="W34" s="703">
        <f t="shared" si="14"/>
        <v>100</v>
      </c>
      <c r="X34" s="1352"/>
      <c r="Y34" s="3665"/>
      <c r="Z34" s="1353" t="str">
        <f t="shared" si="18"/>
        <v>建筑结构</v>
      </c>
      <c r="AA34" s="1350">
        <f t="shared" si="15"/>
        <v>1</v>
      </c>
      <c r="AB34" s="1350">
        <f t="shared" si="16"/>
        <v>1</v>
      </c>
      <c r="AC34" s="1350">
        <f t="shared" si="17"/>
        <v>1</v>
      </c>
    </row>
    <row r="35" spans="1:29" ht="15">
      <c r="A35" s="423"/>
      <c r="B35" s="375" t="s">
        <v>1697</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748"/>
      <c r="Q35" s="1349" t="str">
        <f t="shared" si="11"/>
        <v>建筑品质</v>
      </c>
      <c r="R35" s="702" t="s">
        <v>18</v>
      </c>
      <c r="S35" s="703">
        <f t="shared" si="12"/>
        <v>100</v>
      </c>
      <c r="T35" s="702" t="s">
        <v>18</v>
      </c>
      <c r="U35" s="703">
        <f t="shared" si="13"/>
        <v>100</v>
      </c>
      <c r="V35" s="702" t="s">
        <v>18</v>
      </c>
      <c r="W35" s="703">
        <f t="shared" si="14"/>
        <v>100</v>
      </c>
      <c r="X35" s="1352"/>
      <c r="Y35" s="3665"/>
      <c r="Z35" s="1353" t="str">
        <f t="shared" si="18"/>
        <v>建筑品质</v>
      </c>
      <c r="AA35" s="1350">
        <f t="shared" si="15"/>
        <v>1</v>
      </c>
      <c r="AB35" s="1350">
        <f t="shared" si="16"/>
        <v>1</v>
      </c>
      <c r="AC35" s="1350">
        <f t="shared" si="17"/>
        <v>1</v>
      </c>
    </row>
    <row r="36" spans="1:29" ht="15">
      <c r="A36" s="423"/>
      <c r="B36" s="375" t="s">
        <v>1698</v>
      </c>
      <c r="C36" s="1903" t="s">
        <v>3444</v>
      </c>
      <c r="D36" s="386">
        <v>100</v>
      </c>
      <c r="E36" s="1903" t="s">
        <v>3444</v>
      </c>
      <c r="F36" s="412">
        <f>SUMIF(109:109,E36,110:110)-SUMIF(109:109,C36,110:110)+100</f>
        <v>100</v>
      </c>
      <c r="G36" s="1903" t="s">
        <v>3444</v>
      </c>
      <c r="H36" s="386">
        <f>SUMIF(109:109,G36,110:110)-SUMIF(109:109,C36,110:110)+100</f>
        <v>100</v>
      </c>
      <c r="I36" s="1903" t="s">
        <v>3444</v>
      </c>
      <c r="J36" s="386">
        <f>SUMIF(109:109,I36,110:110)-SUMIF(109:109,C36,110:110)+100</f>
        <v>100</v>
      </c>
      <c r="K36" s="377">
        <v>2</v>
      </c>
      <c r="L36" s="2713"/>
      <c r="M36" s="2707"/>
      <c r="N36" s="2707"/>
      <c r="O36" s="2707"/>
      <c r="P36" s="3748"/>
      <c r="Q36" s="1349" t="str">
        <f t="shared" si="11"/>
        <v>公共部分装修</v>
      </c>
      <c r="R36" s="702" t="s">
        <v>18</v>
      </c>
      <c r="S36" s="703">
        <f t="shared" si="12"/>
        <v>100</v>
      </c>
      <c r="T36" s="702" t="s">
        <v>18</v>
      </c>
      <c r="U36" s="703">
        <f t="shared" si="13"/>
        <v>100</v>
      </c>
      <c r="V36" s="702" t="s">
        <v>18</v>
      </c>
      <c r="W36" s="703">
        <f t="shared" si="14"/>
        <v>100</v>
      </c>
      <c r="X36" s="1352"/>
      <c r="Y36" s="3665"/>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748"/>
      <c r="Q37" s="1340" t="str">
        <f t="shared" si="11"/>
        <v>成新度</v>
      </c>
      <c r="R37" s="698" t="s">
        <v>18</v>
      </c>
      <c r="S37" s="699" t="e">
        <f t="shared" si="12"/>
        <v>#N/A</v>
      </c>
      <c r="T37" s="698" t="s">
        <v>18</v>
      </c>
      <c r="U37" s="699" t="e">
        <f t="shared" si="13"/>
        <v>#N/A</v>
      </c>
      <c r="V37" s="698" t="s">
        <v>18</v>
      </c>
      <c r="W37" s="699" t="e">
        <f t="shared" si="14"/>
        <v>#N/A</v>
      </c>
      <c r="X37" s="700"/>
      <c r="Y37" s="3665"/>
      <c r="Z37" s="52" t="str">
        <f t="shared" si="18"/>
        <v>成新度</v>
      </c>
      <c r="AA37" s="701" t="e">
        <f t="shared" si="15"/>
        <v>#N/A</v>
      </c>
      <c r="AB37" s="701" t="e">
        <f t="shared" si="16"/>
        <v>#N/A</v>
      </c>
      <c r="AC37" s="701" t="e">
        <f t="shared" si="17"/>
        <v>#N/A</v>
      </c>
    </row>
    <row r="38" spans="1:29" ht="15">
      <c r="A38" s="423"/>
      <c r="B38" s="375" t="s">
        <v>1700</v>
      </c>
      <c r="C38" s="1903" t="s">
        <v>3449</v>
      </c>
      <c r="D38" s="386">
        <v>100</v>
      </c>
      <c r="E38" s="1903" t="s">
        <v>3449</v>
      </c>
      <c r="F38" s="412">
        <f>SUMIF(114:114,E38,115:115)-SUMIF(114:114,C38,115:115)+100</f>
        <v>100</v>
      </c>
      <c r="G38" s="1903" t="s">
        <v>3449</v>
      </c>
      <c r="H38" s="386">
        <f>SUMIF(114:114,G38,115:115)-SUMIF(114:114,C38,115:115)+100</f>
        <v>100</v>
      </c>
      <c r="I38" s="1903" t="s">
        <v>3449</v>
      </c>
      <c r="J38" s="386">
        <f>SUMIF(114:114,I38,115:115)-SUMIF(114:114,C38,115:115)+100</f>
        <v>100</v>
      </c>
      <c r="K38" s="377">
        <v>2</v>
      </c>
      <c r="L38" s="2713"/>
      <c r="M38" s="2707"/>
      <c r="N38" s="2707"/>
      <c r="O38" s="2707"/>
      <c r="P38" s="3748" t="s">
        <v>1694</v>
      </c>
      <c r="Q38" s="1349" t="str">
        <f t="shared" si="11"/>
        <v>物业管理</v>
      </c>
      <c r="R38" s="702" t="s">
        <v>18</v>
      </c>
      <c r="S38" s="703">
        <f t="shared" si="12"/>
        <v>100</v>
      </c>
      <c r="T38" s="702" t="s">
        <v>18</v>
      </c>
      <c r="U38" s="703">
        <f t="shared" si="13"/>
        <v>100</v>
      </c>
      <c r="V38" s="702" t="s">
        <v>18</v>
      </c>
      <c r="W38" s="703">
        <f t="shared" si="14"/>
        <v>100</v>
      </c>
      <c r="X38" s="1352"/>
      <c r="Y38" s="3665" t="s">
        <v>1694</v>
      </c>
      <c r="Z38" s="1353" t="str">
        <f t="shared" si="18"/>
        <v>物业管理</v>
      </c>
      <c r="AA38" s="1350">
        <f t="shared" si="15"/>
        <v>1</v>
      </c>
      <c r="AB38" s="1350">
        <f t="shared" si="16"/>
        <v>1</v>
      </c>
      <c r="AC38" s="1350">
        <f t="shared" si="17"/>
        <v>1</v>
      </c>
    </row>
    <row r="39" spans="1:29" ht="15">
      <c r="A39" s="423"/>
      <c r="B39" s="375" t="s">
        <v>1701</v>
      </c>
      <c r="C39" s="1903" t="s">
        <v>3387</v>
      </c>
      <c r="D39" s="386">
        <v>100</v>
      </c>
      <c r="E39" s="1903" t="s">
        <v>3387</v>
      </c>
      <c r="F39" s="412">
        <f>SUMIF(116:116,E39,117:117)-SUMIF(116:116,C39,117:117)+100</f>
        <v>100</v>
      </c>
      <c r="G39" s="1903" t="s">
        <v>3387</v>
      </c>
      <c r="H39" s="386">
        <f>SUMIF(116:116,G39,117:117)-SUMIF(116:116,C39,117:117)+100</f>
        <v>100</v>
      </c>
      <c r="I39" s="1903" t="s">
        <v>3387</v>
      </c>
      <c r="J39" s="386">
        <f>SUMIF(116:116,I39,117:117)-SUMIF(116:116,C39,117:117)+100</f>
        <v>100</v>
      </c>
      <c r="K39" s="377">
        <v>1</v>
      </c>
      <c r="L39" s="2713"/>
      <c r="M39" s="2707"/>
      <c r="N39" s="2707"/>
      <c r="O39" s="2707"/>
      <c r="P39" s="3748"/>
      <c r="Q39" s="1349" t="str">
        <f t="shared" si="11"/>
        <v>市政基础设施</v>
      </c>
      <c r="R39" s="702" t="s">
        <v>18</v>
      </c>
      <c r="S39" s="703">
        <f t="shared" si="12"/>
        <v>100</v>
      </c>
      <c r="T39" s="702" t="s">
        <v>18</v>
      </c>
      <c r="U39" s="703">
        <f t="shared" si="13"/>
        <v>100</v>
      </c>
      <c r="V39" s="702" t="s">
        <v>18</v>
      </c>
      <c r="W39" s="703">
        <f t="shared" si="14"/>
        <v>100</v>
      </c>
      <c r="X39" s="1352"/>
      <c r="Y39" s="3665"/>
      <c r="Z39" s="1353" t="str">
        <f t="shared" si="18"/>
        <v>市政基础设施</v>
      </c>
      <c r="AA39" s="1350">
        <f t="shared" si="15"/>
        <v>1</v>
      </c>
      <c r="AB39" s="1350">
        <f t="shared" si="16"/>
        <v>1</v>
      </c>
      <c r="AC39" s="1350">
        <f t="shared" si="17"/>
        <v>1</v>
      </c>
    </row>
    <row r="40" spans="1:29" ht="15">
      <c r="A40" s="423"/>
      <c r="B40" s="375" t="s">
        <v>1702</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748"/>
      <c r="Q40" s="1349" t="str">
        <f t="shared" si="11"/>
        <v>房型</v>
      </c>
      <c r="R40" s="702" t="s">
        <v>18</v>
      </c>
      <c r="S40" s="703">
        <f t="shared" si="12"/>
        <v>100</v>
      </c>
      <c r="T40" s="702" t="s">
        <v>18</v>
      </c>
      <c r="U40" s="703">
        <f t="shared" si="13"/>
        <v>100</v>
      </c>
      <c r="V40" s="702" t="s">
        <v>18</v>
      </c>
      <c r="W40" s="703">
        <f t="shared" si="14"/>
        <v>100</v>
      </c>
      <c r="X40" s="1352"/>
      <c r="Y40" s="3665"/>
      <c r="Z40" s="1353" t="str">
        <f t="shared" si="18"/>
        <v>房型</v>
      </c>
      <c r="AA40" s="1350">
        <f t="shared" si="15"/>
        <v>1</v>
      </c>
      <c r="AB40" s="1350">
        <f t="shared" si="16"/>
        <v>1</v>
      </c>
      <c r="AC40" s="1350">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748"/>
      <c r="Q41" s="704" t="str">
        <f t="shared" si="11"/>
        <v>单套/主力户型建筑面积</v>
      </c>
      <c r="R41" s="705" t="s">
        <v>18</v>
      </c>
      <c r="S41" s="706">
        <f t="shared" si="12"/>
        <v>100</v>
      </c>
      <c r="T41" s="705" t="s">
        <v>18</v>
      </c>
      <c r="U41" s="706">
        <f t="shared" si="13"/>
        <v>100</v>
      </c>
      <c r="V41" s="705" t="s">
        <v>18</v>
      </c>
      <c r="W41" s="706">
        <f t="shared" si="14"/>
        <v>100</v>
      </c>
      <c r="X41" s="707"/>
      <c r="Y41" s="3665"/>
      <c r="Z41" s="708" t="str">
        <f t="shared" si="18"/>
        <v>单套/主力户型建筑面积</v>
      </c>
      <c r="AA41" s="1350">
        <f t="shared" si="15"/>
        <v>1</v>
      </c>
      <c r="AB41" s="1350">
        <f t="shared" si="16"/>
        <v>1</v>
      </c>
      <c r="AC41" s="1350">
        <f t="shared" si="17"/>
        <v>1</v>
      </c>
    </row>
    <row r="42" spans="1:29" ht="15">
      <c r="A42" s="423"/>
      <c r="B42" s="375" t="s">
        <v>1704</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748"/>
      <c r="Q42" s="1349" t="str">
        <f t="shared" si="11"/>
        <v>内部装修</v>
      </c>
      <c r="R42" s="702" t="s">
        <v>18</v>
      </c>
      <c r="S42" s="703">
        <f t="shared" si="12"/>
        <v>100</v>
      </c>
      <c r="T42" s="702" t="s">
        <v>18</v>
      </c>
      <c r="U42" s="703">
        <f t="shared" si="13"/>
        <v>100</v>
      </c>
      <c r="V42" s="702" t="s">
        <v>18</v>
      </c>
      <c r="W42" s="703">
        <f t="shared" si="14"/>
        <v>100</v>
      </c>
      <c r="X42" s="1352"/>
      <c r="Y42" s="3665"/>
      <c r="Z42" s="1353" t="str">
        <f t="shared" si="18"/>
        <v>内部装修</v>
      </c>
      <c r="AA42" s="1350">
        <f t="shared" si="15"/>
        <v>1</v>
      </c>
      <c r="AB42" s="1350">
        <f t="shared" si="16"/>
        <v>1</v>
      </c>
      <c r="AC42" s="1350">
        <f t="shared" si="17"/>
        <v>1</v>
      </c>
    </row>
    <row r="43" spans="1:29" ht="15">
      <c r="A43" s="423"/>
      <c r="B43" s="375" t="s">
        <v>1705</v>
      </c>
      <c r="C43" s="1903" t="s">
        <v>3383</v>
      </c>
      <c r="D43" s="386">
        <v>100</v>
      </c>
      <c r="E43" s="1903" t="s">
        <v>3383</v>
      </c>
      <c r="F43" s="412">
        <f>SUMIF(124:124,E43,125:125)-SUMIF(124:124,C43,125:125)+100</f>
        <v>100</v>
      </c>
      <c r="G43" s="1903" t="s">
        <v>3383</v>
      </c>
      <c r="H43" s="386">
        <f>SUMIF(124:124,G43,125:125)-SUMIF(124:124,C43,125:125)+100</f>
        <v>100</v>
      </c>
      <c r="I43" s="1903" t="s">
        <v>3383</v>
      </c>
      <c r="J43" s="386">
        <f>SUMIF(124:124,I43,125:125)-SUMIF(124:124,C43,125:125)+100</f>
        <v>100</v>
      </c>
      <c r="K43" s="377">
        <v>2</v>
      </c>
      <c r="L43" s="2713"/>
      <c r="M43" s="2707"/>
      <c r="N43" s="2707"/>
      <c r="O43" s="2707"/>
      <c r="P43" s="3748"/>
      <c r="Q43" s="1349" t="str">
        <f t="shared" si="11"/>
        <v>内部装修维护情况</v>
      </c>
      <c r="R43" s="702" t="s">
        <v>18</v>
      </c>
      <c r="S43" s="703">
        <f t="shared" si="12"/>
        <v>100</v>
      </c>
      <c r="T43" s="702" t="s">
        <v>18</v>
      </c>
      <c r="U43" s="703">
        <f t="shared" si="13"/>
        <v>100</v>
      </c>
      <c r="V43" s="702" t="s">
        <v>18</v>
      </c>
      <c r="W43" s="703">
        <f t="shared" si="14"/>
        <v>100</v>
      </c>
      <c r="X43" s="1352"/>
      <c r="Y43" s="366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748"/>
      <c r="Q44" s="1340">
        <f t="shared" si="11"/>
        <v>111</v>
      </c>
      <c r="R44" s="698" t="s">
        <v>18</v>
      </c>
      <c r="S44" s="699">
        <f t="shared" si="12"/>
        <v>100</v>
      </c>
      <c r="T44" s="698" t="s">
        <v>18</v>
      </c>
      <c r="U44" s="699">
        <f t="shared" si="13"/>
        <v>100</v>
      </c>
      <c r="V44" s="698" t="s">
        <v>18</v>
      </c>
      <c r="W44" s="699">
        <f t="shared" si="14"/>
        <v>100</v>
      </c>
      <c r="X44" s="700"/>
      <c r="Y44" s="366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748"/>
      <c r="Q45" s="1349">
        <f t="shared" si="11"/>
        <v>111</v>
      </c>
      <c r="R45" s="702" t="s">
        <v>18</v>
      </c>
      <c r="S45" s="703">
        <f t="shared" si="12"/>
        <v>100</v>
      </c>
      <c r="T45" s="702" t="s">
        <v>18</v>
      </c>
      <c r="U45" s="703">
        <f t="shared" si="13"/>
        <v>100</v>
      </c>
      <c r="V45" s="702" t="s">
        <v>18</v>
      </c>
      <c r="W45" s="703">
        <f t="shared" si="14"/>
        <v>100</v>
      </c>
      <c r="X45" s="1352"/>
      <c r="Y45" s="3665"/>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749"/>
      <c r="Q46" s="1349">
        <f t="shared" si="11"/>
        <v>111</v>
      </c>
      <c r="R46" s="702" t="s">
        <v>17</v>
      </c>
      <c r="S46" s="703">
        <f t="shared" si="12"/>
        <v>100</v>
      </c>
      <c r="T46" s="702" t="s">
        <v>17</v>
      </c>
      <c r="U46" s="703">
        <f t="shared" si="13"/>
        <v>100</v>
      </c>
      <c r="V46" s="702" t="s">
        <v>17</v>
      </c>
      <c r="W46" s="703">
        <f t="shared" si="14"/>
        <v>100</v>
      </c>
      <c r="X46" s="1352"/>
      <c r="Y46" s="3750"/>
      <c r="Z46" s="1353">
        <f t="shared" si="18"/>
        <v>111</v>
      </c>
      <c r="AA46" s="1350">
        <f t="shared" si="15"/>
        <v>1</v>
      </c>
      <c r="AB46" s="1350">
        <f t="shared" si="16"/>
        <v>1</v>
      </c>
      <c r="AC46" s="1350">
        <f t="shared" si="17"/>
        <v>1</v>
      </c>
    </row>
    <row r="47" spans="1:29" ht="15">
      <c r="A47" s="428" t="s">
        <v>1706</v>
      </c>
      <c r="B47" s="429"/>
      <c r="C47" s="1151" t="s">
        <v>16</v>
      </c>
      <c r="D47" s="1152"/>
      <c r="E47" s="1153"/>
      <c r="F47" s="1154"/>
      <c r="G47" s="1155"/>
      <c r="H47" s="1156"/>
      <c r="I47" s="1153"/>
      <c r="J47" s="1156"/>
      <c r="K47" s="1910"/>
      <c r="L47" s="2715"/>
      <c r="M47" s="2716"/>
      <c r="N47" s="2707"/>
      <c r="O47" s="2716"/>
      <c r="P47" s="3657" t="str">
        <f>A47</f>
        <v>成交单价（元/平方米）</v>
      </c>
      <c r="Q47" s="3657"/>
      <c r="R47" s="3746">
        <f>E47</f>
        <v>0</v>
      </c>
      <c r="S47" s="3746"/>
      <c r="T47" s="3746">
        <f>G47</f>
        <v>0</v>
      </c>
      <c r="U47" s="3746"/>
      <c r="V47" s="3746">
        <f>I47</f>
        <v>0</v>
      </c>
      <c r="W47" s="3746"/>
      <c r="X47" s="687"/>
      <c r="Y47" s="709"/>
      <c r="Z47" s="687"/>
      <c r="AA47" s="687"/>
      <c r="AB47" s="687"/>
      <c r="AC47" s="687"/>
    </row>
    <row r="48" spans="1:29" ht="15.75" thickBot="1">
      <c r="A48" s="435" t="s">
        <v>1707</v>
      </c>
      <c r="B48" s="436"/>
      <c r="C48" s="1157" t="e">
        <f>R49</f>
        <v>#N/A</v>
      </c>
      <c r="D48" s="2313" t="s">
        <v>2135</v>
      </c>
      <c r="E48" s="1158" t="e">
        <f>R48</f>
        <v>#N/A</v>
      </c>
      <c r="F48" s="2314"/>
      <c r="G48" s="1157" t="e">
        <f>T48</f>
        <v>#N/A</v>
      </c>
      <c r="H48" s="2314"/>
      <c r="I48" s="1158" t="e">
        <f>V48</f>
        <v>#N/A</v>
      </c>
      <c r="J48" s="2314"/>
      <c r="K48" s="2315">
        <f>F48+H48+J48</f>
        <v>0</v>
      </c>
      <c r="L48" s="2715"/>
      <c r="M48" s="2716"/>
      <c r="N48" s="2716"/>
      <c r="O48" s="2716"/>
      <c r="P48" s="3657" t="str">
        <f>A48</f>
        <v>比较价值（元/平方米）</v>
      </c>
      <c r="Q48" s="3657"/>
      <c r="R48" s="3746" t="e">
        <f>IF(F1="售价",ROUND(PRODUCT(R47,AA7:AA46),0),ROUND(PRODUCT(R47,AA7:AA46),1))</f>
        <v>#N/A</v>
      </c>
      <c r="S48" s="3746"/>
      <c r="T48" s="3746" t="e">
        <f>IF(F1="售价",ROUND(PRODUCT(T47,AB7:AB46),0),ROUND(PRODUCT(T47,AB7:AB46),1))</f>
        <v>#N/A</v>
      </c>
      <c r="U48" s="3746"/>
      <c r="V48" s="3746" t="e">
        <f>IF(F1="售价",ROUND(PRODUCT(V47,AC7:AC46),0),ROUND(PRODUCT(V47,AC7:AC46),1))</f>
        <v>#N/A</v>
      </c>
      <c r="W48" s="3746"/>
      <c r="X48" s="687"/>
      <c r="Y48" s="687"/>
      <c r="Z48" s="687"/>
      <c r="AA48" s="687"/>
      <c r="AB48" s="687"/>
      <c r="AC48" s="687"/>
    </row>
    <row r="49" spans="1:29" ht="15.75" thickBot="1">
      <c r="A49" s="439" t="s">
        <v>1708</v>
      </c>
      <c r="B49" s="440"/>
      <c r="C49" s="1159" t="e">
        <f>R49</f>
        <v>#N/A</v>
      </c>
      <c r="D49" s="1160"/>
      <c r="E49" s="1160"/>
      <c r="F49" s="1160"/>
      <c r="G49" s="1160"/>
      <c r="H49" s="1160"/>
      <c r="I49" s="1160"/>
      <c r="J49" s="1160"/>
      <c r="K49" s="1911"/>
      <c r="L49" s="2715"/>
      <c r="M49" s="2716"/>
      <c r="N49" s="2716"/>
      <c r="O49" s="2716"/>
      <c r="P49" s="3654" t="str">
        <f>A49</f>
        <v>估价对象XX用房的比较价值（楼面单价，元/平方米）</v>
      </c>
      <c r="Q49" s="3655"/>
      <c r="R49" s="3745" t="e">
        <f>IF(F1="售价",ROUND(IF(D48="简单平均",AVERAGE(R48:V48),R48*F48+T48*H48+V48*J48),0),ROUND(IF(D48="简单平均",AVERAGE(R48:V48),R48*F48+T48*H48+V48*J48),1))</f>
        <v>#N/A</v>
      </c>
      <c r="S49" s="3745"/>
      <c r="T49" s="3745"/>
      <c r="U49" s="3745"/>
      <c r="V49" s="3745"/>
      <c r="W49" s="3745"/>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1709</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1710</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1711</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1712</v>
      </c>
      <c r="B57" s="687"/>
      <c r="C57" s="692"/>
      <c r="D57" s="692"/>
      <c r="E57" s="692"/>
      <c r="F57" s="693"/>
      <c r="G57" s="693"/>
      <c r="H57" s="692"/>
      <c r="I57" s="692"/>
      <c r="J57" s="692"/>
      <c r="K57" s="938"/>
      <c r="L57" s="939"/>
      <c r="M57" s="937"/>
      <c r="N57" s="937"/>
      <c r="O57" s="937"/>
      <c r="P57" s="1914"/>
      <c r="Q57" s="451"/>
    </row>
    <row r="58" spans="1:29" s="455" customFormat="1" ht="15">
      <c r="A58" s="452" t="s">
        <v>1713</v>
      </c>
      <c r="B58" s="453"/>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1714</v>
      </c>
      <c r="B60" s="463"/>
      <c r="C60" s="464"/>
      <c r="D60" s="465"/>
      <c r="E60" s="465"/>
      <c r="F60" s="465"/>
      <c r="G60" s="465"/>
      <c r="H60" s="465"/>
      <c r="I60" s="465"/>
      <c r="J60" s="465"/>
      <c r="K60" s="465"/>
      <c r="L60" s="465"/>
      <c r="M60" s="466"/>
      <c r="N60" s="465"/>
      <c r="O60" s="466"/>
      <c r="P60" s="1916"/>
      <c r="Q60" s="451"/>
    </row>
    <row r="61" spans="1:29" s="108" customFormat="1" ht="15">
      <c r="A61" s="468" t="s">
        <v>1715</v>
      </c>
      <c r="B61" s="457"/>
      <c r="C61" s="469" t="s">
        <v>1716</v>
      </c>
      <c r="D61" s="3449" t="s">
        <v>3409</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1717</v>
      </c>
      <c r="B63" s="475" t="s">
        <v>1683</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1686</v>
      </c>
      <c r="C65" s="530" t="s">
        <v>3410</v>
      </c>
      <c r="D65" s="530" t="s">
        <v>3411</v>
      </c>
      <c r="E65" s="530" t="s">
        <v>3412</v>
      </c>
      <c r="F65" s="530" t="s">
        <v>3413</v>
      </c>
      <c r="G65" s="530" t="s">
        <v>3414</v>
      </c>
      <c r="H65" s="3450" t="s">
        <v>3416</v>
      </c>
      <c r="I65" s="530" t="s">
        <v>3415</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1687</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3417</v>
      </c>
      <c r="D70" s="3451" t="s">
        <v>3418</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1258</v>
      </c>
      <c r="C82" s="486" t="s">
        <v>1726</v>
      </c>
      <c r="D82" s="486" t="s">
        <v>1727</v>
      </c>
      <c r="E82" s="486" t="s">
        <v>1728</v>
      </c>
      <c r="F82" s="486" t="s">
        <v>1729</v>
      </c>
      <c r="G82" s="486" t="s">
        <v>1730</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1732</v>
      </c>
      <c r="C86" s="3451" t="s">
        <v>3419</v>
      </c>
      <c r="D86" s="3451" t="s">
        <v>3420</v>
      </c>
      <c r="E86" s="3451" t="s">
        <v>3421</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1733</v>
      </c>
      <c r="C88" s="3451" t="s">
        <v>3422</v>
      </c>
      <c r="D88" s="3451" t="s">
        <v>3423</v>
      </c>
      <c r="E88" s="3451" t="s">
        <v>3424</v>
      </c>
      <c r="F88" s="3452" t="s">
        <v>3425</v>
      </c>
      <c r="G88" s="3451" t="s">
        <v>3426</v>
      </c>
      <c r="H88" s="3451" t="s">
        <v>3427</v>
      </c>
      <c r="I88" s="3451" t="s">
        <v>3428</v>
      </c>
      <c r="J88" s="3451" t="s">
        <v>3429</v>
      </c>
      <c r="K88" s="3451" t="s">
        <v>3430</v>
      </c>
      <c r="L88" s="3451" t="s">
        <v>3431</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1692</v>
      </c>
      <c r="B100" s="475" t="s">
        <v>1734</v>
      </c>
      <c r="C100" s="3453" t="s">
        <v>3432</v>
      </c>
      <c r="D100" s="3453" t="s">
        <v>3433</v>
      </c>
      <c r="E100" s="3453" t="s">
        <v>3434</v>
      </c>
      <c r="F100" s="3453" t="s">
        <v>3435</v>
      </c>
      <c r="G100" s="3453" t="s">
        <v>3436</v>
      </c>
      <c r="H100" s="3453" t="s">
        <v>3437</v>
      </c>
      <c r="I100" s="3453" t="s">
        <v>3438</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1735</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1736</v>
      </c>
      <c r="C105" s="3451" t="s">
        <v>3439</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1737</v>
      </c>
      <c r="C107" s="3454" t="s">
        <v>3440</v>
      </c>
      <c r="D107" s="3454" t="s">
        <v>3441</v>
      </c>
      <c r="E107" s="3454" t="s">
        <v>3442</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1738</v>
      </c>
      <c r="C109" s="3451" t="s">
        <v>3443</v>
      </c>
      <c r="D109" s="3451" t="s">
        <v>3445</v>
      </c>
      <c r="E109" s="3451" t="s">
        <v>3446</v>
      </c>
      <c r="F109" s="3454" t="s">
        <v>3447</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1739</v>
      </c>
      <c r="C114" s="3451" t="s">
        <v>3450</v>
      </c>
      <c r="D114" s="3451" t="s">
        <v>3448</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1741</v>
      </c>
      <c r="C118" s="3454" t="s">
        <v>3451</v>
      </c>
      <c r="D118" s="3454" t="s">
        <v>3452</v>
      </c>
      <c r="E118" s="3454" t="s">
        <v>3453</v>
      </c>
      <c r="F118" s="3454" t="s">
        <v>3454</v>
      </c>
      <c r="G118" s="3454" t="s">
        <v>3455</v>
      </c>
      <c r="H118" s="3454" t="s">
        <v>3456</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1703</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1742</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4">
        <v>6</v>
      </c>
      <c r="C139" s="865">
        <v>96</v>
      </c>
      <c r="D139" s="1936" t="s">
        <v>1753</v>
      </c>
      <c r="E139" s="866">
        <v>100</v>
      </c>
      <c r="F139" s="867">
        <v>102.5</v>
      </c>
      <c r="G139" s="1936" t="s">
        <v>1753</v>
      </c>
      <c r="H139" s="868">
        <v>105</v>
      </c>
      <c r="I139" s="1937" t="s">
        <v>1754</v>
      </c>
      <c r="J139" s="865">
        <v>20</v>
      </c>
      <c r="K139" s="869">
        <f>C145/(J139-2)</f>
        <v>4.0555555555555553E-3</v>
      </c>
    </row>
    <row r="140" spans="1:17" ht="15">
      <c r="B140" s="870">
        <v>5</v>
      </c>
      <c r="C140" s="871">
        <v>100</v>
      </c>
      <c r="D140" s="871"/>
      <c r="E140" s="872"/>
      <c r="F140" s="873">
        <v>102</v>
      </c>
      <c r="G140" s="871"/>
      <c r="H140" s="874"/>
      <c r="I140" s="1938" t="s">
        <v>1755</v>
      </c>
      <c r="J140" s="271">
        <f>ROUNDUP((J139-1)/2,0)</f>
        <v>10</v>
      </c>
      <c r="K140" s="875">
        <v>100</v>
      </c>
    </row>
    <row r="141" spans="1:17" ht="15">
      <c r="B141" s="870">
        <v>4</v>
      </c>
      <c r="C141" s="871">
        <v>102</v>
      </c>
      <c r="D141" s="871"/>
      <c r="E141" s="872"/>
      <c r="F141" s="873">
        <v>101.5</v>
      </c>
      <c r="G141" s="871"/>
      <c r="H141" s="874"/>
      <c r="I141" s="1938" t="s">
        <v>1756</v>
      </c>
      <c r="J141" s="271">
        <v>1</v>
      </c>
      <c r="K141" s="876">
        <f>ROUND(100+(J141-J140)*K139*100,1)</f>
        <v>96.4</v>
      </c>
    </row>
    <row r="142" spans="1:17" ht="15">
      <c r="B142" s="870">
        <v>3</v>
      </c>
      <c r="C142" s="871">
        <v>103</v>
      </c>
      <c r="D142" s="871"/>
      <c r="E142" s="872"/>
      <c r="F142" s="873">
        <v>101</v>
      </c>
      <c r="G142" s="871"/>
      <c r="H142" s="874"/>
      <c r="I142" s="1938" t="s">
        <v>1757</v>
      </c>
      <c r="J142" s="271">
        <f>J139</f>
        <v>20</v>
      </c>
      <c r="K142" s="877">
        <v>95</v>
      </c>
    </row>
    <row r="143" spans="1:17" ht="15">
      <c r="B143" s="870">
        <v>2</v>
      </c>
      <c r="C143" s="871">
        <v>100</v>
      </c>
      <c r="D143" s="871"/>
      <c r="E143" s="872"/>
      <c r="F143" s="873">
        <v>100.5</v>
      </c>
      <c r="G143" s="871"/>
      <c r="H143" s="874"/>
      <c r="I143" s="1938" t="s">
        <v>1758</v>
      </c>
      <c r="J143" s="871">
        <v>15</v>
      </c>
      <c r="K143" s="876">
        <f>ROUND(100+(J143-J140)*K139*100,1)</f>
        <v>102</v>
      </c>
    </row>
    <row r="144" spans="1:17" ht="15">
      <c r="B144" s="870">
        <v>1</v>
      </c>
      <c r="C144" s="871">
        <v>98</v>
      </c>
      <c r="D144" s="1939" t="s">
        <v>1759</v>
      </c>
      <c r="E144" s="872">
        <v>102</v>
      </c>
      <c r="F144" s="878">
        <v>100</v>
      </c>
      <c r="G144" s="1939" t="s">
        <v>1759</v>
      </c>
      <c r="H144" s="874">
        <v>105</v>
      </c>
      <c r="I144" s="1938" t="s">
        <v>1758</v>
      </c>
      <c r="J144" s="871">
        <v>18</v>
      </c>
      <c r="K144" s="876">
        <f>ROUND(100+(J144-J140)*K139*100,1)</f>
        <v>103.2</v>
      </c>
    </row>
    <row r="145" spans="2:11" ht="15.75" thickBot="1">
      <c r="B145" s="1940" t="s">
        <v>1760</v>
      </c>
      <c r="C145" s="879">
        <f>ROUND(MAX(C139:C144)/MIN(C139:C144)-1,3)</f>
        <v>7.2999999999999995E-2</v>
      </c>
      <c r="D145" s="880"/>
      <c r="E145" s="880"/>
      <c r="F145" s="1941" t="s">
        <v>1761</v>
      </c>
      <c r="G145" s="1942"/>
      <c r="H145" s="1943"/>
      <c r="I145" s="1944" t="s">
        <v>1758</v>
      </c>
      <c r="J145" s="881">
        <v>8</v>
      </c>
      <c r="K145" s="882">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7" t="s">
        <v>3457</v>
      </c>
      <c r="F1" s="1876" t="s">
        <v>3458</v>
      </c>
      <c r="G1" s="1232" t="s">
        <v>1765</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1460</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1462</v>
      </c>
      <c r="B3" s="556" t="e">
        <f>IF(C2="——",C49,ROUND(B2*10000/D3,0))</f>
        <v>#N/A</v>
      </c>
      <c r="C3" s="354" t="s">
        <v>1766</v>
      </c>
      <c r="D3" s="353">
        <f>IF(D1="",'数据-汇总表'!E3,SUMIF('数据-汇总表'!$C19:$C33,D1,'数据-汇总表'!$E19:$E33))</f>
        <v>27041.94</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1767</v>
      </c>
      <c r="B4" s="356"/>
      <c r="C4" s="3669" t="s">
        <v>1768</v>
      </c>
      <c r="D4" s="3670"/>
      <c r="E4" s="3671" t="s">
        <v>1769</v>
      </c>
      <c r="F4" s="3672"/>
      <c r="G4" s="3669" t="s">
        <v>1770</v>
      </c>
      <c r="H4" s="3670"/>
      <c r="I4" s="3669" t="s">
        <v>1771</v>
      </c>
      <c r="J4" s="3670"/>
      <c r="K4" s="557" t="s">
        <v>1772</v>
      </c>
      <c r="L4" s="2706"/>
      <c r="M4" s="2707"/>
      <c r="N4" s="2707"/>
      <c r="O4" s="2707"/>
      <c r="P4" s="3673" t="s">
        <v>1773</v>
      </c>
      <c r="Q4" s="3674"/>
      <c r="R4" s="3683" t="s">
        <v>1769</v>
      </c>
      <c r="S4" s="3684"/>
      <c r="T4" s="3683" t="s">
        <v>1770</v>
      </c>
      <c r="U4" s="3684"/>
      <c r="V4" s="3661" t="s">
        <v>1771</v>
      </c>
      <c r="W4" s="3661"/>
      <c r="X4" s="1352"/>
      <c r="Y4" s="3683" t="s">
        <v>1773</v>
      </c>
      <c r="Z4" s="3684"/>
      <c r="AA4" s="3666" t="s">
        <v>1769</v>
      </c>
      <c r="AB4" s="3661" t="s">
        <v>1770</v>
      </c>
      <c r="AC4" s="3666" t="s">
        <v>1771</v>
      </c>
    </row>
    <row r="5" spans="1:29" ht="15">
      <c r="A5" s="358"/>
      <c r="B5" s="359"/>
      <c r="C5" s="3687" t="s">
        <v>1671</v>
      </c>
      <c r="D5" s="3688"/>
      <c r="E5" s="3679" t="s">
        <v>1672</v>
      </c>
      <c r="F5" s="3680"/>
      <c r="G5" s="3687" t="s">
        <v>1673</v>
      </c>
      <c r="H5" s="3688"/>
      <c r="I5" s="3687" t="s">
        <v>1674</v>
      </c>
      <c r="J5" s="3688"/>
      <c r="K5" s="557"/>
      <c r="L5" s="2706"/>
      <c r="M5" s="2707"/>
      <c r="N5" s="2707"/>
      <c r="O5" s="2707"/>
      <c r="P5" s="3675"/>
      <c r="Q5" s="3676"/>
      <c r="R5" s="3685"/>
      <c r="S5" s="3686"/>
      <c r="T5" s="3685"/>
      <c r="U5" s="3686"/>
      <c r="V5" s="3661"/>
      <c r="W5" s="3661"/>
      <c r="X5" s="1352"/>
      <c r="Y5" s="3685"/>
      <c r="Z5" s="3686"/>
      <c r="AA5" s="3667"/>
      <c r="AB5" s="3661"/>
      <c r="AC5" s="3667"/>
    </row>
    <row r="6" spans="1:29" ht="15.75" thickBot="1">
      <c r="A6" s="360"/>
      <c r="B6" s="361"/>
      <c r="C6" s="3741" t="s">
        <v>1675</v>
      </c>
      <c r="D6" s="3742"/>
      <c r="E6" s="3743" t="s">
        <v>1675</v>
      </c>
      <c r="F6" s="3744"/>
      <c r="G6" s="3741" t="s">
        <v>1675</v>
      </c>
      <c r="H6" s="3742"/>
      <c r="I6" s="3741" t="s">
        <v>1675</v>
      </c>
      <c r="J6" s="3742"/>
      <c r="K6" s="557" t="s">
        <v>1676</v>
      </c>
      <c r="L6" s="2706"/>
      <c r="M6" s="2707"/>
      <c r="N6" s="2707"/>
      <c r="O6" s="2707"/>
      <c r="P6" s="3677"/>
      <c r="Q6" s="3678"/>
      <c r="R6" s="3685"/>
      <c r="S6" s="3686"/>
      <c r="T6" s="3694"/>
      <c r="U6" s="3695"/>
      <c r="V6" s="3661"/>
      <c r="W6" s="3661"/>
      <c r="X6" s="1352"/>
      <c r="Y6" s="3694"/>
      <c r="Z6" s="3695"/>
      <c r="AA6" s="3668"/>
      <c r="AB6" s="3661"/>
      <c r="AC6" s="3668"/>
    </row>
    <row r="7" spans="1:29" s="108" customFormat="1" ht="15.75" thickBot="1">
      <c r="A7" s="362" t="s">
        <v>1677</v>
      </c>
      <c r="B7" s="363"/>
      <c r="C7" s="364">
        <f>'数据-取费表'!B2</f>
        <v>45072</v>
      </c>
      <c r="D7" s="365">
        <v>100</v>
      </c>
      <c r="E7" s="366">
        <f>C7</f>
        <v>45072</v>
      </c>
      <c r="F7" s="367">
        <f>SUMIF(58:58,YEAR(E7)&amp;"-"&amp;MONTH(E7),59:59)</f>
        <v>100</v>
      </c>
      <c r="G7" s="366">
        <f>C7</f>
        <v>45072</v>
      </c>
      <c r="H7" s="365">
        <f>SUMIF(58:58,YEAR(G7)&amp;"-"&amp;MONTH(G7),59:59)</f>
        <v>100</v>
      </c>
      <c r="I7" s="366">
        <f>C7</f>
        <v>45072</v>
      </c>
      <c r="J7" s="365">
        <f>SUMIF(58:58,YEAR(I7)&amp;"-"&amp;MONTH(I7),59:59)</f>
        <v>100</v>
      </c>
      <c r="K7" s="558"/>
      <c r="L7" s="2708"/>
      <c r="M7" s="2709"/>
      <c r="N7" s="2709"/>
      <c r="O7" s="2709"/>
      <c r="P7" s="3659" t="s">
        <v>1678</v>
      </c>
      <c r="Q7" s="3691"/>
      <c r="R7" s="698" t="s">
        <v>14</v>
      </c>
      <c r="S7" s="699">
        <f t="shared" ref="S7:S15" si="0">F7</f>
        <v>100</v>
      </c>
      <c r="T7" s="698" t="s">
        <v>14</v>
      </c>
      <c r="U7" s="699">
        <f t="shared" ref="U7:U15" si="1">H7</f>
        <v>100</v>
      </c>
      <c r="V7" s="698" t="s">
        <v>14</v>
      </c>
      <c r="W7" s="699">
        <f t="shared" ref="W7:W15" si="2">J7</f>
        <v>100</v>
      </c>
      <c r="X7" s="700"/>
      <c r="Y7" s="3659" t="s">
        <v>1678</v>
      </c>
      <c r="Z7" s="3660"/>
      <c r="AA7" s="701">
        <f>D7/F7</f>
        <v>1</v>
      </c>
      <c r="AB7" s="701">
        <f>D7/H7</f>
        <v>1</v>
      </c>
      <c r="AC7" s="701">
        <f>D7/J7</f>
        <v>1</v>
      </c>
    </row>
    <row r="8" spans="1:29" s="108" customFormat="1" ht="15.75" thickBot="1">
      <c r="A8" s="362" t="s">
        <v>1679</v>
      </c>
      <c r="B8" s="363"/>
      <c r="C8" s="368" t="s">
        <v>3396</v>
      </c>
      <c r="D8" s="365">
        <v>100</v>
      </c>
      <c r="E8" s="368" t="s">
        <v>3408</v>
      </c>
      <c r="F8" s="367">
        <f>SUMIF(61:61,E8,62:62)-SUMIF(61:61,C8,62:62)+100</f>
        <v>102</v>
      </c>
      <c r="G8" s="368" t="s">
        <v>3408</v>
      </c>
      <c r="H8" s="365">
        <f>SUMIF(61:61,G8,62:62)-SUMIF(61:61,C8,62:62)+100</f>
        <v>102</v>
      </c>
      <c r="I8" s="368" t="s">
        <v>3408</v>
      </c>
      <c r="J8" s="365">
        <f>SUMIF(61:61,I8,62:62)-SUMIF(61:61,C8,62:62)+100</f>
        <v>102</v>
      </c>
      <c r="K8" s="558"/>
      <c r="L8" s="2708"/>
      <c r="M8" s="2709"/>
      <c r="N8" s="2709"/>
      <c r="O8" s="2709"/>
      <c r="P8" s="3659" t="s">
        <v>1681</v>
      </c>
      <c r="Q8" s="3660"/>
      <c r="R8" s="698" t="s">
        <v>14</v>
      </c>
      <c r="S8" s="699">
        <f t="shared" si="0"/>
        <v>102</v>
      </c>
      <c r="T8" s="698" t="s">
        <v>14</v>
      </c>
      <c r="U8" s="699">
        <f t="shared" si="1"/>
        <v>102</v>
      </c>
      <c r="V8" s="698" t="s">
        <v>14</v>
      </c>
      <c r="W8" s="699">
        <f t="shared" si="2"/>
        <v>102</v>
      </c>
      <c r="X8" s="700"/>
      <c r="Y8" s="3659" t="s">
        <v>1681</v>
      </c>
      <c r="Z8" s="3660"/>
      <c r="AA8" s="701">
        <f t="shared" ref="AA8:AA46" si="3">D8/F8</f>
        <v>0.98039215686274506</v>
      </c>
      <c r="AB8" s="701">
        <f t="shared" ref="AB8:AB46" si="4">D8/H8</f>
        <v>0.98039215686274506</v>
      </c>
      <c r="AC8" s="701">
        <f t="shared" ref="AC8:AC46" si="5">D8/J8</f>
        <v>0.98039215686274506</v>
      </c>
    </row>
    <row r="9" spans="1:29" s="108" customFormat="1">
      <c r="A9" s="369" t="s">
        <v>1682</v>
      </c>
      <c r="B9" s="63" t="s">
        <v>1683</v>
      </c>
      <c r="C9" s="3456" t="s">
        <v>3494</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682" t="s">
        <v>1684</v>
      </c>
      <c r="Q9" s="1340" t="str">
        <f t="shared" ref="Q9:Q15" si="6">B9</f>
        <v>用途</v>
      </c>
      <c r="R9" s="698" t="s">
        <v>14</v>
      </c>
      <c r="S9" s="699">
        <f t="shared" si="0"/>
        <v>100</v>
      </c>
      <c r="T9" s="698" t="s">
        <v>14</v>
      </c>
      <c r="U9" s="699">
        <f t="shared" si="1"/>
        <v>100</v>
      </c>
      <c r="V9" s="698" t="s">
        <v>14</v>
      </c>
      <c r="W9" s="699">
        <f t="shared" si="2"/>
        <v>100</v>
      </c>
      <c r="X9" s="700"/>
      <c r="Y9" s="3627"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82"/>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682"/>
      <c r="Q11" s="1340" t="str">
        <f t="shared" si="6"/>
        <v>容积率</v>
      </c>
      <c r="R11" s="698" t="s">
        <v>14</v>
      </c>
      <c r="S11" s="699">
        <f t="shared" si="0"/>
        <v>100</v>
      </c>
      <c r="T11" s="698" t="s">
        <v>14</v>
      </c>
      <c r="U11" s="699">
        <f t="shared" si="1"/>
        <v>100</v>
      </c>
      <c r="V11" s="698" t="s">
        <v>14</v>
      </c>
      <c r="W11" s="699">
        <f t="shared" si="2"/>
        <v>100</v>
      </c>
      <c r="X11" s="700"/>
      <c r="Y11" s="3627"/>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82"/>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82"/>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82"/>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701">
        <f t="shared" si="5"/>
        <v>1</v>
      </c>
    </row>
    <row r="15" spans="1:29" ht="15">
      <c r="A15" s="391" t="s">
        <v>1688</v>
      </c>
      <c r="B15" s="61" t="s">
        <v>1775</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751" t="s">
        <v>1689</v>
      </c>
      <c r="Q15" s="1349" t="str">
        <f t="shared" si="6"/>
        <v>商业繁华度</v>
      </c>
      <c r="R15" s="702" t="s">
        <v>14</v>
      </c>
      <c r="S15" s="703">
        <f t="shared" si="0"/>
        <v>100</v>
      </c>
      <c r="T15" s="702" t="s">
        <v>14</v>
      </c>
      <c r="U15" s="703">
        <f t="shared" si="1"/>
        <v>100</v>
      </c>
      <c r="V15" s="702" t="s">
        <v>14</v>
      </c>
      <c r="W15" s="703">
        <f t="shared" si="2"/>
        <v>100</v>
      </c>
      <c r="X15" s="1352"/>
      <c r="Y15" s="3662"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52"/>
      <c r="Q16" s="1349"/>
      <c r="R16" s="702"/>
      <c r="S16" s="703"/>
      <c r="T16" s="702"/>
      <c r="U16" s="703"/>
      <c r="V16" s="702"/>
      <c r="W16" s="703"/>
      <c r="X16" s="1352"/>
      <c r="Y16" s="3663"/>
      <c r="Z16" s="1353"/>
      <c r="AA16" s="1350">
        <v>1</v>
      </c>
      <c r="AB16" s="1350">
        <v>1</v>
      </c>
      <c r="AC16" s="1350">
        <v>1</v>
      </c>
    </row>
    <row r="17" spans="1:29" ht="15">
      <c r="A17" s="379"/>
      <c r="B17" s="402" t="s">
        <v>1257</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752"/>
      <c r="Q17" s="1349" t="str">
        <f>B17</f>
        <v>交通便捷度</v>
      </c>
      <c r="R17" s="702" t="s">
        <v>14</v>
      </c>
      <c r="S17" s="703">
        <f>F17</f>
        <v>100</v>
      </c>
      <c r="T17" s="702" t="s">
        <v>14</v>
      </c>
      <c r="U17" s="703">
        <f>H17</f>
        <v>100</v>
      </c>
      <c r="V17" s="702" t="s">
        <v>14</v>
      </c>
      <c r="W17" s="703">
        <f>J17</f>
        <v>100</v>
      </c>
      <c r="X17" s="1352"/>
      <c r="Y17" s="366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752"/>
      <c r="Q18" s="1349"/>
      <c r="R18" s="702"/>
      <c r="S18" s="703"/>
      <c r="T18" s="702"/>
      <c r="U18" s="703"/>
      <c r="V18" s="702"/>
      <c r="W18" s="703"/>
      <c r="X18" s="1352"/>
      <c r="Y18" s="3663"/>
      <c r="Z18" s="1353"/>
      <c r="AA18" s="1350">
        <v>1</v>
      </c>
      <c r="AB18" s="1350">
        <v>1</v>
      </c>
      <c r="AC18" s="1350">
        <v>1</v>
      </c>
    </row>
    <row r="19" spans="1:29" ht="15">
      <c r="A19" s="379"/>
      <c r="B19" s="402" t="s">
        <v>1776</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752"/>
      <c r="Q19" s="1349" t="str">
        <f>B19</f>
        <v>公共配套设施</v>
      </c>
      <c r="R19" s="702" t="s">
        <v>14</v>
      </c>
      <c r="S19" s="703">
        <f>F19</f>
        <v>100</v>
      </c>
      <c r="T19" s="702" t="s">
        <v>14</v>
      </c>
      <c r="U19" s="703">
        <f>H19</f>
        <v>100</v>
      </c>
      <c r="V19" s="702" t="s">
        <v>14</v>
      </c>
      <c r="W19" s="703">
        <f>J19</f>
        <v>100</v>
      </c>
      <c r="X19" s="1352"/>
      <c r="Y19" s="366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752"/>
      <c r="Q20" s="1349"/>
      <c r="R20" s="702"/>
      <c r="S20" s="703"/>
      <c r="T20" s="702"/>
      <c r="U20" s="703"/>
      <c r="V20" s="702"/>
      <c r="W20" s="703"/>
      <c r="X20" s="1352"/>
      <c r="Y20" s="3663"/>
      <c r="Z20" s="1353"/>
      <c r="AA20" s="1350">
        <v>1</v>
      </c>
      <c r="AB20" s="1350">
        <v>1</v>
      </c>
      <c r="AC20" s="1350">
        <v>1</v>
      </c>
    </row>
    <row r="21" spans="1:29" ht="15">
      <c r="A21" s="379"/>
      <c r="B21" s="1128" t="s">
        <v>1777</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752"/>
      <c r="Q21" s="1349" t="str">
        <f>B21</f>
        <v>基础设施水平</v>
      </c>
      <c r="R21" s="702" t="s">
        <v>14</v>
      </c>
      <c r="S21" s="703">
        <f>F21</f>
        <v>100</v>
      </c>
      <c r="T21" s="702" t="s">
        <v>14</v>
      </c>
      <c r="U21" s="703">
        <f>H21</f>
        <v>100</v>
      </c>
      <c r="V21" s="702" t="s">
        <v>14</v>
      </c>
      <c r="W21" s="703">
        <f>J21</f>
        <v>100</v>
      </c>
      <c r="X21" s="1352"/>
      <c r="Y21" s="366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752"/>
      <c r="Q22" s="1349"/>
      <c r="R22" s="702"/>
      <c r="S22" s="703"/>
      <c r="T22" s="702"/>
      <c r="U22" s="703"/>
      <c r="V22" s="702"/>
      <c r="W22" s="703"/>
      <c r="X22" s="1352"/>
      <c r="Y22" s="3663"/>
      <c r="Z22" s="1353"/>
      <c r="AA22" s="1350">
        <v>1</v>
      </c>
      <c r="AB22" s="1350">
        <v>1</v>
      </c>
      <c r="AC22" s="1350">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752"/>
      <c r="Q23" s="1349" t="str">
        <f>B23</f>
        <v>自然及人文环境</v>
      </c>
      <c r="R23" s="702" t="s">
        <v>14</v>
      </c>
      <c r="S23" s="703">
        <f>F23</f>
        <v>100</v>
      </c>
      <c r="T23" s="702" t="s">
        <v>14</v>
      </c>
      <c r="U23" s="703">
        <f>H23</f>
        <v>100</v>
      </c>
      <c r="V23" s="702" t="s">
        <v>14</v>
      </c>
      <c r="W23" s="703">
        <f>J23</f>
        <v>100</v>
      </c>
      <c r="X23" s="1352"/>
      <c r="Y23" s="3663"/>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752"/>
      <c r="Q24" s="1349"/>
      <c r="R24" s="702"/>
      <c r="S24" s="703"/>
      <c r="T24" s="702"/>
      <c r="U24" s="703"/>
      <c r="V24" s="702"/>
      <c r="W24" s="703"/>
      <c r="X24" s="1352"/>
      <c r="Y24" s="3663"/>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752"/>
      <c r="Q25" s="1349" t="str">
        <f t="shared" ref="Q25:Q46" si="11">B25</f>
        <v>临街状况</v>
      </c>
      <c r="R25" s="702" t="s">
        <v>14</v>
      </c>
      <c r="S25" s="703">
        <f>F25</f>
        <v>100</v>
      </c>
      <c r="T25" s="702" t="s">
        <v>14</v>
      </c>
      <c r="U25" s="703">
        <f>H25</f>
        <v>100</v>
      </c>
      <c r="V25" s="702" t="s">
        <v>14</v>
      </c>
      <c r="W25" s="703">
        <f>J25</f>
        <v>100</v>
      </c>
      <c r="X25" s="1352"/>
      <c r="Y25" s="3663"/>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52"/>
      <c r="Q26" s="1349" t="str">
        <f t="shared" si="11"/>
        <v>平面位置/可视性</v>
      </c>
      <c r="R26" s="702" t="s">
        <v>14</v>
      </c>
      <c r="S26" s="703">
        <f>F26</f>
        <v>100</v>
      </c>
      <c r="T26" s="702" t="s">
        <v>14</v>
      </c>
      <c r="U26" s="703">
        <f>H26</f>
        <v>100</v>
      </c>
      <c r="V26" s="702" t="s">
        <v>14</v>
      </c>
      <c r="W26" s="703">
        <f>J26</f>
        <v>100</v>
      </c>
      <c r="X26" s="1352"/>
      <c r="Y26" s="3663"/>
      <c r="Z26" s="1353" t="str">
        <f>Q26</f>
        <v>平面位置/可视性</v>
      </c>
      <c r="AA26" s="1350">
        <f t="shared" si="3"/>
        <v>1</v>
      </c>
      <c r="AB26" s="1350">
        <f t="shared" si="4"/>
        <v>1</v>
      </c>
      <c r="AC26" s="1350">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752"/>
      <c r="Q27" s="1340" t="str">
        <f t="shared" si="11"/>
        <v>人流量</v>
      </c>
      <c r="R27" s="698" t="s">
        <v>14</v>
      </c>
      <c r="S27" s="699">
        <f>F27</f>
        <v>100</v>
      </c>
      <c r="T27" s="698" t="s">
        <v>14</v>
      </c>
      <c r="U27" s="699">
        <f>H27</f>
        <v>100</v>
      </c>
      <c r="V27" s="698" t="s">
        <v>14</v>
      </c>
      <c r="W27" s="699">
        <f>J27</f>
        <v>100</v>
      </c>
      <c r="X27" s="700"/>
      <c r="Y27" s="3663"/>
      <c r="Z27" s="52" t="str">
        <f>Q27</f>
        <v>人流量</v>
      </c>
      <c r="AA27" s="1350">
        <f>D27/F27</f>
        <v>1</v>
      </c>
      <c r="AB27" s="1350">
        <f>D27/H27</f>
        <v>1</v>
      </c>
      <c r="AC27" s="1350">
        <f>D27/J27</f>
        <v>1</v>
      </c>
    </row>
    <row r="28" spans="1:29" ht="15.75" thickBot="1">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52"/>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63"/>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52"/>
      <c r="Q29" s="1349">
        <f t="shared" si="11"/>
        <v>111</v>
      </c>
      <c r="R29" s="702" t="s">
        <v>14</v>
      </c>
      <c r="S29" s="703">
        <f t="shared" si="12"/>
        <v>100</v>
      </c>
      <c r="T29" s="702" t="s">
        <v>14</v>
      </c>
      <c r="U29" s="703">
        <f t="shared" si="13"/>
        <v>100</v>
      </c>
      <c r="V29" s="702" t="s">
        <v>14</v>
      </c>
      <c r="W29" s="703">
        <f t="shared" si="14"/>
        <v>100</v>
      </c>
      <c r="X29" s="1352"/>
      <c r="Y29" s="3663"/>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52"/>
      <c r="Q30" s="1349">
        <f t="shared" si="11"/>
        <v>111</v>
      </c>
      <c r="R30" s="702" t="s">
        <v>14</v>
      </c>
      <c r="S30" s="703">
        <f t="shared" si="12"/>
        <v>100</v>
      </c>
      <c r="T30" s="702" t="s">
        <v>14</v>
      </c>
      <c r="U30" s="703">
        <f t="shared" si="13"/>
        <v>100</v>
      </c>
      <c r="V30" s="702" t="s">
        <v>14</v>
      </c>
      <c r="W30" s="703">
        <f t="shared" si="14"/>
        <v>100</v>
      </c>
      <c r="X30" s="1352"/>
      <c r="Y30" s="3663"/>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52"/>
      <c r="Q31" s="1349">
        <f t="shared" si="11"/>
        <v>111</v>
      </c>
      <c r="R31" s="702" t="s">
        <v>14</v>
      </c>
      <c r="S31" s="703">
        <f t="shared" si="12"/>
        <v>100</v>
      </c>
      <c r="T31" s="702" t="s">
        <v>14</v>
      </c>
      <c r="U31" s="703">
        <f t="shared" si="13"/>
        <v>100</v>
      </c>
      <c r="V31" s="702" t="s">
        <v>14</v>
      </c>
      <c r="W31" s="703">
        <f t="shared" si="14"/>
        <v>100</v>
      </c>
      <c r="X31" s="1352"/>
      <c r="Y31" s="3663"/>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747" t="s">
        <v>1694</v>
      </c>
      <c r="Q32" s="1349" t="str">
        <f t="shared" si="11"/>
        <v>商业类型</v>
      </c>
      <c r="R32" s="702" t="s">
        <v>14</v>
      </c>
      <c r="S32" s="703">
        <f t="shared" si="12"/>
        <v>100</v>
      </c>
      <c r="T32" s="702" t="s">
        <v>14</v>
      </c>
      <c r="U32" s="703">
        <f t="shared" si="13"/>
        <v>100</v>
      </c>
      <c r="V32" s="702" t="s">
        <v>14</v>
      </c>
      <c r="W32" s="703">
        <f t="shared" si="14"/>
        <v>100</v>
      </c>
      <c r="X32" s="1352"/>
      <c r="Y32" s="3665"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748"/>
      <c r="Q33" s="704" t="str">
        <f t="shared" si="11"/>
        <v>项目建筑规模</v>
      </c>
      <c r="R33" s="705" t="s">
        <v>14</v>
      </c>
      <c r="S33" s="706">
        <f t="shared" si="12"/>
        <v>100</v>
      </c>
      <c r="T33" s="705" t="s">
        <v>14</v>
      </c>
      <c r="U33" s="706">
        <f t="shared" si="13"/>
        <v>100</v>
      </c>
      <c r="V33" s="705" t="s">
        <v>14</v>
      </c>
      <c r="W33" s="706">
        <f t="shared" si="14"/>
        <v>100</v>
      </c>
      <c r="X33" s="707"/>
      <c r="Y33" s="3665"/>
      <c r="Z33" s="708" t="str">
        <f t="shared" si="15"/>
        <v>项目建筑规模</v>
      </c>
      <c r="AA33" s="1350">
        <f t="shared" si="3"/>
        <v>1</v>
      </c>
      <c r="AB33" s="1350">
        <f t="shared" si="4"/>
        <v>1</v>
      </c>
      <c r="AC33" s="1350">
        <f t="shared" si="5"/>
        <v>1</v>
      </c>
    </row>
    <row r="34" spans="1:29" ht="15">
      <c r="A34" s="423"/>
      <c r="B34" s="375" t="s">
        <v>1696</v>
      </c>
      <c r="C34" s="1909" t="s">
        <v>3406</v>
      </c>
      <c r="D34" s="386">
        <v>100</v>
      </c>
      <c r="E34" s="1909" t="s">
        <v>3406</v>
      </c>
      <c r="F34" s="412">
        <f>SUMIF(105:105,E34,106:106)-SUMIF(105:105,C34,106:106)+100</f>
        <v>100</v>
      </c>
      <c r="G34" s="1909" t="s">
        <v>3406</v>
      </c>
      <c r="H34" s="386">
        <f>SUMIF(105:105,G34,106:106)-SUMIF(105:105,C34,106:106)+100</f>
        <v>100</v>
      </c>
      <c r="I34" s="1909" t="s">
        <v>3406</v>
      </c>
      <c r="J34" s="386">
        <f>SUMIF(105:105,I34,106:106)-SUMIF(105:105,C34,106:106)+100</f>
        <v>100</v>
      </c>
      <c r="K34" s="559">
        <v>2</v>
      </c>
      <c r="L34" s="2713"/>
      <c r="M34" s="2707"/>
      <c r="N34" s="2707"/>
      <c r="O34" s="2707"/>
      <c r="P34" s="3748"/>
      <c r="Q34" s="1349" t="str">
        <f t="shared" si="11"/>
        <v>建筑结构</v>
      </c>
      <c r="R34" s="702" t="s">
        <v>14</v>
      </c>
      <c r="S34" s="703">
        <f t="shared" si="12"/>
        <v>100</v>
      </c>
      <c r="T34" s="702" t="s">
        <v>14</v>
      </c>
      <c r="U34" s="703">
        <f t="shared" si="13"/>
        <v>100</v>
      </c>
      <c r="V34" s="702" t="s">
        <v>14</v>
      </c>
      <c r="W34" s="703">
        <f t="shared" si="14"/>
        <v>100</v>
      </c>
      <c r="X34" s="1352"/>
      <c r="Y34" s="3665"/>
      <c r="Z34" s="1353" t="str">
        <f t="shared" si="15"/>
        <v>建筑结构</v>
      </c>
      <c r="AA34" s="1350">
        <f t="shared" si="3"/>
        <v>1</v>
      </c>
      <c r="AB34" s="1350">
        <f t="shared" si="4"/>
        <v>1</v>
      </c>
      <c r="AC34" s="1350">
        <f t="shared" si="5"/>
        <v>1</v>
      </c>
    </row>
    <row r="35" spans="1:29" ht="15">
      <c r="A35" s="423"/>
      <c r="B35" s="375" t="s">
        <v>1783</v>
      </c>
      <c r="C35" s="1903" t="s">
        <v>3444</v>
      </c>
      <c r="D35" s="386">
        <v>100</v>
      </c>
      <c r="E35" s="1903" t="s">
        <v>3444</v>
      </c>
      <c r="F35" s="412">
        <f>SUMIF(107:107,E35,108:108)-SUMIF(107:107,C35,108:108)+100</f>
        <v>100</v>
      </c>
      <c r="G35" s="1903" t="s">
        <v>3444</v>
      </c>
      <c r="H35" s="386">
        <f>SUMIF(107:107,G35,108:108)-SUMIF(107:107,C35,108:108)+100</f>
        <v>100</v>
      </c>
      <c r="I35" s="1903" t="s">
        <v>3444</v>
      </c>
      <c r="J35" s="386">
        <f>SUMIF(107:107,I35,108:108)-SUMIF(107:107,C35,108:108)+100</f>
        <v>100</v>
      </c>
      <c r="K35" s="559">
        <v>2</v>
      </c>
      <c r="L35" s="2713"/>
      <c r="M35" s="2707"/>
      <c r="N35" s="2707"/>
      <c r="O35" s="2707"/>
      <c r="P35" s="3748"/>
      <c r="Q35" s="1349" t="str">
        <f t="shared" si="11"/>
        <v>公共部分装修</v>
      </c>
      <c r="R35" s="702" t="s">
        <v>14</v>
      </c>
      <c r="S35" s="703">
        <f t="shared" si="12"/>
        <v>100</v>
      </c>
      <c r="T35" s="702" t="s">
        <v>14</v>
      </c>
      <c r="U35" s="703">
        <f t="shared" si="13"/>
        <v>100</v>
      </c>
      <c r="V35" s="702" t="s">
        <v>14</v>
      </c>
      <c r="W35" s="703">
        <f t="shared" si="14"/>
        <v>100</v>
      </c>
      <c r="X35" s="1352"/>
      <c r="Y35" s="3665"/>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748"/>
      <c r="Q36" s="1349" t="str">
        <f t="shared" si="11"/>
        <v>成新度</v>
      </c>
      <c r="R36" s="702" t="s">
        <v>14</v>
      </c>
      <c r="S36" s="703" t="e">
        <f t="shared" si="12"/>
        <v>#N/A</v>
      </c>
      <c r="T36" s="702" t="s">
        <v>14</v>
      </c>
      <c r="U36" s="703" t="e">
        <f t="shared" si="13"/>
        <v>#N/A</v>
      </c>
      <c r="V36" s="702" t="s">
        <v>14</v>
      </c>
      <c r="W36" s="703" t="e">
        <f t="shared" si="14"/>
        <v>#N/A</v>
      </c>
      <c r="X36" s="1352"/>
      <c r="Y36" s="3665"/>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748"/>
      <c r="Q37" s="1340" t="str">
        <f t="shared" si="11"/>
        <v>市政基础设施</v>
      </c>
      <c r="R37" s="698" t="s">
        <v>14</v>
      </c>
      <c r="S37" s="699">
        <f t="shared" si="12"/>
        <v>100</v>
      </c>
      <c r="T37" s="698" t="s">
        <v>14</v>
      </c>
      <c r="U37" s="699">
        <f t="shared" si="13"/>
        <v>100</v>
      </c>
      <c r="V37" s="698" t="s">
        <v>14</v>
      </c>
      <c r="W37" s="699">
        <f t="shared" si="14"/>
        <v>100</v>
      </c>
      <c r="X37" s="700"/>
      <c r="Y37" s="3665"/>
      <c r="Z37" s="52" t="str">
        <f t="shared" si="15"/>
        <v>市政基础设施</v>
      </c>
      <c r="AA37" s="701">
        <f t="shared" si="3"/>
        <v>1</v>
      </c>
      <c r="AB37" s="701">
        <f t="shared" si="4"/>
        <v>1</v>
      </c>
      <c r="AC37" s="701">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748" t="s">
        <v>1694</v>
      </c>
      <c r="Q38" s="1349" t="str">
        <f t="shared" si="11"/>
        <v>业态</v>
      </c>
      <c r="R38" s="702" t="s">
        <v>14</v>
      </c>
      <c r="S38" s="703">
        <f t="shared" si="12"/>
        <v>100</v>
      </c>
      <c r="T38" s="702" t="s">
        <v>14</v>
      </c>
      <c r="U38" s="703">
        <f t="shared" si="13"/>
        <v>100</v>
      </c>
      <c r="V38" s="702" t="s">
        <v>14</v>
      </c>
      <c r="W38" s="703">
        <f t="shared" si="14"/>
        <v>100</v>
      </c>
      <c r="X38" s="1352"/>
      <c r="Y38" s="3665"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748"/>
      <c r="Q39" s="1349" t="str">
        <f t="shared" si="11"/>
        <v>层高</v>
      </c>
      <c r="R39" s="702" t="s">
        <v>14</v>
      </c>
      <c r="S39" s="703">
        <f t="shared" si="12"/>
        <v>100</v>
      </c>
      <c r="T39" s="702" t="s">
        <v>14</v>
      </c>
      <c r="U39" s="703">
        <f t="shared" si="13"/>
        <v>100</v>
      </c>
      <c r="V39" s="702" t="s">
        <v>14</v>
      </c>
      <c r="W39" s="703">
        <f t="shared" si="14"/>
        <v>100</v>
      </c>
      <c r="X39" s="1352"/>
      <c r="Y39" s="3665"/>
      <c r="Z39" s="1353" t="str">
        <f t="shared" si="15"/>
        <v>层高</v>
      </c>
      <c r="AA39" s="1350">
        <f t="shared" si="3"/>
        <v>1</v>
      </c>
      <c r="AB39" s="1350">
        <f t="shared" si="4"/>
        <v>1</v>
      </c>
      <c r="AC39" s="1350">
        <f t="shared" si="5"/>
        <v>1</v>
      </c>
    </row>
    <row r="40" spans="1:29" ht="15">
      <c r="A40" s="423"/>
      <c r="B40" s="375" t="s">
        <v>1788</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748"/>
      <c r="Q40" s="1349" t="str">
        <f t="shared" si="11"/>
        <v>单套建筑面积</v>
      </c>
      <c r="R40" s="702" t="s">
        <v>14</v>
      </c>
      <c r="S40" s="703">
        <f t="shared" si="12"/>
        <v>100</v>
      </c>
      <c r="T40" s="702" t="s">
        <v>14</v>
      </c>
      <c r="U40" s="703">
        <f t="shared" si="13"/>
        <v>100</v>
      </c>
      <c r="V40" s="702" t="s">
        <v>14</v>
      </c>
      <c r="W40" s="703">
        <f t="shared" si="14"/>
        <v>100</v>
      </c>
      <c r="X40" s="1352"/>
      <c r="Y40" s="3665"/>
      <c r="Z40" s="1353" t="str">
        <f t="shared" si="15"/>
        <v>单套建筑面积</v>
      </c>
      <c r="AA40" s="1350">
        <f t="shared" si="3"/>
        <v>1</v>
      </c>
      <c r="AB40" s="1350">
        <f t="shared" si="4"/>
        <v>1</v>
      </c>
      <c r="AC40" s="1350">
        <f t="shared" si="5"/>
        <v>1</v>
      </c>
    </row>
    <row r="41" spans="1:29" s="422" customFormat="1" ht="15">
      <c r="A41" s="419"/>
      <c r="B41" s="1351" t="s">
        <v>1789</v>
      </c>
      <c r="C41" s="563" t="s">
        <v>3489</v>
      </c>
      <c r="D41" s="386">
        <v>100</v>
      </c>
      <c r="E41" s="563" t="s">
        <v>3489</v>
      </c>
      <c r="F41" s="412">
        <f>SUMIF(120:120,E41,121:121)-SUMIF(120:120,C41,121:121)+100</f>
        <v>100</v>
      </c>
      <c r="G41" s="563" t="s">
        <v>3489</v>
      </c>
      <c r="H41" s="386">
        <f>SUMIF(120:120,G41,121:121)-SUMIF(120:120,C41,121:121)+100</f>
        <v>100</v>
      </c>
      <c r="I41" s="563" t="s">
        <v>3489</v>
      </c>
      <c r="J41" s="386">
        <f>SUMIF(120:120,I41,121:121)-SUMIF(120:120,C41,121:121)+100</f>
        <v>100</v>
      </c>
      <c r="K41" s="559">
        <v>2</v>
      </c>
      <c r="L41" s="2712"/>
      <c r="M41" s="2714"/>
      <c r="N41" s="2714"/>
      <c r="O41" s="2714"/>
      <c r="P41" s="3748"/>
      <c r="Q41" s="704" t="str">
        <f t="shared" si="11"/>
        <v>进深比</v>
      </c>
      <c r="R41" s="705" t="s">
        <v>14</v>
      </c>
      <c r="S41" s="706">
        <f t="shared" si="12"/>
        <v>100</v>
      </c>
      <c r="T41" s="705" t="s">
        <v>14</v>
      </c>
      <c r="U41" s="706">
        <f t="shared" si="13"/>
        <v>100</v>
      </c>
      <c r="V41" s="705" t="s">
        <v>14</v>
      </c>
      <c r="W41" s="706">
        <f t="shared" si="14"/>
        <v>100</v>
      </c>
      <c r="X41" s="707"/>
      <c r="Y41" s="3665"/>
      <c r="Z41" s="708"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748"/>
      <c r="Q42" s="1349" t="str">
        <f t="shared" si="11"/>
        <v>内部装修</v>
      </c>
      <c r="R42" s="702" t="s">
        <v>14</v>
      </c>
      <c r="S42" s="703">
        <f t="shared" si="12"/>
        <v>100</v>
      </c>
      <c r="T42" s="702" t="s">
        <v>14</v>
      </c>
      <c r="U42" s="703">
        <f t="shared" si="13"/>
        <v>100</v>
      </c>
      <c r="V42" s="702" t="s">
        <v>14</v>
      </c>
      <c r="W42" s="703">
        <f t="shared" si="14"/>
        <v>100</v>
      </c>
      <c r="X42" s="1352"/>
      <c r="Y42" s="3665"/>
      <c r="Z42" s="1353" t="str">
        <f t="shared" si="15"/>
        <v>内部装修</v>
      </c>
      <c r="AA42" s="1350">
        <f t="shared" si="3"/>
        <v>1</v>
      </c>
      <c r="AB42" s="1350">
        <f t="shared" si="4"/>
        <v>1</v>
      </c>
      <c r="AC42" s="1350">
        <f t="shared" si="5"/>
        <v>1</v>
      </c>
    </row>
    <row r="43" spans="1:29" ht="15.75" thickBot="1">
      <c r="A43" s="423"/>
      <c r="B43" s="375" t="s">
        <v>1705</v>
      </c>
      <c r="C43" s="1903" t="s">
        <v>3383</v>
      </c>
      <c r="D43" s="386">
        <v>100</v>
      </c>
      <c r="E43" s="1903" t="s">
        <v>3383</v>
      </c>
      <c r="F43" s="412">
        <f>SUMIF(124:124,E43,125:125)-SUMIF(124:124,C43,125:125)+100</f>
        <v>100</v>
      </c>
      <c r="G43" s="1903" t="s">
        <v>3383</v>
      </c>
      <c r="H43" s="386">
        <f>SUMIF(124:124,G43,125:125)-SUMIF(124:124,C43,125:125)+100</f>
        <v>100</v>
      </c>
      <c r="I43" s="1903" t="s">
        <v>3383</v>
      </c>
      <c r="J43" s="386">
        <f>SUMIF(124:124,I43,125:125)-SUMIF(124:124,C43,125:125)+100</f>
        <v>100</v>
      </c>
      <c r="K43" s="559">
        <v>2</v>
      </c>
      <c r="L43" s="2713"/>
      <c r="M43" s="2707"/>
      <c r="N43" s="2707"/>
      <c r="O43" s="2707"/>
      <c r="P43" s="3748"/>
      <c r="Q43" s="1349" t="str">
        <f t="shared" si="11"/>
        <v>内部装修维护情况</v>
      </c>
      <c r="R43" s="702" t="s">
        <v>14</v>
      </c>
      <c r="S43" s="703">
        <f t="shared" si="12"/>
        <v>100</v>
      </c>
      <c r="T43" s="702" t="s">
        <v>14</v>
      </c>
      <c r="U43" s="703">
        <f t="shared" si="13"/>
        <v>100</v>
      </c>
      <c r="V43" s="702" t="s">
        <v>14</v>
      </c>
      <c r="W43" s="703">
        <f t="shared" si="14"/>
        <v>100</v>
      </c>
      <c r="X43" s="1352"/>
      <c r="Y43" s="3665"/>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48"/>
      <c r="Q44" s="1340">
        <f t="shared" si="11"/>
        <v>111</v>
      </c>
      <c r="R44" s="698" t="s">
        <v>14</v>
      </c>
      <c r="S44" s="699">
        <f t="shared" si="12"/>
        <v>100</v>
      </c>
      <c r="T44" s="698" t="s">
        <v>14</v>
      </c>
      <c r="U44" s="699">
        <f t="shared" si="13"/>
        <v>100</v>
      </c>
      <c r="V44" s="698" t="s">
        <v>14</v>
      </c>
      <c r="W44" s="699">
        <f t="shared" si="14"/>
        <v>100</v>
      </c>
      <c r="X44" s="700"/>
      <c r="Y44" s="3665"/>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48"/>
      <c r="Q45" s="1349">
        <f t="shared" si="11"/>
        <v>111</v>
      </c>
      <c r="R45" s="702" t="s">
        <v>14</v>
      </c>
      <c r="S45" s="703">
        <f t="shared" si="12"/>
        <v>100</v>
      </c>
      <c r="T45" s="702" t="s">
        <v>14</v>
      </c>
      <c r="U45" s="703">
        <f t="shared" si="13"/>
        <v>100</v>
      </c>
      <c r="V45" s="702" t="s">
        <v>14</v>
      </c>
      <c r="W45" s="703">
        <f t="shared" si="14"/>
        <v>100</v>
      </c>
      <c r="X45" s="1352"/>
      <c r="Y45" s="3665"/>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49"/>
      <c r="Q46" s="1349">
        <f t="shared" si="11"/>
        <v>111</v>
      </c>
      <c r="R46" s="702" t="s">
        <v>14</v>
      </c>
      <c r="S46" s="703">
        <f t="shared" si="12"/>
        <v>100</v>
      </c>
      <c r="T46" s="702" t="s">
        <v>14</v>
      </c>
      <c r="U46" s="703">
        <f t="shared" si="13"/>
        <v>100</v>
      </c>
      <c r="V46" s="702" t="s">
        <v>14</v>
      </c>
      <c r="W46" s="703">
        <f t="shared" si="14"/>
        <v>100</v>
      </c>
      <c r="X46" s="1352"/>
      <c r="Y46" s="3750"/>
      <c r="Z46" s="1353">
        <f t="shared" si="15"/>
        <v>111</v>
      </c>
      <c r="AA46" s="1350">
        <f t="shared" si="3"/>
        <v>1</v>
      </c>
      <c r="AB46" s="1350">
        <f t="shared" si="4"/>
        <v>1</v>
      </c>
      <c r="AC46" s="1350">
        <f t="shared" si="5"/>
        <v>1</v>
      </c>
    </row>
    <row r="47" spans="1:29" ht="15">
      <c r="A47" s="428" t="s">
        <v>1706</v>
      </c>
      <c r="B47" s="429"/>
      <c r="C47" s="1151" t="s">
        <v>0</v>
      </c>
      <c r="D47" s="1152"/>
      <c r="E47" s="1153"/>
      <c r="F47" s="1154"/>
      <c r="G47" s="1155"/>
      <c r="H47" s="1156"/>
      <c r="I47" s="1153"/>
      <c r="J47" s="1156"/>
      <c r="K47" s="711"/>
      <c r="L47" s="2715"/>
      <c r="M47" s="2716"/>
      <c r="N47" s="2707"/>
      <c r="O47" s="2716"/>
      <c r="P47" s="3657" t="str">
        <f>A47</f>
        <v>成交单价（元/平方米）</v>
      </c>
      <c r="Q47" s="3657"/>
      <c r="R47" s="3661">
        <f>E47</f>
        <v>0</v>
      </c>
      <c r="S47" s="3661"/>
      <c r="T47" s="3661">
        <f>G47</f>
        <v>0</v>
      </c>
      <c r="U47" s="3661"/>
      <c r="V47" s="3661">
        <f>I47</f>
        <v>0</v>
      </c>
      <c r="W47" s="3661"/>
      <c r="X47" s="687"/>
      <c r="Y47" s="709"/>
      <c r="Z47" s="687"/>
      <c r="AA47" s="687"/>
      <c r="AB47" s="687"/>
      <c r="AC47" s="687"/>
    </row>
    <row r="48" spans="1:29" ht="15.75" thickBot="1">
      <c r="A48" s="435" t="s">
        <v>1791</v>
      </c>
      <c r="B48" s="436"/>
      <c r="C48" s="1157" t="e">
        <f>R49</f>
        <v>#N/A</v>
      </c>
      <c r="D48" s="2313" t="s">
        <v>2135</v>
      </c>
      <c r="E48" s="1158" t="e">
        <f>R48</f>
        <v>#N/A</v>
      </c>
      <c r="F48" s="2314"/>
      <c r="G48" s="1157" t="e">
        <f>T48</f>
        <v>#N/A</v>
      </c>
      <c r="H48" s="2314"/>
      <c r="I48" s="1158" t="e">
        <f>V48</f>
        <v>#N/A</v>
      </c>
      <c r="J48" s="2314"/>
      <c r="K48" s="2316">
        <f>F48+H48+J48</f>
        <v>0</v>
      </c>
      <c r="L48" s="2715"/>
      <c r="M48" s="2716"/>
      <c r="N48" s="2707"/>
      <c r="O48" s="2716"/>
      <c r="P48" s="3657" t="str">
        <f>A48</f>
        <v>比较价值（元/平方米）</v>
      </c>
      <c r="Q48" s="3657"/>
      <c r="R48" s="3746" t="e">
        <f>IF(F1="售价",ROUND(PRODUCT(R47,AA7:AA46),0),ROUND(PRODUCT(R47,AA7:AA46),1))</f>
        <v>#N/A</v>
      </c>
      <c r="S48" s="3746"/>
      <c r="T48" s="3746" t="e">
        <f>IF(F1="售价",ROUND(PRODUCT(T47,AB7:AB46),0),ROUND(PRODUCT(T47,AB7:AB46),1))</f>
        <v>#N/A</v>
      </c>
      <c r="U48" s="3746"/>
      <c r="V48" s="3746" t="e">
        <f>IF(F1="售价",ROUND(PRODUCT(V47,AC7:AC46),0),ROUND(PRODUCT(V47,AC7:AC46),1))</f>
        <v>#N/A</v>
      </c>
      <c r="W48" s="3746"/>
      <c r="X48" s="687"/>
      <c r="Y48" s="687"/>
      <c r="Z48" s="687"/>
      <c r="AA48" s="687"/>
      <c r="AB48" s="687"/>
      <c r="AC48" s="687"/>
    </row>
    <row r="49" spans="1:29" ht="15.75" thickBot="1">
      <c r="A49" s="439" t="s">
        <v>1792</v>
      </c>
      <c r="B49" s="440"/>
      <c r="C49" s="1160" t="e">
        <f>R49</f>
        <v>#N/A</v>
      </c>
      <c r="D49" s="1160"/>
      <c r="E49" s="1160"/>
      <c r="F49" s="1160"/>
      <c r="G49" s="1160"/>
      <c r="H49" s="1160"/>
      <c r="I49" s="1160"/>
      <c r="J49" s="1160"/>
      <c r="K49" s="712"/>
      <c r="L49" s="2715"/>
      <c r="M49" s="2716"/>
      <c r="N49" s="2707"/>
      <c r="O49" s="2716"/>
      <c r="P49" s="3654" t="str">
        <f>A49</f>
        <v>估价对象XX用房的比较价值（楼面单价，元/平方米）</v>
      </c>
      <c r="Q49" s="3655"/>
      <c r="R49" s="3745" t="e">
        <f>IF(F1="售价",ROUND(IF(D48="简单平均",AVERAGE(R48:V48),R48*F48+T48*H48+V48*J48),0),ROUND(IF(D48="简单平均",AVERAGE(R48:V48),R48*F48+T48*H48+V48*J48),1))</f>
        <v>#N/A</v>
      </c>
      <c r="S49" s="3745"/>
      <c r="T49" s="3745"/>
      <c r="U49" s="3745"/>
      <c r="V49" s="3745"/>
      <c r="W49" s="3745"/>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1793</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1794</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1796</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1677</v>
      </c>
      <c r="B58" s="453"/>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1714</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1679</v>
      </c>
      <c r="B61" s="457"/>
      <c r="C61" s="469" t="s">
        <v>1774</v>
      </c>
      <c r="D61" s="3449" t="s">
        <v>3459</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1717</v>
      </c>
      <c r="B63" s="475" t="s">
        <v>1683</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1686</v>
      </c>
      <c r="C65" s="530" t="s">
        <v>3413</v>
      </c>
      <c r="D65" s="530" t="s">
        <v>3414</v>
      </c>
      <c r="E65" s="3450" t="s">
        <v>3416</v>
      </c>
      <c r="F65" s="530" t="s">
        <v>3415</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1687</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1688</v>
      </c>
      <c r="B76" s="475" t="s">
        <v>1718</v>
      </c>
      <c r="C76" s="520" t="s">
        <v>1719</v>
      </c>
      <c r="D76" s="520" t="s">
        <v>1720</v>
      </c>
      <c r="E76" s="520" t="s">
        <v>1721</v>
      </c>
      <c r="F76" s="520" t="s">
        <v>1722</v>
      </c>
      <c r="G76" s="520" t="s">
        <v>1723</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1724</v>
      </c>
      <c r="C78" s="525" t="s">
        <v>1719</v>
      </c>
      <c r="D78" s="525" t="s">
        <v>1720</v>
      </c>
      <c r="E78" s="525" t="s">
        <v>1721</v>
      </c>
      <c r="F78" s="525" t="s">
        <v>1722</v>
      </c>
      <c r="G78" s="525" t="s">
        <v>1723</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1725</v>
      </c>
      <c r="C80" s="525" t="s">
        <v>1719</v>
      </c>
      <c r="D80" s="525" t="s">
        <v>1720</v>
      </c>
      <c r="E80" s="525" t="s">
        <v>1721</v>
      </c>
      <c r="F80" s="525" t="s">
        <v>1722</v>
      </c>
      <c r="G80" s="525" t="s">
        <v>1723</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1777</v>
      </c>
      <c r="C82" s="605" t="s">
        <v>1797</v>
      </c>
      <c r="D82" s="605" t="s">
        <v>1798</v>
      </c>
      <c r="E82" s="605" t="s">
        <v>1799</v>
      </c>
      <c r="F82" s="605" t="s">
        <v>1800</v>
      </c>
      <c r="G82" s="605" t="s">
        <v>1801</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1731</v>
      </c>
      <c r="C84" s="525" t="s">
        <v>1719</v>
      </c>
      <c r="D84" s="525" t="s">
        <v>1720</v>
      </c>
      <c r="E84" s="525" t="s">
        <v>1721</v>
      </c>
      <c r="F84" s="525" t="s">
        <v>1722</v>
      </c>
      <c r="G84" s="525" t="s">
        <v>1723</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1802</v>
      </c>
      <c r="C86" s="3451" t="s">
        <v>3460</v>
      </c>
      <c r="D86" s="3451" t="s">
        <v>3461</v>
      </c>
      <c r="E86" s="3451" t="s">
        <v>3462</v>
      </c>
      <c r="F86" s="3451" t="s">
        <v>3463</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3464</v>
      </c>
      <c r="D88" s="3451" t="s">
        <v>3465</v>
      </c>
      <c r="E88" s="3451" t="s">
        <v>3466</v>
      </c>
      <c r="F88" s="3452" t="s">
        <v>3467</v>
      </c>
      <c r="G88" s="3451" t="s">
        <v>3468</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3469</v>
      </c>
      <c r="D90" s="3451" t="s">
        <v>3470</v>
      </c>
      <c r="E90" s="3451" t="s">
        <v>3471</v>
      </c>
      <c r="F90" s="3451" t="s">
        <v>3472</v>
      </c>
      <c r="G90" s="3451" t="s">
        <v>3473</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3474</v>
      </c>
      <c r="D92" s="501" t="s">
        <v>3476</v>
      </c>
      <c r="E92" s="501" t="s">
        <v>3475</v>
      </c>
      <c r="F92" s="501" t="s">
        <v>3477</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1692</v>
      </c>
      <c r="B100" s="475" t="s">
        <v>1803</v>
      </c>
      <c r="C100" s="3453" t="s">
        <v>3478</v>
      </c>
      <c r="D100" s="3453" t="s">
        <v>3479</v>
      </c>
      <c r="E100" s="3453" t="s">
        <v>3480</v>
      </c>
      <c r="F100" s="3453" t="s">
        <v>3481</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1735</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1736</v>
      </c>
      <c r="C105" s="3451" t="s">
        <v>3482</v>
      </c>
      <c r="D105" s="3451" t="s">
        <v>3483</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1738</v>
      </c>
      <c r="C107" s="3451" t="s">
        <v>3443</v>
      </c>
      <c r="D107" s="3451" t="s">
        <v>3445</v>
      </c>
      <c r="E107" s="3451" t="s">
        <v>3446</v>
      </c>
      <c r="F107" s="3454" t="s">
        <v>3447</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1740</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1804</v>
      </c>
      <c r="C114" s="3451" t="s">
        <v>3484</v>
      </c>
      <c r="D114" s="3451" t="s">
        <v>3485</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1805</v>
      </c>
      <c r="C116" s="3451" t="s">
        <v>3486</v>
      </c>
      <c r="D116" s="3451" t="s">
        <v>3487</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1806</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1807</v>
      </c>
      <c r="C120" s="3454" t="s">
        <v>3488</v>
      </c>
      <c r="D120" s="3454" t="s">
        <v>3490</v>
      </c>
      <c r="E120" s="3454" t="s">
        <v>3491</v>
      </c>
      <c r="F120" s="3454" t="s">
        <v>3492</v>
      </c>
      <c r="G120" s="3455" t="s">
        <v>3493</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1742</v>
      </c>
      <c r="C122" s="3451" t="s">
        <v>3443</v>
      </c>
      <c r="D122" s="3451" t="s">
        <v>3445</v>
      </c>
      <c r="E122" s="3451" t="s">
        <v>3446</v>
      </c>
      <c r="F122" s="3454" t="s">
        <v>3447</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54" sqref="G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1808</v>
      </c>
      <c r="C1" s="1221" t="s">
        <v>1660</v>
      </c>
      <c r="D1" s="1222"/>
      <c r="E1" s="3424" t="s">
        <v>3511</v>
      </c>
      <c r="F1" s="1876" t="s">
        <v>3458</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IF(C2="——",C50,ROUND(B2*10000/D3,0))</f>
        <v>#N/A</v>
      </c>
      <c r="C3" s="354" t="s">
        <v>1766</v>
      </c>
      <c r="D3" s="353">
        <f>IF(D1="",'数据-汇总表'!E3,SUMIF('数据-汇总表'!$C19:$C33,D1,'数据-汇总表'!$E19:$E33))</f>
        <v>27041.94</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1767</v>
      </c>
      <c r="B4" s="356"/>
      <c r="C4" s="3669" t="s">
        <v>1768</v>
      </c>
      <c r="D4" s="3670"/>
      <c r="E4" s="3671" t="s">
        <v>1769</v>
      </c>
      <c r="F4" s="3672"/>
      <c r="G4" s="3669" t="s">
        <v>1770</v>
      </c>
      <c r="H4" s="3670"/>
      <c r="I4" s="3669" t="s">
        <v>1771</v>
      </c>
      <c r="J4" s="3670"/>
      <c r="K4" s="557" t="s">
        <v>1772</v>
      </c>
      <c r="L4" s="2706"/>
      <c r="M4" s="2707"/>
      <c r="N4" s="2707"/>
      <c r="O4" s="2707"/>
      <c r="P4" s="3759" t="s">
        <v>1773</v>
      </c>
      <c r="Q4" s="3760"/>
      <c r="R4" s="3754" t="s">
        <v>1769</v>
      </c>
      <c r="S4" s="3755"/>
      <c r="T4" s="3754" t="s">
        <v>1770</v>
      </c>
      <c r="U4" s="3755"/>
      <c r="V4" s="3763" t="s">
        <v>1771</v>
      </c>
      <c r="W4" s="3763"/>
      <c r="X4" s="1954"/>
      <c r="Y4" s="3754" t="s">
        <v>1773</v>
      </c>
      <c r="Z4" s="3755"/>
      <c r="AA4" s="3753" t="s">
        <v>1769</v>
      </c>
      <c r="AB4" s="3753" t="s">
        <v>1770</v>
      </c>
      <c r="AC4" s="3756" t="s">
        <v>1771</v>
      </c>
    </row>
    <row r="5" spans="1:29" ht="15">
      <c r="A5" s="358"/>
      <c r="B5" s="359"/>
      <c r="C5" s="3687" t="s">
        <v>1671</v>
      </c>
      <c r="D5" s="3688"/>
      <c r="E5" s="3679" t="s">
        <v>1672</v>
      </c>
      <c r="F5" s="3680"/>
      <c r="G5" s="3687" t="s">
        <v>1673</v>
      </c>
      <c r="H5" s="3688"/>
      <c r="I5" s="3687" t="s">
        <v>1674</v>
      </c>
      <c r="J5" s="3688"/>
      <c r="K5" s="557"/>
      <c r="L5" s="2706"/>
      <c r="M5" s="2707"/>
      <c r="N5" s="2707"/>
      <c r="O5" s="2707"/>
      <c r="P5" s="3761"/>
      <c r="Q5" s="3676"/>
      <c r="R5" s="3685"/>
      <c r="S5" s="3686"/>
      <c r="T5" s="3685"/>
      <c r="U5" s="3686"/>
      <c r="V5" s="3661"/>
      <c r="W5" s="3661"/>
      <c r="X5" s="1352"/>
      <c r="Y5" s="3685"/>
      <c r="Z5" s="3686"/>
      <c r="AA5" s="3667"/>
      <c r="AB5" s="3667"/>
      <c r="AC5" s="3757"/>
    </row>
    <row r="6" spans="1:29" ht="15.75" thickBot="1">
      <c r="A6" s="360"/>
      <c r="B6" s="361"/>
      <c r="C6" s="3741" t="s">
        <v>1675</v>
      </c>
      <c r="D6" s="3742"/>
      <c r="E6" s="3743" t="s">
        <v>1675</v>
      </c>
      <c r="F6" s="3744"/>
      <c r="G6" s="3741" t="s">
        <v>1675</v>
      </c>
      <c r="H6" s="3742"/>
      <c r="I6" s="3741" t="s">
        <v>1675</v>
      </c>
      <c r="J6" s="3742"/>
      <c r="K6" s="557" t="s">
        <v>1676</v>
      </c>
      <c r="L6" s="2706"/>
      <c r="M6" s="2707"/>
      <c r="N6" s="2707"/>
      <c r="O6" s="2707"/>
      <c r="P6" s="3762"/>
      <c r="Q6" s="3678"/>
      <c r="R6" s="3685"/>
      <c r="S6" s="3686"/>
      <c r="T6" s="3694"/>
      <c r="U6" s="3695"/>
      <c r="V6" s="3661"/>
      <c r="W6" s="3661"/>
      <c r="X6" s="1352"/>
      <c r="Y6" s="3694"/>
      <c r="Z6" s="3695"/>
      <c r="AA6" s="3668"/>
      <c r="AB6" s="3668"/>
      <c r="AC6" s="3758"/>
    </row>
    <row r="7" spans="1:29" s="108" customFormat="1" ht="15.75" thickBot="1">
      <c r="A7" s="362" t="s">
        <v>1677</v>
      </c>
      <c r="B7" s="363"/>
      <c r="C7" s="364">
        <f>'数据-取费表'!B2</f>
        <v>45072</v>
      </c>
      <c r="D7" s="365">
        <v>100</v>
      </c>
      <c r="E7" s="366">
        <f>C7</f>
        <v>45072</v>
      </c>
      <c r="F7" s="367">
        <f>SUMIF(59:59,YEAR(E7)&amp;"-"&amp;MONTH(E7),60:60)</f>
        <v>100</v>
      </c>
      <c r="G7" s="366">
        <f>C7</f>
        <v>45072</v>
      </c>
      <c r="H7" s="365">
        <f>SUMIF(59:59,YEAR(G7)&amp;"-"&amp;MONTH(G7),60:60)</f>
        <v>100</v>
      </c>
      <c r="I7" s="366">
        <f>C7</f>
        <v>45072</v>
      </c>
      <c r="J7" s="365">
        <f>SUMIF(59:59,YEAR(I7)&amp;"-"&amp;MONTH(I7),60:60)</f>
        <v>100</v>
      </c>
      <c r="K7" s="558"/>
      <c r="L7" s="2708"/>
      <c r="M7" s="2709"/>
      <c r="N7" s="2709"/>
      <c r="O7" s="2709"/>
      <c r="P7" s="3764" t="s">
        <v>1678</v>
      </c>
      <c r="Q7" s="3691"/>
      <c r="R7" s="698" t="s">
        <v>14</v>
      </c>
      <c r="S7" s="699">
        <f t="shared" ref="S7:S15" si="0">F7</f>
        <v>100</v>
      </c>
      <c r="T7" s="698" t="s">
        <v>14</v>
      </c>
      <c r="U7" s="699">
        <f t="shared" ref="U7:U15" si="1">H7</f>
        <v>100</v>
      </c>
      <c r="V7" s="698" t="s">
        <v>14</v>
      </c>
      <c r="W7" s="699">
        <f t="shared" ref="W7:W15" si="2">J7</f>
        <v>100</v>
      </c>
      <c r="X7" s="700"/>
      <c r="Y7" s="3659" t="s">
        <v>1678</v>
      </c>
      <c r="Z7" s="3660"/>
      <c r="AA7" s="701">
        <f>D7/F7</f>
        <v>1</v>
      </c>
      <c r="AB7" s="701">
        <f>D7/H7</f>
        <v>1</v>
      </c>
      <c r="AC7" s="1955">
        <f>D7/J7</f>
        <v>1</v>
      </c>
    </row>
    <row r="8" spans="1:29" s="108" customFormat="1" ht="15.75" thickBot="1">
      <c r="A8" s="362" t="s">
        <v>1679</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58"/>
      <c r="L8" s="2708"/>
      <c r="M8" s="2709"/>
      <c r="N8" s="2709"/>
      <c r="O8" s="2709"/>
      <c r="P8" s="3764" t="s">
        <v>1681</v>
      </c>
      <c r="Q8" s="3660"/>
      <c r="R8" s="698" t="s">
        <v>14</v>
      </c>
      <c r="S8" s="699">
        <f t="shared" si="0"/>
        <v>102</v>
      </c>
      <c r="T8" s="698" t="s">
        <v>14</v>
      </c>
      <c r="U8" s="699">
        <f t="shared" si="1"/>
        <v>102</v>
      </c>
      <c r="V8" s="698" t="s">
        <v>14</v>
      </c>
      <c r="W8" s="699">
        <f t="shared" si="2"/>
        <v>102</v>
      </c>
      <c r="X8" s="700"/>
      <c r="Y8" s="3659" t="s">
        <v>1681</v>
      </c>
      <c r="Z8" s="3660"/>
      <c r="AA8" s="701">
        <f t="shared" ref="AA8:AA47" si="3">D8/F8</f>
        <v>0.98039215686274506</v>
      </c>
      <c r="AB8" s="701">
        <f t="shared" ref="AB8:AB47" si="4">D8/H8</f>
        <v>0.98039215686274506</v>
      </c>
      <c r="AC8" s="1955">
        <f t="shared" ref="AC8:AC47" si="5">D8/J8</f>
        <v>0.98039215686274506</v>
      </c>
    </row>
    <row r="9" spans="1:29" s="108" customFormat="1">
      <c r="A9" s="369" t="s">
        <v>1682</v>
      </c>
      <c r="B9" s="63" t="s">
        <v>1683</v>
      </c>
      <c r="C9" s="3456" t="s">
        <v>3507</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682" t="s">
        <v>1684</v>
      </c>
      <c r="Q9" s="1340" t="str">
        <f t="shared" ref="Q9:Q15" si="6">B9</f>
        <v>用途</v>
      </c>
      <c r="R9" s="698" t="s">
        <v>14</v>
      </c>
      <c r="S9" s="699">
        <f t="shared" si="0"/>
        <v>100</v>
      </c>
      <c r="T9" s="698" t="s">
        <v>14</v>
      </c>
      <c r="U9" s="699">
        <f t="shared" si="1"/>
        <v>100</v>
      </c>
      <c r="V9" s="698" t="s">
        <v>14</v>
      </c>
      <c r="W9" s="699">
        <f t="shared" si="2"/>
        <v>100</v>
      </c>
      <c r="X9" s="700"/>
      <c r="Y9" s="3627" t="s">
        <v>1685</v>
      </c>
      <c r="Z9" s="52" t="str">
        <f t="shared" ref="Z9:Z15" si="7">Q9</f>
        <v>用途</v>
      </c>
      <c r="AA9" s="701">
        <f t="shared" si="3"/>
        <v>1</v>
      </c>
      <c r="AB9" s="701">
        <f t="shared" si="4"/>
        <v>1</v>
      </c>
      <c r="AC9" s="1955">
        <f t="shared" si="5"/>
        <v>1</v>
      </c>
    </row>
    <row r="10" spans="1:29" s="378" customFormat="1" ht="27">
      <c r="A10" s="374"/>
      <c r="B10" s="375" t="s">
        <v>1686</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82"/>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682"/>
      <c r="Q11" s="1340" t="str">
        <f t="shared" si="6"/>
        <v>容积率</v>
      </c>
      <c r="R11" s="698" t="s">
        <v>14</v>
      </c>
      <c r="S11" s="699">
        <f t="shared" si="0"/>
        <v>100</v>
      </c>
      <c r="T11" s="698" t="s">
        <v>14</v>
      </c>
      <c r="U11" s="699">
        <f t="shared" si="1"/>
        <v>100</v>
      </c>
      <c r="V11" s="698" t="s">
        <v>14</v>
      </c>
      <c r="W11" s="699">
        <f t="shared" si="2"/>
        <v>100</v>
      </c>
      <c r="X11" s="700"/>
      <c r="Y11" s="3627"/>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682"/>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682"/>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682"/>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1955">
        <f t="shared" si="5"/>
        <v>1</v>
      </c>
    </row>
    <row r="15" spans="1:29" ht="15">
      <c r="A15" s="391" t="s">
        <v>1688</v>
      </c>
      <c r="B15" s="574" t="s">
        <v>1809</v>
      </c>
      <c r="C15" s="1957" t="str">
        <f>估价对象房地状况!C5</f>
        <v>较好</v>
      </c>
      <c r="D15" s="392">
        <v>100</v>
      </c>
      <c r="E15" s="395" t="s">
        <v>3383</v>
      </c>
      <c r="F15" s="392">
        <f>SUMIF(77:77,E16,78:78)-SUMIF(77:77,C16,78:78)+100</f>
        <v>100</v>
      </c>
      <c r="G15" s="395" t="s">
        <v>3383</v>
      </c>
      <c r="H15" s="392">
        <f>SUMIF(77:77,G16,78:78)-SUMIF(77:77,C16,78:78)+100</f>
        <v>100</v>
      </c>
      <c r="I15" s="395" t="s">
        <v>3383</v>
      </c>
      <c r="J15" s="392">
        <f>SUMIF(77:77,I16,78:78)-SUMIF(77:77,C16,78:78)+100</f>
        <v>100</v>
      </c>
      <c r="K15" s="561">
        <v>2</v>
      </c>
      <c r="L15" s="2713"/>
      <c r="M15" s="2707"/>
      <c r="N15" s="2707"/>
      <c r="O15" s="2707"/>
      <c r="P15" s="3751" t="s">
        <v>1689</v>
      </c>
      <c r="Q15" s="1349" t="str">
        <f t="shared" si="6"/>
        <v>办公集聚程度</v>
      </c>
      <c r="R15" s="702" t="s">
        <v>14</v>
      </c>
      <c r="S15" s="703">
        <f t="shared" si="0"/>
        <v>100</v>
      </c>
      <c r="T15" s="702" t="s">
        <v>14</v>
      </c>
      <c r="U15" s="703">
        <f t="shared" si="1"/>
        <v>100</v>
      </c>
      <c r="V15" s="702" t="s">
        <v>14</v>
      </c>
      <c r="W15" s="703">
        <f t="shared" si="2"/>
        <v>100</v>
      </c>
      <c r="X15" s="1352"/>
      <c r="Y15" s="3662" t="s">
        <v>1689</v>
      </c>
      <c r="Z15" s="1353" t="str">
        <f t="shared" si="7"/>
        <v>办公集聚程度</v>
      </c>
      <c r="AA15" s="1350">
        <f t="shared" si="3"/>
        <v>1</v>
      </c>
      <c r="AB15" s="1350">
        <f t="shared" si="4"/>
        <v>1</v>
      </c>
      <c r="AC15" s="1958">
        <f t="shared" si="5"/>
        <v>1</v>
      </c>
    </row>
    <row r="16" spans="1:29" ht="15">
      <c r="A16" s="379"/>
      <c r="B16" s="575"/>
      <c r="C16" s="1901" t="s">
        <v>3383</v>
      </c>
      <c r="D16" s="399"/>
      <c r="E16" s="398" t="s">
        <v>3383</v>
      </c>
      <c r="F16" s="399"/>
      <c r="G16" s="398" t="s">
        <v>3383</v>
      </c>
      <c r="H16" s="401"/>
      <c r="I16" s="398" t="s">
        <v>3383</v>
      </c>
      <c r="J16" s="399"/>
      <c r="K16" s="562"/>
      <c r="L16" s="2713"/>
      <c r="M16" s="2707"/>
      <c r="N16" s="2707"/>
      <c r="O16" s="2707"/>
      <c r="P16" s="3752"/>
      <c r="Q16" s="1349"/>
      <c r="R16" s="702"/>
      <c r="S16" s="703"/>
      <c r="T16" s="702"/>
      <c r="U16" s="703"/>
      <c r="V16" s="702"/>
      <c r="W16" s="703"/>
      <c r="X16" s="1352"/>
      <c r="Y16" s="3663"/>
      <c r="Z16" s="1353"/>
      <c r="AA16" s="1350">
        <v>1</v>
      </c>
      <c r="AB16" s="1350">
        <v>1</v>
      </c>
      <c r="AC16" s="1958">
        <v>1</v>
      </c>
    </row>
    <row r="17" spans="1:29" ht="15">
      <c r="A17" s="379"/>
      <c r="B17" s="576" t="s">
        <v>1257</v>
      </c>
      <c r="C17" s="1959" t="str">
        <f>估价对象房地状况!C6</f>
        <v>较好</v>
      </c>
      <c r="D17" s="401">
        <v>100</v>
      </c>
      <c r="E17" s="405" t="s">
        <v>3383</v>
      </c>
      <c r="F17" s="401">
        <f>SUMIF(79:79,E18,80:80)-SUMIF(79:79,C18,80:80)+100</f>
        <v>100</v>
      </c>
      <c r="G17" s="405" t="s">
        <v>3383</v>
      </c>
      <c r="H17" s="406">
        <f>SUMIF(79:79,G18,80:80)-SUMIF(79:79,C18,80:80)+100</f>
        <v>100</v>
      </c>
      <c r="I17" s="405" t="s">
        <v>3383</v>
      </c>
      <c r="J17" s="406">
        <f>SUMIF(79:79,I18,80:80)-SUMIF(79:79,C18,80:80)+100</f>
        <v>100</v>
      </c>
      <c r="K17" s="561">
        <v>2</v>
      </c>
      <c r="L17" s="2713"/>
      <c r="M17" s="2707"/>
      <c r="N17" s="2707"/>
      <c r="O17" s="2707"/>
      <c r="P17" s="3752"/>
      <c r="Q17" s="1349" t="str">
        <f>B17</f>
        <v>交通便捷度</v>
      </c>
      <c r="R17" s="702" t="s">
        <v>14</v>
      </c>
      <c r="S17" s="703">
        <f>F17</f>
        <v>100</v>
      </c>
      <c r="T17" s="702" t="s">
        <v>14</v>
      </c>
      <c r="U17" s="703">
        <f>H17</f>
        <v>100</v>
      </c>
      <c r="V17" s="702" t="s">
        <v>14</v>
      </c>
      <c r="W17" s="703">
        <f>J17</f>
        <v>100</v>
      </c>
      <c r="X17" s="1352"/>
      <c r="Y17" s="3663"/>
      <c r="Z17" s="1353" t="str">
        <f>Q17</f>
        <v>交通便捷度</v>
      </c>
      <c r="AA17" s="1350">
        <f t="shared" si="3"/>
        <v>1</v>
      </c>
      <c r="AB17" s="1350">
        <f t="shared" si="4"/>
        <v>1</v>
      </c>
      <c r="AC17" s="1958">
        <f t="shared" si="5"/>
        <v>1</v>
      </c>
    </row>
    <row r="18" spans="1:29" ht="15">
      <c r="A18" s="379"/>
      <c r="B18" s="577"/>
      <c r="C18" s="1960" t="s">
        <v>3383</v>
      </c>
      <c r="D18" s="401"/>
      <c r="E18" s="1899" t="s">
        <v>3383</v>
      </c>
      <c r="F18" s="401"/>
      <c r="G18" s="1899" t="s">
        <v>3383</v>
      </c>
      <c r="H18" s="399"/>
      <c r="I18" s="1899" t="s">
        <v>3383</v>
      </c>
      <c r="J18" s="399"/>
      <c r="K18" s="562"/>
      <c r="L18" s="2713"/>
      <c r="M18" s="2707"/>
      <c r="N18" s="2707"/>
      <c r="O18" s="2707"/>
      <c r="P18" s="3752"/>
      <c r="Q18" s="1349"/>
      <c r="R18" s="702"/>
      <c r="S18" s="703"/>
      <c r="T18" s="702"/>
      <c r="U18" s="703"/>
      <c r="V18" s="702"/>
      <c r="W18" s="703"/>
      <c r="X18" s="1352"/>
      <c r="Y18" s="3663"/>
      <c r="Z18" s="1353"/>
      <c r="AA18" s="1350">
        <v>1</v>
      </c>
      <c r="AB18" s="1350">
        <v>1</v>
      </c>
      <c r="AC18" s="1958">
        <v>1</v>
      </c>
    </row>
    <row r="19" spans="1:29" ht="15">
      <c r="A19" s="379"/>
      <c r="B19" s="576" t="s">
        <v>1810</v>
      </c>
      <c r="C19" s="1959" t="str">
        <f>估价对象房地状况!C7</f>
        <v>较好</v>
      </c>
      <c r="D19" s="406">
        <v>100</v>
      </c>
      <c r="E19" s="410" t="s">
        <v>3383</v>
      </c>
      <c r="F19" s="406">
        <f>SUMIF(81:81,E20,82:82)-SUMIF(81:81,C20,82:82)+100</f>
        <v>100</v>
      </c>
      <c r="G19" s="410" t="s">
        <v>3383</v>
      </c>
      <c r="H19" s="401">
        <f>SUMIF(81:81,G20,82:82)-SUMIF(81:81,C20,82:82)+100</f>
        <v>100</v>
      </c>
      <c r="I19" s="410" t="s">
        <v>3383</v>
      </c>
      <c r="J19" s="401">
        <f>SUMIF(81:81,I20,82:82)-SUMIF(81:81,C20,82:82)+100</f>
        <v>100</v>
      </c>
      <c r="K19" s="561">
        <v>2</v>
      </c>
      <c r="L19" s="2713"/>
      <c r="M19" s="2707"/>
      <c r="N19" s="2707"/>
      <c r="O19" s="2707"/>
      <c r="P19" s="3752"/>
      <c r="Q19" s="1349" t="str">
        <f>B19</f>
        <v>公共配套设施</v>
      </c>
      <c r="R19" s="702" t="s">
        <v>14</v>
      </c>
      <c r="S19" s="703">
        <f>F19</f>
        <v>100</v>
      </c>
      <c r="T19" s="702" t="s">
        <v>14</v>
      </c>
      <c r="U19" s="703">
        <f>H19</f>
        <v>100</v>
      </c>
      <c r="V19" s="702" t="s">
        <v>14</v>
      </c>
      <c r="W19" s="703">
        <f>J19</f>
        <v>100</v>
      </c>
      <c r="X19" s="1352"/>
      <c r="Y19" s="3663"/>
      <c r="Z19" s="1353" t="str">
        <f>Q19</f>
        <v>公共配套设施</v>
      </c>
      <c r="AA19" s="1350">
        <f t="shared" si="3"/>
        <v>1</v>
      </c>
      <c r="AB19" s="1350">
        <f t="shared" si="4"/>
        <v>1</v>
      </c>
      <c r="AC19" s="1958">
        <f t="shared" si="5"/>
        <v>1</v>
      </c>
    </row>
    <row r="20" spans="1:29" ht="15">
      <c r="A20" s="379"/>
      <c r="B20" s="577"/>
      <c r="C20" s="1901" t="s">
        <v>3383</v>
      </c>
      <c r="D20" s="399"/>
      <c r="E20" s="1894" t="s">
        <v>3383</v>
      </c>
      <c r="F20" s="399"/>
      <c r="G20" s="1894" t="s">
        <v>3383</v>
      </c>
      <c r="H20" s="399"/>
      <c r="I20" s="1894" t="s">
        <v>3383</v>
      </c>
      <c r="J20" s="399"/>
      <c r="K20" s="562"/>
      <c r="L20" s="2713"/>
      <c r="M20" s="2707"/>
      <c r="N20" s="2707"/>
      <c r="O20" s="2707"/>
      <c r="P20" s="3752"/>
      <c r="Q20" s="1349"/>
      <c r="R20" s="702"/>
      <c r="S20" s="703"/>
      <c r="T20" s="702"/>
      <c r="U20" s="703"/>
      <c r="V20" s="702"/>
      <c r="W20" s="703"/>
      <c r="X20" s="1352"/>
      <c r="Y20" s="3663"/>
      <c r="Z20" s="1353"/>
      <c r="AA20" s="1350">
        <v>1</v>
      </c>
      <c r="AB20" s="1350">
        <v>1</v>
      </c>
      <c r="AC20" s="1958">
        <v>1</v>
      </c>
    </row>
    <row r="21" spans="1:29" ht="15">
      <c r="A21" s="379"/>
      <c r="B21" s="578" t="s">
        <v>1811</v>
      </c>
      <c r="C21" s="1959"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1">
        <v>1</v>
      </c>
      <c r="L21" s="2713"/>
      <c r="M21" s="2707"/>
      <c r="N21" s="2707"/>
      <c r="O21" s="2707"/>
      <c r="P21" s="3752"/>
      <c r="Q21" s="1349" t="str">
        <f>B21</f>
        <v>基础设施水平</v>
      </c>
      <c r="R21" s="702" t="s">
        <v>14</v>
      </c>
      <c r="S21" s="703">
        <f>F21</f>
        <v>100</v>
      </c>
      <c r="T21" s="702" t="s">
        <v>14</v>
      </c>
      <c r="U21" s="703">
        <f>H21</f>
        <v>100</v>
      </c>
      <c r="V21" s="702" t="s">
        <v>14</v>
      </c>
      <c r="W21" s="703">
        <f>J21</f>
        <v>100</v>
      </c>
      <c r="X21" s="1352"/>
      <c r="Y21" s="3663"/>
      <c r="Z21" s="1353" t="str">
        <f>Q21</f>
        <v>基础设施水平</v>
      </c>
      <c r="AA21" s="1350">
        <f t="shared" ref="AA21" si="8">D21/F21</f>
        <v>1</v>
      </c>
      <c r="AB21" s="1350">
        <f t="shared" ref="AB21" si="9">D21/H21</f>
        <v>1</v>
      </c>
      <c r="AC21" s="1958">
        <f t="shared" ref="AC21" si="10">D21/J21</f>
        <v>1</v>
      </c>
    </row>
    <row r="22" spans="1:29" ht="15">
      <c r="A22" s="379"/>
      <c r="B22" s="578"/>
      <c r="C22" s="1960" t="s">
        <v>3387</v>
      </c>
      <c r="D22" s="399"/>
      <c r="E22" s="398" t="s">
        <v>3387</v>
      </c>
      <c r="F22" s="399"/>
      <c r="G22" s="398" t="s">
        <v>3387</v>
      </c>
      <c r="H22" s="399"/>
      <c r="I22" s="398" t="s">
        <v>3387</v>
      </c>
      <c r="J22" s="399"/>
      <c r="K22" s="1127"/>
      <c r="L22" s="2713"/>
      <c r="M22" s="2707"/>
      <c r="N22" s="2707"/>
      <c r="O22" s="2707"/>
      <c r="P22" s="3752"/>
      <c r="Q22" s="1349"/>
      <c r="R22" s="702"/>
      <c r="S22" s="703"/>
      <c r="T22" s="702"/>
      <c r="U22" s="703"/>
      <c r="V22" s="702"/>
      <c r="W22" s="703"/>
      <c r="X22" s="1352"/>
      <c r="Y22" s="3663"/>
      <c r="Z22" s="1353"/>
      <c r="AA22" s="1350">
        <v>1</v>
      </c>
      <c r="AB22" s="1350">
        <v>1</v>
      </c>
      <c r="AC22" s="1958">
        <v>1</v>
      </c>
    </row>
    <row r="23" spans="1:29" ht="15">
      <c r="A23" s="379"/>
      <c r="B23" s="576" t="s">
        <v>1812</v>
      </c>
      <c r="C23" s="1959" t="str">
        <f>估价对象房地状况!C9</f>
        <v>较好</v>
      </c>
      <c r="D23" s="401">
        <v>100</v>
      </c>
      <c r="E23" s="405" t="s">
        <v>3383</v>
      </c>
      <c r="F23" s="401">
        <f>SUMIF(85:85,E24,86:86)-SUMIF(85:85,C24,86:86)+100</f>
        <v>100</v>
      </c>
      <c r="G23" s="405" t="s">
        <v>3383</v>
      </c>
      <c r="H23" s="401">
        <f>SUMIF(85:85,G24,86:86)-SUMIF(85:85,C24,86:86)+100</f>
        <v>100</v>
      </c>
      <c r="I23" s="405" t="s">
        <v>3383</v>
      </c>
      <c r="J23" s="401">
        <f>SUMIF(85:85,I24,86:86)-SUMIF(85:85,C24,86:86)+100</f>
        <v>100</v>
      </c>
      <c r="K23" s="561">
        <v>2</v>
      </c>
      <c r="L23" s="2713"/>
      <c r="M23" s="2707"/>
      <c r="N23" s="2707"/>
      <c r="O23" s="2707"/>
      <c r="P23" s="3752"/>
      <c r="Q23" s="1349" t="str">
        <f>B23</f>
        <v>环境质量</v>
      </c>
      <c r="R23" s="702" t="s">
        <v>14</v>
      </c>
      <c r="S23" s="703">
        <f>F23</f>
        <v>100</v>
      </c>
      <c r="T23" s="702" t="s">
        <v>14</v>
      </c>
      <c r="U23" s="703">
        <f>H23</f>
        <v>100</v>
      </c>
      <c r="V23" s="702" t="s">
        <v>14</v>
      </c>
      <c r="W23" s="703">
        <f>J23</f>
        <v>100</v>
      </c>
      <c r="X23" s="1352"/>
      <c r="Y23" s="3663"/>
      <c r="Z23" s="1353" t="str">
        <f>Q23</f>
        <v>环境质量</v>
      </c>
      <c r="AA23" s="1350">
        <f t="shared" si="3"/>
        <v>1</v>
      </c>
      <c r="AB23" s="1350">
        <f t="shared" si="4"/>
        <v>1</v>
      </c>
      <c r="AC23" s="1958">
        <f t="shared" si="5"/>
        <v>1</v>
      </c>
    </row>
    <row r="24" spans="1:29" ht="15">
      <c r="A24" s="379"/>
      <c r="B24" s="578"/>
      <c r="C24" s="1901" t="s">
        <v>3383</v>
      </c>
      <c r="D24" s="399"/>
      <c r="E24" s="1894" t="s">
        <v>3383</v>
      </c>
      <c r="F24" s="399"/>
      <c r="G24" s="1894" t="s">
        <v>3383</v>
      </c>
      <c r="H24" s="399"/>
      <c r="I24" s="1894" t="s">
        <v>3383</v>
      </c>
      <c r="J24" s="399"/>
      <c r="K24" s="562"/>
      <c r="L24" s="2713"/>
      <c r="M24" s="2707"/>
      <c r="N24" s="2707"/>
      <c r="O24" s="2707"/>
      <c r="P24" s="3752"/>
      <c r="Q24" s="1349"/>
      <c r="R24" s="702"/>
      <c r="S24" s="703"/>
      <c r="T24" s="702"/>
      <c r="U24" s="703"/>
      <c r="V24" s="702"/>
      <c r="W24" s="703"/>
      <c r="X24" s="1352"/>
      <c r="Y24" s="3663"/>
      <c r="Z24" s="1353"/>
      <c r="AA24" s="1350">
        <v>1</v>
      </c>
      <c r="AB24" s="1350">
        <v>1</v>
      </c>
      <c r="AC24" s="1958">
        <v>1</v>
      </c>
    </row>
    <row r="25" spans="1:29" ht="27">
      <c r="A25" s="358"/>
      <c r="B25" s="576" t="s">
        <v>1813</v>
      </c>
      <c r="C25" s="1905"/>
      <c r="D25" s="386">
        <v>100</v>
      </c>
      <c r="E25" s="385"/>
      <c r="F25" s="386">
        <f>SUMIF(87:87,E26,88:88)-SUMIF(87:87,C26,88:88)+100</f>
        <v>100</v>
      </c>
      <c r="G25" s="1905"/>
      <c r="H25" s="386">
        <f>SUMIF(87:87,G26,88:88)-SUMIF(87:87,C26,88:88)+100</f>
        <v>100</v>
      </c>
      <c r="I25" s="385"/>
      <c r="J25" s="386">
        <f>SUMIF(87:87,I26,88:88)-SUMIF(87:87,C26,88:88)+100</f>
        <v>100</v>
      </c>
      <c r="K25" s="561"/>
      <c r="L25" s="2713"/>
      <c r="M25" s="2707"/>
      <c r="N25" s="2707"/>
      <c r="O25" s="2707"/>
      <c r="P25" s="3752"/>
      <c r="Q25" s="1349" t="str">
        <f>B25</f>
        <v>毗邻道路的类型与等级</v>
      </c>
      <c r="R25" s="702" t="s">
        <v>14</v>
      </c>
      <c r="S25" s="703">
        <f>F25</f>
        <v>100</v>
      </c>
      <c r="T25" s="702" t="s">
        <v>14</v>
      </c>
      <c r="U25" s="703">
        <f>H25</f>
        <v>100</v>
      </c>
      <c r="V25" s="702" t="s">
        <v>14</v>
      </c>
      <c r="W25" s="703">
        <f>J25</f>
        <v>100</v>
      </c>
      <c r="X25" s="1352"/>
      <c r="Y25" s="3663"/>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3"/>
      <c r="M26" s="2707"/>
      <c r="N26" s="2707"/>
      <c r="O26" s="2707"/>
      <c r="P26" s="3752"/>
      <c r="Q26" s="1349"/>
      <c r="R26" s="702"/>
      <c r="S26" s="703"/>
      <c r="T26" s="702"/>
      <c r="U26" s="703"/>
      <c r="V26" s="702"/>
      <c r="W26" s="703"/>
      <c r="X26" s="1352"/>
      <c r="Y26" s="3663"/>
      <c r="Z26" s="1353"/>
      <c r="AA26" s="1350">
        <v>1</v>
      </c>
      <c r="AB26" s="1350">
        <v>1</v>
      </c>
      <c r="AC26" s="1958">
        <v>1</v>
      </c>
    </row>
    <row r="27" spans="1:29" ht="15">
      <c r="A27" s="379"/>
      <c r="B27" s="577" t="s">
        <v>1781</v>
      </c>
      <c r="C27" s="579"/>
      <c r="D27" s="386">
        <v>100</v>
      </c>
      <c r="E27" s="563"/>
      <c r="F27" s="386">
        <f>SUMIF(89:89,E27,90:90)-SUMIF(89:89,C27,90:90)+100</f>
        <v>100</v>
      </c>
      <c r="G27" s="579"/>
      <c r="H27" s="386">
        <f>SUMIF(89:89,G27,90:90)-SUMIF(89:89,C27,90:90)+100</f>
        <v>100</v>
      </c>
      <c r="I27" s="563"/>
      <c r="J27" s="386">
        <f>SUMIF(89:89,I27,90:90)-SUMIF(89:89,C27,90:90)+100</f>
        <v>100</v>
      </c>
      <c r="K27" s="559"/>
      <c r="L27" s="2713"/>
      <c r="M27" s="2707"/>
      <c r="N27" s="2707"/>
      <c r="O27" s="2707"/>
      <c r="P27" s="3752"/>
      <c r="Q27" s="1349" t="str">
        <f t="shared" ref="Q27:Q47" si="11">B27</f>
        <v>楼层</v>
      </c>
      <c r="R27" s="702" t="s">
        <v>14</v>
      </c>
      <c r="S27" s="703">
        <f>F27</f>
        <v>100</v>
      </c>
      <c r="T27" s="702" t="s">
        <v>14</v>
      </c>
      <c r="U27" s="703">
        <f>H27</f>
        <v>100</v>
      </c>
      <c r="V27" s="702" t="s">
        <v>14</v>
      </c>
      <c r="W27" s="703">
        <f>J27</f>
        <v>100</v>
      </c>
      <c r="X27" s="1352"/>
      <c r="Y27" s="3663"/>
      <c r="Z27" s="1353" t="str">
        <f>Q27</f>
        <v>楼层</v>
      </c>
      <c r="AA27" s="1350">
        <f t="shared" si="3"/>
        <v>1</v>
      </c>
      <c r="AB27" s="1350">
        <f t="shared" si="4"/>
        <v>1</v>
      </c>
      <c r="AC27" s="1958">
        <f t="shared" si="5"/>
        <v>1</v>
      </c>
    </row>
    <row r="28" spans="1:29" s="108" customFormat="1" ht="15.75" thickBot="1">
      <c r="A28" s="382"/>
      <c r="B28" s="576" t="s">
        <v>1814</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752"/>
      <c r="Q28" s="1340" t="str">
        <f t="shared" si="11"/>
        <v>朝向</v>
      </c>
      <c r="R28" s="698" t="s">
        <v>14</v>
      </c>
      <c r="S28" s="699">
        <f>F28</f>
        <v>100</v>
      </c>
      <c r="T28" s="698" t="s">
        <v>14</v>
      </c>
      <c r="U28" s="699">
        <f>H28</f>
        <v>100</v>
      </c>
      <c r="V28" s="698" t="s">
        <v>14</v>
      </c>
      <c r="W28" s="699">
        <f>J28</f>
        <v>100</v>
      </c>
      <c r="X28" s="700"/>
      <c r="Y28" s="3663"/>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3"/>
      <c r="M29" s="2707"/>
      <c r="N29" s="2707"/>
      <c r="O29" s="2707"/>
      <c r="P29" s="3752"/>
      <c r="Q29" s="1349">
        <f t="shared" si="11"/>
        <v>111</v>
      </c>
      <c r="R29" s="702" t="s">
        <v>14</v>
      </c>
      <c r="S29" s="703">
        <f t="shared" ref="S29:S47" si="12">F29</f>
        <v>100</v>
      </c>
      <c r="T29" s="702" t="s">
        <v>14</v>
      </c>
      <c r="U29" s="703">
        <f t="shared" ref="U29:U47" si="13">H29</f>
        <v>100</v>
      </c>
      <c r="V29" s="702" t="s">
        <v>14</v>
      </c>
      <c r="W29" s="703">
        <f t="shared" ref="W29:W47" si="14">J29</f>
        <v>100</v>
      </c>
      <c r="X29" s="1352"/>
      <c r="Y29" s="3663"/>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752"/>
      <c r="Q30" s="1349">
        <f t="shared" si="11"/>
        <v>111</v>
      </c>
      <c r="R30" s="702" t="s">
        <v>14</v>
      </c>
      <c r="S30" s="703">
        <f t="shared" si="12"/>
        <v>100</v>
      </c>
      <c r="T30" s="702" t="s">
        <v>14</v>
      </c>
      <c r="U30" s="703">
        <f t="shared" si="13"/>
        <v>100</v>
      </c>
      <c r="V30" s="702" t="s">
        <v>14</v>
      </c>
      <c r="W30" s="703">
        <f t="shared" si="14"/>
        <v>100</v>
      </c>
      <c r="X30" s="1352"/>
      <c r="Y30" s="3663"/>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752"/>
      <c r="Q31" s="1349">
        <f t="shared" si="11"/>
        <v>111</v>
      </c>
      <c r="R31" s="702" t="s">
        <v>14</v>
      </c>
      <c r="S31" s="703">
        <f t="shared" si="12"/>
        <v>100</v>
      </c>
      <c r="T31" s="702" t="s">
        <v>14</v>
      </c>
      <c r="U31" s="703">
        <f t="shared" si="13"/>
        <v>100</v>
      </c>
      <c r="V31" s="702" t="s">
        <v>14</v>
      </c>
      <c r="W31" s="703">
        <f t="shared" si="14"/>
        <v>100</v>
      </c>
      <c r="X31" s="1352"/>
      <c r="Y31" s="3663"/>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752"/>
      <c r="Q32" s="1349">
        <f t="shared" si="11"/>
        <v>111</v>
      </c>
      <c r="R32" s="702" t="s">
        <v>14</v>
      </c>
      <c r="S32" s="703">
        <f t="shared" si="12"/>
        <v>100</v>
      </c>
      <c r="T32" s="702" t="s">
        <v>14</v>
      </c>
      <c r="U32" s="703">
        <f t="shared" si="13"/>
        <v>100</v>
      </c>
      <c r="V32" s="702" t="s">
        <v>14</v>
      </c>
      <c r="W32" s="703">
        <f t="shared" si="14"/>
        <v>100</v>
      </c>
      <c r="X32" s="1352"/>
      <c r="Y32" s="3663"/>
      <c r="Z32" s="1353">
        <f t="shared" si="15"/>
        <v>111</v>
      </c>
      <c r="AA32" s="1350">
        <f t="shared" si="3"/>
        <v>1</v>
      </c>
      <c r="AB32" s="1350">
        <f t="shared" si="4"/>
        <v>1</v>
      </c>
      <c r="AC32" s="1958">
        <f t="shared" si="5"/>
        <v>1</v>
      </c>
    </row>
    <row r="33" spans="1:29" ht="15">
      <c r="A33" s="391" t="s">
        <v>1692</v>
      </c>
      <c r="B33" s="63" t="s">
        <v>1815</v>
      </c>
      <c r="C33" s="1963" t="s">
        <v>3508</v>
      </c>
      <c r="D33" s="418">
        <v>100</v>
      </c>
      <c r="E33" s="1963" t="s">
        <v>3508</v>
      </c>
      <c r="F33" s="412">
        <f>SUMIF(101:101,E33,102:102)-SUMIF(101:101,C33,102:102)+100</f>
        <v>100</v>
      </c>
      <c r="G33" s="1963" t="s">
        <v>3508</v>
      </c>
      <c r="H33" s="386">
        <f>SUMIF(101:101,G33,102:102)-SUMIF(101:101,C33,102:102)+100</f>
        <v>100</v>
      </c>
      <c r="I33" s="1963" t="s">
        <v>3508</v>
      </c>
      <c r="J33" s="418">
        <f>SUMIF(101:101,I33,102:102)-SUMIF(101:101,C33,102:102)+100</f>
        <v>100</v>
      </c>
      <c r="K33" s="559">
        <v>2</v>
      </c>
      <c r="L33" s="2713"/>
      <c r="M33" s="2707"/>
      <c r="N33" s="2707"/>
      <c r="O33" s="2707"/>
      <c r="P33" s="3747" t="s">
        <v>1694</v>
      </c>
      <c r="Q33" s="1349" t="str">
        <f t="shared" si="11"/>
        <v>建筑类型</v>
      </c>
      <c r="R33" s="702" t="s">
        <v>14</v>
      </c>
      <c r="S33" s="703">
        <f t="shared" si="12"/>
        <v>100</v>
      </c>
      <c r="T33" s="702" t="s">
        <v>14</v>
      </c>
      <c r="U33" s="703">
        <f t="shared" si="13"/>
        <v>100</v>
      </c>
      <c r="V33" s="702" t="s">
        <v>14</v>
      </c>
      <c r="W33" s="703">
        <f t="shared" si="14"/>
        <v>100</v>
      </c>
      <c r="X33" s="1352"/>
      <c r="Y33" s="3665" t="s">
        <v>1694</v>
      </c>
      <c r="Z33" s="1353" t="str">
        <f t="shared" si="15"/>
        <v>建筑类型</v>
      </c>
      <c r="AA33" s="1350">
        <f t="shared" si="3"/>
        <v>1</v>
      </c>
      <c r="AB33" s="1350">
        <f t="shared" si="4"/>
        <v>1</v>
      </c>
      <c r="AC33" s="1958">
        <f t="shared" si="5"/>
        <v>1</v>
      </c>
    </row>
    <row r="34" spans="1:29" s="422" customFormat="1" ht="15">
      <c r="A34" s="419"/>
      <c r="B34" s="375" t="s">
        <v>1695</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2"/>
      <c r="M34" s="2714"/>
      <c r="N34" s="2714"/>
      <c r="O34" s="2714"/>
      <c r="P34" s="3748"/>
      <c r="Q34" s="704" t="str">
        <f t="shared" si="11"/>
        <v>项目建筑规模</v>
      </c>
      <c r="R34" s="705" t="s">
        <v>14</v>
      </c>
      <c r="S34" s="706">
        <f t="shared" si="12"/>
        <v>100</v>
      </c>
      <c r="T34" s="705" t="s">
        <v>14</v>
      </c>
      <c r="U34" s="706">
        <f t="shared" si="13"/>
        <v>100</v>
      </c>
      <c r="V34" s="705" t="s">
        <v>14</v>
      </c>
      <c r="W34" s="706">
        <f t="shared" si="14"/>
        <v>100</v>
      </c>
      <c r="X34" s="707"/>
      <c r="Y34" s="3665"/>
      <c r="Z34" s="708" t="str">
        <f t="shared" si="15"/>
        <v>项目建筑规模</v>
      </c>
      <c r="AA34" s="1350">
        <f t="shared" si="3"/>
        <v>1</v>
      </c>
      <c r="AB34" s="1350">
        <f t="shared" si="4"/>
        <v>1</v>
      </c>
      <c r="AC34" s="1958">
        <f t="shared" si="5"/>
        <v>1</v>
      </c>
    </row>
    <row r="35" spans="1:29" ht="15">
      <c r="A35" s="423"/>
      <c r="B35" s="375" t="s">
        <v>1696</v>
      </c>
      <c r="C35" s="411" t="s">
        <v>3406</v>
      </c>
      <c r="D35" s="386">
        <v>100</v>
      </c>
      <c r="E35" s="411" t="s">
        <v>3406</v>
      </c>
      <c r="F35" s="412">
        <f>SUMIF(106:106,E35,107:107)-SUMIF(106:106,C35,107:107)+100</f>
        <v>100</v>
      </c>
      <c r="G35" s="411" t="s">
        <v>3406</v>
      </c>
      <c r="H35" s="386">
        <f>SUMIF(106:106,G35,107:107)-SUMIF(106:106,C35,107:107)+100</f>
        <v>100</v>
      </c>
      <c r="I35" s="411" t="s">
        <v>3406</v>
      </c>
      <c r="J35" s="386">
        <f>SUMIF(106:106,I35,107:107)-SUMIF(106:106,C35,107:107)+100</f>
        <v>100</v>
      </c>
      <c r="K35" s="559">
        <v>2</v>
      </c>
      <c r="L35" s="2713"/>
      <c r="M35" s="2707"/>
      <c r="N35" s="2707"/>
      <c r="O35" s="2707"/>
      <c r="P35" s="3748"/>
      <c r="Q35" s="1349" t="str">
        <f t="shared" si="11"/>
        <v>建筑结构</v>
      </c>
      <c r="R35" s="702" t="s">
        <v>14</v>
      </c>
      <c r="S35" s="703">
        <f t="shared" si="12"/>
        <v>100</v>
      </c>
      <c r="T35" s="702" t="s">
        <v>14</v>
      </c>
      <c r="U35" s="703">
        <f t="shared" si="13"/>
        <v>100</v>
      </c>
      <c r="V35" s="702" t="s">
        <v>14</v>
      </c>
      <c r="W35" s="703">
        <f t="shared" si="14"/>
        <v>100</v>
      </c>
      <c r="X35" s="1352"/>
      <c r="Y35" s="3665"/>
      <c r="Z35" s="1353" t="str">
        <f t="shared" si="15"/>
        <v>建筑结构</v>
      </c>
      <c r="AA35" s="1350">
        <f t="shared" si="3"/>
        <v>1</v>
      </c>
      <c r="AB35" s="1350">
        <f t="shared" si="4"/>
        <v>1</v>
      </c>
      <c r="AC35" s="1958">
        <f t="shared" si="5"/>
        <v>1</v>
      </c>
    </row>
    <row r="36" spans="1:29" ht="15">
      <c r="A36" s="423"/>
      <c r="B36" s="375" t="s">
        <v>1783</v>
      </c>
      <c r="C36" s="411" t="s">
        <v>3509</v>
      </c>
      <c r="D36" s="386">
        <v>100</v>
      </c>
      <c r="E36" s="411" t="s">
        <v>3509</v>
      </c>
      <c r="F36" s="412">
        <f>SUMIF(108:108,E36,109:109)-SUMIF(108:108,C36,109:109)+100</f>
        <v>100</v>
      </c>
      <c r="G36" s="411" t="s">
        <v>3509</v>
      </c>
      <c r="H36" s="386">
        <f>SUMIF(108:108,G36,109:109)-SUMIF(108:108,C36,109:109)+100</f>
        <v>100</v>
      </c>
      <c r="I36" s="411" t="s">
        <v>3509</v>
      </c>
      <c r="J36" s="386">
        <f>SUMIF(108:108,I36,109:109)-SUMIF(108:108,C36,109:109)+100</f>
        <v>100</v>
      </c>
      <c r="K36" s="559">
        <v>2</v>
      </c>
      <c r="L36" s="2713"/>
      <c r="M36" s="2707"/>
      <c r="N36" s="2707"/>
      <c r="O36" s="2707"/>
      <c r="P36" s="3748"/>
      <c r="Q36" s="1349" t="str">
        <f t="shared" si="11"/>
        <v>公共部分装修</v>
      </c>
      <c r="R36" s="702" t="s">
        <v>14</v>
      </c>
      <c r="S36" s="703">
        <f t="shared" si="12"/>
        <v>100</v>
      </c>
      <c r="T36" s="702" t="s">
        <v>14</v>
      </c>
      <c r="U36" s="703">
        <f t="shared" si="13"/>
        <v>100</v>
      </c>
      <c r="V36" s="702" t="s">
        <v>14</v>
      </c>
      <c r="W36" s="703">
        <f t="shared" si="14"/>
        <v>100</v>
      </c>
      <c r="X36" s="1352"/>
      <c r="Y36" s="3665"/>
      <c r="Z36" s="1353" t="str">
        <f t="shared" si="15"/>
        <v>公共部分装修</v>
      </c>
      <c r="AA36" s="1350">
        <f t="shared" si="3"/>
        <v>1</v>
      </c>
      <c r="AB36" s="1350">
        <f t="shared" si="4"/>
        <v>1</v>
      </c>
      <c r="AC36" s="1958">
        <f t="shared" si="5"/>
        <v>1</v>
      </c>
    </row>
    <row r="37" spans="1:29" ht="15">
      <c r="A37" s="423"/>
      <c r="B37" s="375" t="s">
        <v>1784</v>
      </c>
      <c r="C37" s="425">
        <f>'数据-取费表'!N6</f>
        <v>0.08</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3"/>
      <c r="M37" s="2707"/>
      <c r="N37" s="2707"/>
      <c r="O37" s="2707"/>
      <c r="P37" s="3748"/>
      <c r="Q37" s="1349" t="str">
        <f t="shared" si="11"/>
        <v>成新度</v>
      </c>
      <c r="R37" s="702" t="s">
        <v>14</v>
      </c>
      <c r="S37" s="703" t="e">
        <f t="shared" si="12"/>
        <v>#N/A</v>
      </c>
      <c r="T37" s="702" t="s">
        <v>14</v>
      </c>
      <c r="U37" s="703" t="e">
        <f t="shared" si="13"/>
        <v>#N/A</v>
      </c>
      <c r="V37" s="702" t="s">
        <v>14</v>
      </c>
      <c r="W37" s="703" t="e">
        <f t="shared" si="14"/>
        <v>#N/A</v>
      </c>
      <c r="X37" s="1352"/>
      <c r="Y37" s="3665"/>
      <c r="Z37" s="1353" t="str">
        <f t="shared" si="15"/>
        <v>成新度</v>
      </c>
      <c r="AA37" s="1350" t="e">
        <f t="shared" si="3"/>
        <v>#N/A</v>
      </c>
      <c r="AB37" s="1350"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48"/>
      <c r="Q38" s="1340" t="str">
        <f t="shared" si="11"/>
        <v>写字楼等级</v>
      </c>
      <c r="R38" s="698" t="s">
        <v>14</v>
      </c>
      <c r="S38" s="699">
        <f t="shared" si="12"/>
        <v>100</v>
      </c>
      <c r="T38" s="698" t="s">
        <v>14</v>
      </c>
      <c r="U38" s="699">
        <f t="shared" si="13"/>
        <v>100</v>
      </c>
      <c r="V38" s="698" t="s">
        <v>14</v>
      </c>
      <c r="W38" s="699">
        <f t="shared" si="14"/>
        <v>100</v>
      </c>
      <c r="X38" s="700"/>
      <c r="Y38" s="3665"/>
      <c r="Z38" s="52" t="str">
        <f t="shared" si="15"/>
        <v>写字楼等级</v>
      </c>
      <c r="AA38" s="701">
        <f t="shared" si="3"/>
        <v>1</v>
      </c>
      <c r="AB38" s="701">
        <f t="shared" si="4"/>
        <v>1</v>
      </c>
      <c r="AC38" s="1955">
        <f t="shared" si="5"/>
        <v>1</v>
      </c>
    </row>
    <row r="39" spans="1:29" ht="15">
      <c r="A39" s="423"/>
      <c r="B39" s="375" t="s">
        <v>1817</v>
      </c>
      <c r="C39" s="411" t="s">
        <v>3449</v>
      </c>
      <c r="D39" s="386">
        <v>100</v>
      </c>
      <c r="E39" s="411" t="s">
        <v>3449</v>
      </c>
      <c r="F39" s="412">
        <f>SUMIF(115:115,E39,116:116)-SUMIF(115:115,C39,116:116)+100</f>
        <v>100</v>
      </c>
      <c r="G39" s="411" t="s">
        <v>3449</v>
      </c>
      <c r="H39" s="386">
        <f>SUMIF(115:115,G39,116:116)-SUMIF(115:115,C39,116:116)+100</f>
        <v>100</v>
      </c>
      <c r="I39" s="411" t="s">
        <v>3449</v>
      </c>
      <c r="J39" s="386">
        <f>SUMIF(115:115,I39,116:116)-SUMIF(115:115,C39,116:116)+100</f>
        <v>100</v>
      </c>
      <c r="K39" s="559">
        <v>2</v>
      </c>
      <c r="L39" s="2713"/>
      <c r="M39" s="2707"/>
      <c r="N39" s="2707"/>
      <c r="O39" s="2707"/>
      <c r="P39" s="3748" t="s">
        <v>1694</v>
      </c>
      <c r="Q39" s="1349" t="str">
        <f t="shared" si="11"/>
        <v>物业管理</v>
      </c>
      <c r="R39" s="702" t="s">
        <v>14</v>
      </c>
      <c r="S39" s="703">
        <f t="shared" si="12"/>
        <v>100</v>
      </c>
      <c r="T39" s="702" t="s">
        <v>14</v>
      </c>
      <c r="U39" s="703">
        <f t="shared" si="13"/>
        <v>100</v>
      </c>
      <c r="V39" s="702" t="s">
        <v>14</v>
      </c>
      <c r="W39" s="703">
        <f t="shared" si="14"/>
        <v>100</v>
      </c>
      <c r="X39" s="1352"/>
      <c r="Y39" s="3665" t="s">
        <v>1694</v>
      </c>
      <c r="Z39" s="1353" t="str">
        <f t="shared" si="15"/>
        <v>物业管理</v>
      </c>
      <c r="AA39" s="1350">
        <f t="shared" si="3"/>
        <v>1</v>
      </c>
      <c r="AB39" s="1350">
        <f t="shared" si="4"/>
        <v>1</v>
      </c>
      <c r="AC39" s="1958">
        <f t="shared" si="5"/>
        <v>1</v>
      </c>
    </row>
    <row r="40" spans="1:29" ht="15">
      <c r="A40" s="423"/>
      <c r="B40" s="375" t="s">
        <v>1785</v>
      </c>
      <c r="C40" s="411" t="s">
        <v>3510</v>
      </c>
      <c r="D40" s="386">
        <v>100</v>
      </c>
      <c r="E40" s="411" t="s">
        <v>3510</v>
      </c>
      <c r="F40" s="412">
        <f>SUMIF(117:117,E40,118:118)-SUMIF(117:117,C40,118:118)+100</f>
        <v>100</v>
      </c>
      <c r="G40" s="411" t="s">
        <v>3510</v>
      </c>
      <c r="H40" s="386">
        <f>SUMIF(117:117,G40,118:118)-SUMIF(117:117,C40,118:118)+100</f>
        <v>100</v>
      </c>
      <c r="I40" s="411" t="s">
        <v>3510</v>
      </c>
      <c r="J40" s="386">
        <f>SUMIF(117:117,I40,118:118)-SUMIF(117:117,C40,118:118)+100</f>
        <v>100</v>
      </c>
      <c r="K40" s="559">
        <v>1</v>
      </c>
      <c r="L40" s="2713"/>
      <c r="M40" s="2707"/>
      <c r="N40" s="2707"/>
      <c r="O40" s="2707"/>
      <c r="P40" s="3748"/>
      <c r="Q40" s="1349" t="str">
        <f t="shared" si="11"/>
        <v>市政基础设施</v>
      </c>
      <c r="R40" s="702" t="s">
        <v>14</v>
      </c>
      <c r="S40" s="703">
        <f t="shared" si="12"/>
        <v>100</v>
      </c>
      <c r="T40" s="702" t="s">
        <v>14</v>
      </c>
      <c r="U40" s="703">
        <f t="shared" si="13"/>
        <v>100</v>
      </c>
      <c r="V40" s="702" t="s">
        <v>14</v>
      </c>
      <c r="W40" s="703">
        <f t="shared" si="14"/>
        <v>100</v>
      </c>
      <c r="X40" s="1352"/>
      <c r="Y40" s="3665"/>
      <c r="Z40" s="1353" t="str">
        <f t="shared" si="15"/>
        <v>市政基础设施</v>
      </c>
      <c r="AA40" s="1350">
        <f t="shared" si="3"/>
        <v>1</v>
      </c>
      <c r="AB40" s="1350">
        <f t="shared" si="4"/>
        <v>1</v>
      </c>
      <c r="AC40" s="1958">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48"/>
      <c r="Q41" s="1349" t="str">
        <f t="shared" si="11"/>
        <v>层高</v>
      </c>
      <c r="R41" s="702" t="s">
        <v>14</v>
      </c>
      <c r="S41" s="703">
        <f t="shared" si="12"/>
        <v>100</v>
      </c>
      <c r="T41" s="702" t="s">
        <v>14</v>
      </c>
      <c r="U41" s="703">
        <f t="shared" si="13"/>
        <v>100</v>
      </c>
      <c r="V41" s="702" t="s">
        <v>14</v>
      </c>
      <c r="W41" s="703">
        <f t="shared" si="14"/>
        <v>100</v>
      </c>
      <c r="X41" s="1352"/>
      <c r="Y41" s="3665"/>
      <c r="Z41" s="1353" t="str">
        <f t="shared" si="15"/>
        <v>层高</v>
      </c>
      <c r="AA41" s="1350">
        <f t="shared" si="3"/>
        <v>1</v>
      </c>
      <c r="AB41" s="1350">
        <f t="shared" si="4"/>
        <v>1</v>
      </c>
      <c r="AC41" s="1958">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48"/>
      <c r="Q42" s="704" t="str">
        <f t="shared" si="11"/>
        <v>单套建筑面积</v>
      </c>
      <c r="R42" s="705" t="s">
        <v>14</v>
      </c>
      <c r="S42" s="706">
        <f t="shared" si="12"/>
        <v>100</v>
      </c>
      <c r="T42" s="705" t="s">
        <v>14</v>
      </c>
      <c r="U42" s="706">
        <f t="shared" si="13"/>
        <v>100</v>
      </c>
      <c r="V42" s="705" t="s">
        <v>14</v>
      </c>
      <c r="W42" s="706">
        <f t="shared" si="14"/>
        <v>100</v>
      </c>
      <c r="X42" s="707"/>
      <c r="Y42" s="3665"/>
      <c r="Z42" s="708" t="str">
        <f t="shared" si="15"/>
        <v>单套建筑面积</v>
      </c>
      <c r="AA42" s="1350">
        <f t="shared" si="3"/>
        <v>1</v>
      </c>
      <c r="AB42" s="1350">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3"/>
      <c r="M43" s="2707"/>
      <c r="N43" s="2707"/>
      <c r="O43" s="2707"/>
      <c r="P43" s="3748"/>
      <c r="Q43" s="1349" t="str">
        <f t="shared" si="11"/>
        <v>内部装修</v>
      </c>
      <c r="R43" s="702" t="s">
        <v>14</v>
      </c>
      <c r="S43" s="703">
        <f t="shared" si="12"/>
        <v>100</v>
      </c>
      <c r="T43" s="702" t="s">
        <v>14</v>
      </c>
      <c r="U43" s="703">
        <f t="shared" si="13"/>
        <v>100</v>
      </c>
      <c r="V43" s="702" t="s">
        <v>14</v>
      </c>
      <c r="W43" s="703">
        <f t="shared" si="14"/>
        <v>100</v>
      </c>
      <c r="X43" s="1352"/>
      <c r="Y43" s="3665"/>
      <c r="Z43" s="1353" t="str">
        <f t="shared" si="15"/>
        <v>内部装修</v>
      </c>
      <c r="AA43" s="1350">
        <f t="shared" si="3"/>
        <v>1</v>
      </c>
      <c r="AB43" s="1350">
        <f t="shared" si="4"/>
        <v>1</v>
      </c>
      <c r="AC43" s="1958">
        <f t="shared" si="5"/>
        <v>1</v>
      </c>
    </row>
    <row r="44" spans="1:29" ht="15.75" thickBot="1">
      <c r="A44" s="423"/>
      <c r="B44" s="375" t="s">
        <v>1705</v>
      </c>
      <c r="C44" s="411" t="s">
        <v>3383</v>
      </c>
      <c r="D44" s="386">
        <v>100</v>
      </c>
      <c r="E44" s="411" t="s">
        <v>3383</v>
      </c>
      <c r="F44" s="412">
        <f>SUMIF(125:125,E44,126:126)-SUMIF(125:125,C44,126:126)+100</f>
        <v>100</v>
      </c>
      <c r="G44" s="411" t="s">
        <v>3383</v>
      </c>
      <c r="H44" s="386">
        <f>SUMIF(125:125,G44,126:126)-SUMIF(125:125,C44,126:126)+100</f>
        <v>100</v>
      </c>
      <c r="I44" s="411" t="s">
        <v>3383</v>
      </c>
      <c r="J44" s="386">
        <f>SUMIF(125:125,I44,126:126)-SUMIF(125:125,C44,126:126)+100</f>
        <v>100</v>
      </c>
      <c r="K44" s="559">
        <v>2</v>
      </c>
      <c r="L44" s="2713"/>
      <c r="M44" s="2707"/>
      <c r="N44" s="2707"/>
      <c r="O44" s="2707"/>
      <c r="P44" s="3748"/>
      <c r="Q44" s="1349" t="str">
        <f t="shared" si="11"/>
        <v>内部装修维护情况</v>
      </c>
      <c r="R44" s="702" t="s">
        <v>14</v>
      </c>
      <c r="S44" s="703">
        <f t="shared" si="12"/>
        <v>100</v>
      </c>
      <c r="T44" s="702" t="s">
        <v>14</v>
      </c>
      <c r="U44" s="703">
        <f t="shared" si="13"/>
        <v>100</v>
      </c>
      <c r="V44" s="702" t="s">
        <v>14</v>
      </c>
      <c r="W44" s="703">
        <f t="shared" si="14"/>
        <v>100</v>
      </c>
      <c r="X44" s="1352"/>
      <c r="Y44" s="3665"/>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48"/>
      <c r="Q45" s="1340">
        <f t="shared" si="11"/>
        <v>111</v>
      </c>
      <c r="R45" s="698" t="s">
        <v>14</v>
      </c>
      <c r="S45" s="699">
        <f t="shared" si="12"/>
        <v>100</v>
      </c>
      <c r="T45" s="698" t="s">
        <v>14</v>
      </c>
      <c r="U45" s="699">
        <f t="shared" si="13"/>
        <v>100</v>
      </c>
      <c r="V45" s="698" t="s">
        <v>14</v>
      </c>
      <c r="W45" s="699">
        <f t="shared" si="14"/>
        <v>100</v>
      </c>
      <c r="X45" s="700"/>
      <c r="Y45" s="3665"/>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48"/>
      <c r="Q46" s="1349">
        <f t="shared" si="11"/>
        <v>111</v>
      </c>
      <c r="R46" s="702" t="s">
        <v>14</v>
      </c>
      <c r="S46" s="703">
        <f t="shared" si="12"/>
        <v>100</v>
      </c>
      <c r="T46" s="702" t="s">
        <v>14</v>
      </c>
      <c r="U46" s="703">
        <f t="shared" si="13"/>
        <v>100</v>
      </c>
      <c r="V46" s="702" t="s">
        <v>14</v>
      </c>
      <c r="W46" s="703">
        <f t="shared" si="14"/>
        <v>100</v>
      </c>
      <c r="X46" s="1352"/>
      <c r="Y46" s="3665"/>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49"/>
      <c r="Q47" s="1349">
        <f t="shared" si="11"/>
        <v>111</v>
      </c>
      <c r="R47" s="702" t="s">
        <v>14</v>
      </c>
      <c r="S47" s="703">
        <f t="shared" si="12"/>
        <v>100</v>
      </c>
      <c r="T47" s="702" t="s">
        <v>14</v>
      </c>
      <c r="U47" s="703">
        <f t="shared" si="13"/>
        <v>100</v>
      </c>
      <c r="V47" s="702" t="s">
        <v>14</v>
      </c>
      <c r="W47" s="703">
        <f t="shared" si="14"/>
        <v>100</v>
      </c>
      <c r="X47" s="1352"/>
      <c r="Y47" s="3750"/>
      <c r="Z47" s="1353">
        <f t="shared" si="15"/>
        <v>111</v>
      </c>
      <c r="AA47" s="1350">
        <f t="shared" si="3"/>
        <v>1</v>
      </c>
      <c r="AB47" s="1350">
        <f t="shared" si="4"/>
        <v>1</v>
      </c>
      <c r="AC47" s="1958">
        <f t="shared" si="5"/>
        <v>1</v>
      </c>
    </row>
    <row r="48" spans="1:29" ht="15">
      <c r="A48" s="428" t="s">
        <v>1706</v>
      </c>
      <c r="B48" s="429"/>
      <c r="C48" s="1151" t="s">
        <v>0</v>
      </c>
      <c r="D48" s="1152"/>
      <c r="E48" s="1153"/>
      <c r="F48" s="1154"/>
      <c r="G48" s="1155"/>
      <c r="H48" s="1156"/>
      <c r="I48" s="1153"/>
      <c r="J48" s="434"/>
      <c r="K48" s="711"/>
      <c r="L48" s="2715"/>
      <c r="M48" s="2707"/>
      <c r="N48" s="2707"/>
      <c r="O48" s="2707"/>
      <c r="P48" s="3682" t="str">
        <f>A48</f>
        <v>成交单价（元/平方米）</v>
      </c>
      <c r="Q48" s="3657"/>
      <c r="R48" s="3746">
        <f>E48</f>
        <v>0</v>
      </c>
      <c r="S48" s="3746"/>
      <c r="T48" s="3746">
        <f>G48</f>
        <v>0</v>
      </c>
      <c r="U48" s="3746"/>
      <c r="V48" s="3746">
        <f>I48</f>
        <v>0</v>
      </c>
      <c r="W48" s="3746"/>
      <c r="X48" s="397"/>
      <c r="Y48" s="709"/>
      <c r="Z48" s="397"/>
      <c r="AA48" s="397"/>
      <c r="AB48" s="397"/>
      <c r="AC48" s="575"/>
    </row>
    <row r="49" spans="1:29" ht="15.75" thickBot="1">
      <c r="A49" s="435" t="s">
        <v>1791</v>
      </c>
      <c r="B49" s="436"/>
      <c r="C49" s="1157" t="e">
        <f>R50</f>
        <v>#N/A</v>
      </c>
      <c r="D49" s="2313" t="s">
        <v>2135</v>
      </c>
      <c r="E49" s="1158" t="e">
        <f>R49</f>
        <v>#N/A</v>
      </c>
      <c r="F49" s="2314"/>
      <c r="G49" s="1157" t="e">
        <f>T49</f>
        <v>#N/A</v>
      </c>
      <c r="H49" s="2314"/>
      <c r="I49" s="1158" t="e">
        <f>V49</f>
        <v>#N/A</v>
      </c>
      <c r="J49" s="2314"/>
      <c r="K49" s="2316">
        <f>F49+H49+J49</f>
        <v>0</v>
      </c>
      <c r="L49" s="2715"/>
      <c r="M49" s="2707"/>
      <c r="N49" s="2707"/>
      <c r="O49" s="2707"/>
      <c r="P49" s="3682" t="str">
        <f>A49</f>
        <v>比较价值（元/平方米）</v>
      </c>
      <c r="Q49" s="3657"/>
      <c r="R49" s="3746" t="e">
        <f>IF(F1="售价",ROUND(PRODUCT(R48,AA7:AA47),0),ROUND(PRODUCT(R48,AA7:AA47),1))</f>
        <v>#N/A</v>
      </c>
      <c r="S49" s="3746"/>
      <c r="T49" s="3746" t="e">
        <f>IF(F1="售价",ROUND(PRODUCT(T48,AB7:AB47),0),ROUND(PRODUCT(T48,AB7:AB47),1))</f>
        <v>#N/A</v>
      </c>
      <c r="U49" s="3746"/>
      <c r="V49" s="3746" t="e">
        <f>IF(F1="售价",ROUND(PRODUCT(V48,AC7:AC47),0),ROUND(PRODUCT(V48,AC7:AC47),1))</f>
        <v>#N/A</v>
      </c>
      <c r="W49" s="3746"/>
      <c r="X49" s="397"/>
      <c r="Y49" s="397"/>
      <c r="Z49" s="397"/>
      <c r="AA49" s="397"/>
      <c r="AB49" s="397"/>
      <c r="AC49" s="575"/>
    </row>
    <row r="50" spans="1:29" ht="15.75" thickBot="1">
      <c r="A50" s="439" t="s">
        <v>1792</v>
      </c>
      <c r="B50" s="440"/>
      <c r="C50" s="1160" t="e">
        <f>R50</f>
        <v>#N/A</v>
      </c>
      <c r="D50" s="1160"/>
      <c r="E50" s="1160"/>
      <c r="F50" s="1160"/>
      <c r="G50" s="1160"/>
      <c r="H50" s="1160"/>
      <c r="I50" s="1160"/>
      <c r="J50" s="441"/>
      <c r="K50" s="712"/>
      <c r="L50" s="2715"/>
      <c r="M50" s="2707"/>
      <c r="N50" s="2707"/>
      <c r="O50" s="2707"/>
      <c r="P50" s="3765" t="str">
        <f>A50</f>
        <v>估价对象XX用房的比较价值（楼面单价，元/平方米）</v>
      </c>
      <c r="Q50" s="3766"/>
      <c r="R50" s="3767" t="e">
        <f>IF(F1="售价",ROUND(IF(D49="简单平均",AVERAGE(R49:V49),R49*F49+T49*H49+V49*J49),0),ROUND(IF(D49="简单平均",AVERAGE(R49:V49),R49*F49+T49*H49+V49*J49),1))</f>
        <v>#N/A</v>
      </c>
      <c r="S50" s="3767"/>
      <c r="T50" s="3767"/>
      <c r="U50" s="3767"/>
      <c r="V50" s="3767"/>
      <c r="W50" s="3767"/>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1793</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1794</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1796</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1677</v>
      </c>
      <c r="B59" s="453"/>
      <c r="C59" s="1181" t="str">
        <f>YEAR(C7)&amp;"-"&amp;MONTH(C7)</f>
        <v>2023-5</v>
      </c>
      <c r="D59" s="1182">
        <f>EDATE(C59,-1)</f>
        <v>45017</v>
      </c>
      <c r="E59" s="1182">
        <f>EDATE(D59,-1)</f>
        <v>44986</v>
      </c>
      <c r="F59" s="1182">
        <f t="shared" ref="F59:O59" si="16">EDATE(E59,-1)</f>
        <v>44958</v>
      </c>
      <c r="G59" s="1182">
        <f t="shared" si="16"/>
        <v>44927</v>
      </c>
      <c r="H59" s="1182">
        <f t="shared" si="16"/>
        <v>44896</v>
      </c>
      <c r="I59" s="1182">
        <f t="shared" si="16"/>
        <v>44866</v>
      </c>
      <c r="J59" s="1182">
        <f t="shared" si="16"/>
        <v>44835</v>
      </c>
      <c r="K59" s="1182">
        <f t="shared" si="16"/>
        <v>44805</v>
      </c>
      <c r="L59" s="1182">
        <f t="shared" si="16"/>
        <v>44774</v>
      </c>
      <c r="M59" s="1182">
        <f t="shared" si="16"/>
        <v>44743</v>
      </c>
      <c r="N59" s="1182">
        <f t="shared" si="16"/>
        <v>44713</v>
      </c>
      <c r="O59" s="1182">
        <f t="shared" si="16"/>
        <v>44682</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1714</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1679</v>
      </c>
      <c r="B62" s="457"/>
      <c r="C62" s="469" t="s">
        <v>1774</v>
      </c>
      <c r="D62" s="3449" t="s">
        <v>3495</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1717</v>
      </c>
      <c r="B64" s="475" t="s">
        <v>1683</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1686</v>
      </c>
      <c r="C66" s="530" t="s">
        <v>3512</v>
      </c>
      <c r="D66" s="530" t="s">
        <v>3513</v>
      </c>
      <c r="E66" s="530" t="s">
        <v>3514</v>
      </c>
      <c r="F66" s="3450" t="s">
        <v>3516</v>
      </c>
      <c r="G66" s="530" t="s">
        <v>3515</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1688</v>
      </c>
      <c r="B77" s="475" t="s">
        <v>1819</v>
      </c>
      <c r="C77" s="520" t="s">
        <v>1719</v>
      </c>
      <c r="D77" s="520" t="s">
        <v>1720</v>
      </c>
      <c r="E77" s="520" t="s">
        <v>1721</v>
      </c>
      <c r="F77" s="520" t="s">
        <v>1722</v>
      </c>
      <c r="G77" s="520" t="s">
        <v>1723</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1724</v>
      </c>
      <c r="C79" s="525" t="s">
        <v>1719</v>
      </c>
      <c r="D79" s="525" t="s">
        <v>1720</v>
      </c>
      <c r="E79" s="525" t="s">
        <v>1721</v>
      </c>
      <c r="F79" s="525" t="s">
        <v>1722</v>
      </c>
      <c r="G79" s="525" t="s">
        <v>1723</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1725</v>
      </c>
      <c r="C81" s="525" t="s">
        <v>1719</v>
      </c>
      <c r="D81" s="525" t="s">
        <v>1720</v>
      </c>
      <c r="E81" s="525" t="s">
        <v>1721</v>
      </c>
      <c r="F81" s="525" t="s">
        <v>1722</v>
      </c>
      <c r="G81" s="525" t="s">
        <v>1723</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1811</v>
      </c>
      <c r="C83" s="605" t="s">
        <v>1797</v>
      </c>
      <c r="D83" s="605" t="s">
        <v>1798</v>
      </c>
      <c r="E83" s="605" t="s">
        <v>1799</v>
      </c>
      <c r="F83" s="605" t="s">
        <v>1800</v>
      </c>
      <c r="G83" s="605" t="s">
        <v>1801</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1820</v>
      </c>
      <c r="C85" s="525" t="s">
        <v>1719</v>
      </c>
      <c r="D85" s="525" t="s">
        <v>1720</v>
      </c>
      <c r="E85" s="525" t="s">
        <v>1721</v>
      </c>
      <c r="F85" s="525" t="s">
        <v>1722</v>
      </c>
      <c r="G85" s="525" t="s">
        <v>1723</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1821</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3496</v>
      </c>
      <c r="D89" s="3451" t="s">
        <v>3497</v>
      </c>
      <c r="E89" s="3451" t="s">
        <v>3498</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1692</v>
      </c>
      <c r="B101" s="475" t="s">
        <v>1734</v>
      </c>
      <c r="C101" s="3453" t="s">
        <v>3499</v>
      </c>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1735</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1736</v>
      </c>
      <c r="C106" s="3451" t="s">
        <v>3500</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1738</v>
      </c>
      <c r="C108" s="3451" t="s">
        <v>3443</v>
      </c>
      <c r="D108" s="3451" t="s">
        <v>3445</v>
      </c>
      <c r="E108" s="3451" t="s">
        <v>3446</v>
      </c>
      <c r="F108" s="3454" t="s">
        <v>3447</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1822</v>
      </c>
      <c r="C113" s="3451" t="s">
        <v>3501</v>
      </c>
      <c r="D113" s="3451" t="s">
        <v>3502</v>
      </c>
      <c r="E113" s="3451" t="s">
        <v>3503</v>
      </c>
      <c r="F113" s="3451" t="s">
        <v>3504</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1739</v>
      </c>
      <c r="C115" s="3451" t="s">
        <v>3505</v>
      </c>
      <c r="D115" s="3451" t="s">
        <v>3506</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1740</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1823</v>
      </c>
      <c r="C119" s="530"/>
      <c r="D119" s="530"/>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1806</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1742</v>
      </c>
      <c r="C123" s="3451" t="s">
        <v>3443</v>
      </c>
      <c r="D123" s="3451" t="s">
        <v>3445</v>
      </c>
      <c r="E123" s="3451" t="s">
        <v>3446</v>
      </c>
      <c r="F123" s="3454" t="s">
        <v>3447</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54" sqref="G5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3" t="s">
        <v>1824</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1462</v>
      </c>
      <c r="B3" s="556">
        <f>IF(C2="——",C43,ROUND(B2*10000/D3,0))</f>
        <v>0</v>
      </c>
      <c r="C3" s="354" t="s">
        <v>1766</v>
      </c>
      <c r="D3" s="353">
        <f>IF(D1="",'数据-汇总表'!E3,SUMIF('数据-汇总表'!$C19:$C33,D1,'数据-汇总表'!$E19:$E33))</f>
        <v>27041.94</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1767</v>
      </c>
      <c r="B4" s="356"/>
      <c r="C4" s="3669" t="s">
        <v>1768</v>
      </c>
      <c r="D4" s="3670"/>
      <c r="E4" s="3671" t="s">
        <v>1769</v>
      </c>
      <c r="F4" s="3672"/>
      <c r="G4" s="3669" t="s">
        <v>1770</v>
      </c>
      <c r="H4" s="3670"/>
      <c r="I4" s="3669" t="s">
        <v>1771</v>
      </c>
      <c r="J4" s="3670"/>
      <c r="K4" s="557" t="s">
        <v>1772</v>
      </c>
      <c r="L4" s="910"/>
      <c r="M4" s="911"/>
      <c r="N4" s="911"/>
      <c r="O4" s="911"/>
      <c r="P4" s="3673" t="s">
        <v>1773</v>
      </c>
      <c r="Q4" s="3674"/>
      <c r="R4" s="3683" t="s">
        <v>1769</v>
      </c>
      <c r="S4" s="3684"/>
      <c r="T4" s="3683" t="s">
        <v>1770</v>
      </c>
      <c r="U4" s="3684"/>
      <c r="V4" s="3661" t="s">
        <v>1771</v>
      </c>
      <c r="W4" s="3661"/>
      <c r="X4" s="1352"/>
      <c r="Y4" s="3683" t="s">
        <v>1773</v>
      </c>
      <c r="Z4" s="3684"/>
      <c r="AA4" s="3666" t="s">
        <v>1769</v>
      </c>
      <c r="AB4" s="3667" t="s">
        <v>1770</v>
      </c>
      <c r="AC4" s="3666" t="s">
        <v>1771</v>
      </c>
    </row>
    <row r="5" spans="1:29" ht="15">
      <c r="A5" s="358"/>
      <c r="B5" s="359"/>
      <c r="C5" s="3687" t="s">
        <v>1671</v>
      </c>
      <c r="D5" s="3688"/>
      <c r="E5" s="3679" t="s">
        <v>1672</v>
      </c>
      <c r="F5" s="3680"/>
      <c r="G5" s="3687" t="s">
        <v>1673</v>
      </c>
      <c r="H5" s="3688"/>
      <c r="I5" s="3687" t="s">
        <v>1674</v>
      </c>
      <c r="J5" s="3688"/>
      <c r="K5" s="557"/>
      <c r="L5" s="910"/>
      <c r="M5" s="911"/>
      <c r="N5" s="911"/>
      <c r="O5" s="911"/>
      <c r="P5" s="3675"/>
      <c r="Q5" s="3676"/>
      <c r="R5" s="3685"/>
      <c r="S5" s="3686"/>
      <c r="T5" s="3685"/>
      <c r="U5" s="3686"/>
      <c r="V5" s="3661"/>
      <c r="W5" s="3661"/>
      <c r="X5" s="1352"/>
      <c r="Y5" s="3685"/>
      <c r="Z5" s="3686"/>
      <c r="AA5" s="3667"/>
      <c r="AB5" s="3667"/>
      <c r="AC5" s="3667"/>
    </row>
    <row r="6" spans="1:29" ht="15.75" thickBot="1">
      <c r="A6" s="360"/>
      <c r="B6" s="361"/>
      <c r="C6" s="3741" t="s">
        <v>1675</v>
      </c>
      <c r="D6" s="3742"/>
      <c r="E6" s="3743" t="s">
        <v>1675</v>
      </c>
      <c r="F6" s="3744"/>
      <c r="G6" s="3741" t="s">
        <v>1675</v>
      </c>
      <c r="H6" s="3742"/>
      <c r="I6" s="3741" t="s">
        <v>1675</v>
      </c>
      <c r="J6" s="3742"/>
      <c r="K6" s="557" t="s">
        <v>1676</v>
      </c>
      <c r="L6" s="910"/>
      <c r="M6" s="911"/>
      <c r="N6" s="911"/>
      <c r="O6" s="911"/>
      <c r="P6" s="3677"/>
      <c r="Q6" s="3678"/>
      <c r="R6" s="3685"/>
      <c r="S6" s="3686"/>
      <c r="T6" s="3694"/>
      <c r="U6" s="3695"/>
      <c r="V6" s="3661"/>
      <c r="W6" s="3661"/>
      <c r="X6" s="1352"/>
      <c r="Y6" s="3694"/>
      <c r="Z6" s="3695"/>
      <c r="AA6" s="3668"/>
      <c r="AB6" s="3668"/>
      <c r="AC6" s="3668"/>
    </row>
    <row r="7" spans="1:29" s="108" customFormat="1" ht="15.75" thickBot="1">
      <c r="A7" s="362" t="s">
        <v>1677</v>
      </c>
      <c r="B7" s="363"/>
      <c r="C7" s="364">
        <f>'数据-取费表'!B2</f>
        <v>45072</v>
      </c>
      <c r="D7" s="365">
        <v>100</v>
      </c>
      <c r="E7" s="366">
        <f>C7</f>
        <v>45072</v>
      </c>
      <c r="F7" s="367">
        <f>SUMIF(52:52,YEAR(E7)&amp;"-"&amp;MONTH(E7),53:53)</f>
        <v>100</v>
      </c>
      <c r="G7" s="366">
        <f>C7</f>
        <v>45072</v>
      </c>
      <c r="H7" s="365">
        <f>SUMIF(52:52,YEAR(G7)&amp;"-"&amp;MONTH(G7),53:53)</f>
        <v>100</v>
      </c>
      <c r="I7" s="366">
        <f>C7</f>
        <v>45072</v>
      </c>
      <c r="J7" s="365">
        <f>SUMIF(52:52,YEAR(I7)&amp;"-"&amp;MONTH(I7),53:53)</f>
        <v>100</v>
      </c>
      <c r="K7" s="558"/>
      <c r="L7" s="912"/>
      <c r="M7" s="913"/>
      <c r="N7" s="913"/>
      <c r="O7" s="913"/>
      <c r="P7" s="3659" t="s">
        <v>1678</v>
      </c>
      <c r="Q7" s="3691"/>
      <c r="R7" s="698" t="s">
        <v>14</v>
      </c>
      <c r="S7" s="699">
        <f t="shared" ref="S7:S15" si="0">F7</f>
        <v>100</v>
      </c>
      <c r="T7" s="698" t="s">
        <v>14</v>
      </c>
      <c r="U7" s="699">
        <f t="shared" ref="U7:U15" si="1">H7</f>
        <v>100</v>
      </c>
      <c r="V7" s="698" t="s">
        <v>14</v>
      </c>
      <c r="W7" s="699">
        <f t="shared" ref="W7:W15" si="2">J7</f>
        <v>100</v>
      </c>
      <c r="X7" s="700"/>
      <c r="Y7" s="3659" t="s">
        <v>1678</v>
      </c>
      <c r="Z7" s="3660"/>
      <c r="AA7" s="701">
        <f>D7/F7</f>
        <v>1</v>
      </c>
      <c r="AB7" s="701">
        <f>D7/H7</f>
        <v>1</v>
      </c>
      <c r="AC7" s="701">
        <f>D7/J7</f>
        <v>1</v>
      </c>
    </row>
    <row r="8" spans="1:29" s="108" customFormat="1" ht="15.75" thickBot="1">
      <c r="A8" s="362" t="s">
        <v>1679</v>
      </c>
      <c r="B8" s="363"/>
      <c r="C8" s="368" t="s">
        <v>3396</v>
      </c>
      <c r="D8" s="365">
        <v>100</v>
      </c>
      <c r="E8" s="368" t="s">
        <v>3408</v>
      </c>
      <c r="F8" s="367">
        <f>SUMIF(55:55,E8,56:56)-SUMIF(55:55,C8,56:56)+100</f>
        <v>102</v>
      </c>
      <c r="G8" s="368" t="s">
        <v>3408</v>
      </c>
      <c r="H8" s="365">
        <f>SUMIF(55:55,G8,56:56)-SUMIF(55:55,C8,56:56)+100</f>
        <v>102</v>
      </c>
      <c r="I8" s="368" t="s">
        <v>3408</v>
      </c>
      <c r="J8" s="365">
        <f>SUMIF(55:55,I8,56:56)-SUMIF(55:55,C8,56:56)+100</f>
        <v>102</v>
      </c>
      <c r="K8" s="558"/>
      <c r="L8" s="912"/>
      <c r="M8" s="913"/>
      <c r="N8" s="913"/>
      <c r="O8" s="913"/>
      <c r="P8" s="3659" t="s">
        <v>1681</v>
      </c>
      <c r="Q8" s="3660"/>
      <c r="R8" s="698" t="s">
        <v>14</v>
      </c>
      <c r="S8" s="699">
        <f t="shared" si="0"/>
        <v>102</v>
      </c>
      <c r="T8" s="698" t="s">
        <v>14</v>
      </c>
      <c r="U8" s="699">
        <f t="shared" si="1"/>
        <v>102</v>
      </c>
      <c r="V8" s="698" t="s">
        <v>14</v>
      </c>
      <c r="W8" s="699">
        <f t="shared" si="2"/>
        <v>102</v>
      </c>
      <c r="X8" s="700"/>
      <c r="Y8" s="3659" t="s">
        <v>1681</v>
      </c>
      <c r="Z8" s="3660"/>
      <c r="AA8" s="701">
        <f t="shared" ref="AA8:AA40" si="3">D8/F8</f>
        <v>0.98039215686274506</v>
      </c>
      <c r="AB8" s="701">
        <f t="shared" ref="AB8:AB40" si="4">D8/H8</f>
        <v>0.98039215686274506</v>
      </c>
      <c r="AC8" s="701">
        <f t="shared" ref="AC8:AC40" si="5">D8/J8</f>
        <v>0.98039215686274506</v>
      </c>
    </row>
    <row r="9" spans="1:29" s="108" customFormat="1">
      <c r="A9" s="369" t="s">
        <v>1682</v>
      </c>
      <c r="B9" s="63" t="s">
        <v>1683</v>
      </c>
      <c r="C9" s="3456" t="s">
        <v>3526</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7" t="s">
        <v>1684</v>
      </c>
      <c r="Q9" s="1340" t="str">
        <f t="shared" ref="Q9:Q15" si="6">B9</f>
        <v>用途</v>
      </c>
      <c r="R9" s="698" t="s">
        <v>14</v>
      </c>
      <c r="S9" s="699">
        <f t="shared" si="0"/>
        <v>100</v>
      </c>
      <c r="T9" s="698" t="s">
        <v>14</v>
      </c>
      <c r="U9" s="699">
        <f t="shared" si="1"/>
        <v>100</v>
      </c>
      <c r="V9" s="698" t="s">
        <v>14</v>
      </c>
      <c r="W9" s="699">
        <f t="shared" si="2"/>
        <v>100</v>
      </c>
      <c r="X9" s="700"/>
      <c r="Y9" s="3627" t="s">
        <v>1685</v>
      </c>
      <c r="Z9" s="52" t="str">
        <f t="shared" ref="Z9:Z15" si="7">Q9</f>
        <v>用途</v>
      </c>
      <c r="AA9" s="701">
        <f t="shared" si="3"/>
        <v>1</v>
      </c>
      <c r="AB9" s="701">
        <f t="shared" si="4"/>
        <v>1</v>
      </c>
      <c r="AC9" s="701">
        <f t="shared" si="5"/>
        <v>1</v>
      </c>
    </row>
    <row r="10" spans="1:29" s="378" customFormat="1" ht="27">
      <c r="A10" s="374"/>
      <c r="B10" s="375" t="s">
        <v>1686</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657"/>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7"/>
      <c r="Q11" s="1340" t="str">
        <f t="shared" si="6"/>
        <v>容积率</v>
      </c>
      <c r="R11" s="698" t="s">
        <v>14</v>
      </c>
      <c r="S11" s="699">
        <f t="shared" si="0"/>
        <v>100</v>
      </c>
      <c r="T11" s="698" t="s">
        <v>14</v>
      </c>
      <c r="U11" s="699">
        <f t="shared" si="1"/>
        <v>100</v>
      </c>
      <c r="V11" s="698" t="s">
        <v>14</v>
      </c>
      <c r="W11" s="699">
        <f t="shared" si="2"/>
        <v>100</v>
      </c>
      <c r="X11" s="700"/>
      <c r="Y11" s="3627"/>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57"/>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57"/>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57"/>
      <c r="Q14" s="1340">
        <f t="shared" si="6"/>
        <v>111</v>
      </c>
      <c r="R14" s="698" t="s">
        <v>14</v>
      </c>
      <c r="S14" s="699">
        <f t="shared" si="0"/>
        <v>100</v>
      </c>
      <c r="T14" s="698" t="s">
        <v>14</v>
      </c>
      <c r="U14" s="699">
        <f t="shared" si="1"/>
        <v>100</v>
      </c>
      <c r="V14" s="698" t="s">
        <v>14</v>
      </c>
      <c r="W14" s="699">
        <f t="shared" si="2"/>
        <v>100</v>
      </c>
      <c r="X14" s="700"/>
      <c r="Y14" s="3627"/>
      <c r="Z14" s="52">
        <f t="shared" si="7"/>
        <v>111</v>
      </c>
      <c r="AA14" s="701">
        <f t="shared" si="3"/>
        <v>1</v>
      </c>
      <c r="AB14" s="701">
        <f t="shared" si="4"/>
        <v>1</v>
      </c>
      <c r="AC14" s="701">
        <f t="shared" si="5"/>
        <v>1</v>
      </c>
    </row>
    <row r="15" spans="1:29" ht="15">
      <c r="A15" s="391" t="s">
        <v>1688</v>
      </c>
      <c r="B15" s="61" t="s">
        <v>1825</v>
      </c>
      <c r="C15" s="1967" t="str">
        <f>估价对象房地状况!G3</f>
        <v>较好</v>
      </c>
      <c r="D15" s="392">
        <v>100</v>
      </c>
      <c r="E15" s="393" t="s">
        <v>3383</v>
      </c>
      <c r="F15" s="394">
        <f>SUMIF(70:70,E16,71:71)-SUMIF(70:70,C16,71:71)+100</f>
        <v>100</v>
      </c>
      <c r="G15" s="393" t="s">
        <v>3383</v>
      </c>
      <c r="H15" s="392">
        <f>SUMIF(70:70,G16,71:71)-SUMIF(70:70,C16,71:71)+100</f>
        <v>100</v>
      </c>
      <c r="I15" s="393" t="s">
        <v>3383</v>
      </c>
      <c r="J15" s="392">
        <f>SUMIF(70:70,I16,71:71)-SUMIF(70:70,C16,71:71)+100</f>
        <v>100</v>
      </c>
      <c r="K15" s="561">
        <v>2</v>
      </c>
      <c r="L15" s="920"/>
      <c r="M15" s="911"/>
      <c r="N15" s="911"/>
      <c r="O15" s="919"/>
      <c r="P15" s="3662" t="s">
        <v>1689</v>
      </c>
      <c r="Q15" s="1349" t="str">
        <f t="shared" si="6"/>
        <v>产业集聚程度</v>
      </c>
      <c r="R15" s="702" t="s">
        <v>14</v>
      </c>
      <c r="S15" s="703">
        <f t="shared" si="0"/>
        <v>100</v>
      </c>
      <c r="T15" s="702" t="s">
        <v>14</v>
      </c>
      <c r="U15" s="703">
        <f t="shared" si="1"/>
        <v>100</v>
      </c>
      <c r="V15" s="702" t="s">
        <v>14</v>
      </c>
      <c r="W15" s="703">
        <f t="shared" si="2"/>
        <v>100</v>
      </c>
      <c r="X15" s="1352"/>
      <c r="Y15" s="3662" t="s">
        <v>1689</v>
      </c>
      <c r="Z15" s="1353" t="str">
        <f t="shared" si="7"/>
        <v>产业集聚程度</v>
      </c>
      <c r="AA15" s="1350">
        <f t="shared" si="3"/>
        <v>1</v>
      </c>
      <c r="AB15" s="1350">
        <f t="shared" si="4"/>
        <v>1</v>
      </c>
      <c r="AC15" s="1350">
        <f t="shared" si="5"/>
        <v>1</v>
      </c>
    </row>
    <row r="16" spans="1:29" ht="15">
      <c r="A16" s="379"/>
      <c r="B16" s="397"/>
      <c r="C16" s="398" t="s">
        <v>3383</v>
      </c>
      <c r="D16" s="399"/>
      <c r="E16" s="398" t="s">
        <v>3383</v>
      </c>
      <c r="F16" s="400"/>
      <c r="G16" s="398" t="s">
        <v>3383</v>
      </c>
      <c r="H16" s="401"/>
      <c r="I16" s="398" t="s">
        <v>3383</v>
      </c>
      <c r="J16" s="399"/>
      <c r="K16" s="562"/>
      <c r="L16" s="920"/>
      <c r="M16" s="911"/>
      <c r="N16" s="911"/>
      <c r="O16" s="919"/>
      <c r="P16" s="3663"/>
      <c r="Q16" s="1349"/>
      <c r="R16" s="702"/>
      <c r="S16" s="703"/>
      <c r="T16" s="702"/>
      <c r="U16" s="703"/>
      <c r="V16" s="702"/>
      <c r="W16" s="703"/>
      <c r="X16" s="1352"/>
      <c r="Y16" s="3663"/>
      <c r="Z16" s="1353"/>
      <c r="AA16" s="1350">
        <v>1</v>
      </c>
      <c r="AB16" s="1350">
        <v>1</v>
      </c>
      <c r="AC16" s="1350">
        <v>1</v>
      </c>
    </row>
    <row r="17" spans="1:29" ht="15">
      <c r="A17" s="379"/>
      <c r="B17" s="402" t="s">
        <v>1257</v>
      </c>
      <c r="C17" s="1897" t="str">
        <f>估价对象房地状况!G4</f>
        <v>较好</v>
      </c>
      <c r="D17" s="401">
        <v>100</v>
      </c>
      <c r="E17" s="403" t="s">
        <v>3383</v>
      </c>
      <c r="F17" s="404">
        <f>SUMIF(72:72,E18,73:73)-SUMIF(72:72,C18,73:73)+100</f>
        <v>100</v>
      </c>
      <c r="G17" s="403" t="s">
        <v>3383</v>
      </c>
      <c r="H17" s="406">
        <f>SUMIF(72:72,G18,73:73)-SUMIF(72:72,C18,73:73)+100</f>
        <v>100</v>
      </c>
      <c r="I17" s="403" t="s">
        <v>3383</v>
      </c>
      <c r="J17" s="406">
        <f>SUMIF(72:72,I18,73:73)-SUMIF(72:72,C18,73:73)+100</f>
        <v>100</v>
      </c>
      <c r="K17" s="561">
        <v>2</v>
      </c>
      <c r="L17" s="920"/>
      <c r="M17" s="911"/>
      <c r="N17" s="911"/>
      <c r="O17" s="919"/>
      <c r="P17" s="3663"/>
      <c r="Q17" s="1349" t="str">
        <f>B17</f>
        <v>交通便捷度</v>
      </c>
      <c r="R17" s="702" t="s">
        <v>14</v>
      </c>
      <c r="S17" s="703">
        <f>F17</f>
        <v>100</v>
      </c>
      <c r="T17" s="702" t="s">
        <v>14</v>
      </c>
      <c r="U17" s="703">
        <f>H17</f>
        <v>100</v>
      </c>
      <c r="V17" s="702" t="s">
        <v>14</v>
      </c>
      <c r="W17" s="703">
        <f>J17</f>
        <v>100</v>
      </c>
      <c r="X17" s="1352"/>
      <c r="Y17" s="3663"/>
      <c r="Z17" s="1353" t="str">
        <f>Q17</f>
        <v>交通便捷度</v>
      </c>
      <c r="AA17" s="1350">
        <f t="shared" si="3"/>
        <v>1</v>
      </c>
      <c r="AB17" s="1350">
        <f t="shared" si="4"/>
        <v>1</v>
      </c>
      <c r="AC17" s="1350">
        <f t="shared" si="5"/>
        <v>1</v>
      </c>
    </row>
    <row r="18" spans="1:29" ht="15">
      <c r="A18" s="379"/>
      <c r="B18" s="407"/>
      <c r="C18" s="1898" t="s">
        <v>3383</v>
      </c>
      <c r="D18" s="401"/>
      <c r="E18" s="1900" t="s">
        <v>3383</v>
      </c>
      <c r="F18" s="404"/>
      <c r="G18" s="1900" t="s">
        <v>3383</v>
      </c>
      <c r="H18" s="399"/>
      <c r="I18" s="1900" t="s">
        <v>3383</v>
      </c>
      <c r="J18" s="399"/>
      <c r="K18" s="562"/>
      <c r="L18" s="920"/>
      <c r="M18" s="911"/>
      <c r="N18" s="911"/>
      <c r="O18" s="919"/>
      <c r="P18" s="3663"/>
      <c r="Q18" s="1349"/>
      <c r="R18" s="702"/>
      <c r="S18" s="703"/>
      <c r="T18" s="702"/>
      <c r="U18" s="703"/>
      <c r="V18" s="702"/>
      <c r="W18" s="703"/>
      <c r="X18" s="1352"/>
      <c r="Y18" s="3663"/>
      <c r="Z18" s="1353"/>
      <c r="AA18" s="1350">
        <v>1</v>
      </c>
      <c r="AB18" s="1350">
        <v>1</v>
      </c>
      <c r="AC18" s="1350">
        <v>1</v>
      </c>
    </row>
    <row r="19" spans="1:29" ht="15">
      <c r="A19" s="379"/>
      <c r="B19" s="402" t="s">
        <v>1810</v>
      </c>
      <c r="C19" s="1897" t="str">
        <f>估价对象房地状况!G5</f>
        <v>一般</v>
      </c>
      <c r="D19" s="406">
        <v>100</v>
      </c>
      <c r="E19" s="408" t="s">
        <v>3383</v>
      </c>
      <c r="F19" s="409">
        <f>SUMIF(74:74,E20,75:75)-SUMIF(74:74,C20,75:75)+100</f>
        <v>100</v>
      </c>
      <c r="G19" s="408" t="s">
        <v>3383</v>
      </c>
      <c r="H19" s="401">
        <f>SUMIF(74:74,G20,75:75)-SUMIF(74:74,C20,75:75)+100</f>
        <v>100</v>
      </c>
      <c r="I19" s="408" t="s">
        <v>3383</v>
      </c>
      <c r="J19" s="401">
        <f>SUMIF(74:74,I20,75:75)-SUMIF(74:74,C20,75:75)+100</f>
        <v>100</v>
      </c>
      <c r="K19" s="561">
        <v>2</v>
      </c>
      <c r="L19" s="920"/>
      <c r="M19" s="911"/>
      <c r="N19" s="911"/>
      <c r="O19" s="919"/>
      <c r="P19" s="3663"/>
      <c r="Q19" s="1349" t="str">
        <f>B19</f>
        <v>公共配套设施</v>
      </c>
      <c r="R19" s="702" t="s">
        <v>14</v>
      </c>
      <c r="S19" s="703">
        <f>F19</f>
        <v>100</v>
      </c>
      <c r="T19" s="702" t="s">
        <v>14</v>
      </c>
      <c r="U19" s="703">
        <f>H19</f>
        <v>100</v>
      </c>
      <c r="V19" s="702" t="s">
        <v>14</v>
      </c>
      <c r="W19" s="703">
        <f>J19</f>
        <v>100</v>
      </c>
      <c r="X19" s="1352"/>
      <c r="Y19" s="3663"/>
      <c r="Z19" s="1353" t="str">
        <f>Q19</f>
        <v>公共配套设施</v>
      </c>
      <c r="AA19" s="1350">
        <f t="shared" si="3"/>
        <v>1</v>
      </c>
      <c r="AB19" s="1350">
        <f t="shared" si="4"/>
        <v>1</v>
      </c>
      <c r="AC19" s="1350">
        <f t="shared" si="5"/>
        <v>1</v>
      </c>
    </row>
    <row r="20" spans="1:29" ht="15">
      <c r="A20" s="379"/>
      <c r="B20" s="407"/>
      <c r="C20" s="398" t="s">
        <v>3383</v>
      </c>
      <c r="D20" s="399"/>
      <c r="E20" s="1895" t="s">
        <v>3383</v>
      </c>
      <c r="F20" s="400"/>
      <c r="G20" s="1895" t="s">
        <v>3383</v>
      </c>
      <c r="H20" s="399"/>
      <c r="I20" s="1895" t="s">
        <v>3383</v>
      </c>
      <c r="J20" s="399"/>
      <c r="K20" s="562"/>
      <c r="L20" s="920"/>
      <c r="M20" s="911"/>
      <c r="N20" s="911"/>
      <c r="O20" s="919"/>
      <c r="P20" s="3663"/>
      <c r="Q20" s="1349"/>
      <c r="R20" s="702"/>
      <c r="S20" s="703"/>
      <c r="T20" s="702"/>
      <c r="U20" s="703"/>
      <c r="V20" s="702"/>
      <c r="W20" s="703"/>
      <c r="X20" s="1352"/>
      <c r="Y20" s="3663"/>
      <c r="Z20" s="1353"/>
      <c r="AA20" s="1350">
        <v>1</v>
      </c>
      <c r="AB20" s="1350">
        <v>1</v>
      </c>
      <c r="AC20" s="1350">
        <v>1</v>
      </c>
    </row>
    <row r="21" spans="1:29" ht="15">
      <c r="A21" s="379"/>
      <c r="B21" s="1128" t="s">
        <v>1811</v>
      </c>
      <c r="C21" s="1897" t="str">
        <f>估价对象房地状况!G6</f>
        <v>七通</v>
      </c>
      <c r="D21" s="401">
        <v>100</v>
      </c>
      <c r="E21" s="408" t="s">
        <v>3387</v>
      </c>
      <c r="F21" s="409">
        <f>SUMIF(76:76,E22,77:77)-SUMIF(76:76,C22,77:77)+100</f>
        <v>100</v>
      </c>
      <c r="G21" s="408" t="s">
        <v>3387</v>
      </c>
      <c r="H21" s="401">
        <f>SUMIF(76:76,G22,77:77)-SUMIF(76:76,C22,77:77)+100</f>
        <v>100</v>
      </c>
      <c r="I21" s="408" t="s">
        <v>3387</v>
      </c>
      <c r="J21" s="401">
        <f>SUMIF(76:76,I22,77:77)-SUMIF(76:76,C22,77:77)+100</f>
        <v>100</v>
      </c>
      <c r="K21" s="561">
        <v>1</v>
      </c>
      <c r="L21" s="920"/>
      <c r="M21" s="911"/>
      <c r="N21" s="911"/>
      <c r="O21" s="919"/>
      <c r="P21" s="3663"/>
      <c r="Q21" s="1349" t="str">
        <f>B21</f>
        <v>基础设施水平</v>
      </c>
      <c r="R21" s="702" t="s">
        <v>14</v>
      </c>
      <c r="S21" s="703">
        <f>F21</f>
        <v>100</v>
      </c>
      <c r="T21" s="702" t="s">
        <v>14</v>
      </c>
      <c r="U21" s="703">
        <f>H21</f>
        <v>100</v>
      </c>
      <c r="V21" s="702" t="s">
        <v>14</v>
      </c>
      <c r="W21" s="703">
        <f>J21</f>
        <v>100</v>
      </c>
      <c r="X21" s="1352"/>
      <c r="Y21" s="3663"/>
      <c r="Z21" s="1353" t="str">
        <f>Q21</f>
        <v>基础设施水平</v>
      </c>
      <c r="AA21" s="1350">
        <f t="shared" ref="AA21" si="8">D21/F21</f>
        <v>1</v>
      </c>
      <c r="AB21" s="1350">
        <f t="shared" ref="AB21" si="9">D21/H21</f>
        <v>1</v>
      </c>
      <c r="AC21" s="1350">
        <f t="shared" ref="AC21" si="10">D21/J21</f>
        <v>1</v>
      </c>
    </row>
    <row r="22" spans="1:29" ht="15">
      <c r="A22" s="379"/>
      <c r="B22" s="1128"/>
      <c r="C22" s="1898" t="s">
        <v>3387</v>
      </c>
      <c r="D22" s="399"/>
      <c r="E22" s="398" t="s">
        <v>3387</v>
      </c>
      <c r="F22" s="400"/>
      <c r="G22" s="398" t="s">
        <v>3387</v>
      </c>
      <c r="H22" s="399"/>
      <c r="I22" s="398" t="s">
        <v>3387</v>
      </c>
      <c r="J22" s="399"/>
      <c r="K22" s="1127"/>
      <c r="L22" s="920"/>
      <c r="M22" s="911"/>
      <c r="N22" s="911"/>
      <c r="O22" s="919"/>
      <c r="P22" s="3663"/>
      <c r="Q22" s="1349"/>
      <c r="R22" s="702"/>
      <c r="S22" s="703"/>
      <c r="T22" s="702"/>
      <c r="U22" s="703"/>
      <c r="V22" s="702"/>
      <c r="W22" s="703"/>
      <c r="X22" s="1352"/>
      <c r="Y22" s="3663"/>
      <c r="Z22" s="1353"/>
      <c r="AA22" s="1350">
        <v>1</v>
      </c>
      <c r="AB22" s="1350">
        <v>1</v>
      </c>
      <c r="AC22" s="1350">
        <v>1</v>
      </c>
    </row>
    <row r="23" spans="1:29" ht="15">
      <c r="A23" s="379"/>
      <c r="B23" s="402" t="s">
        <v>1812</v>
      </c>
      <c r="C23" s="1897" t="str">
        <f>估价对象房地状况!G7</f>
        <v>较好</v>
      </c>
      <c r="D23" s="401">
        <v>100</v>
      </c>
      <c r="E23" s="403" t="s">
        <v>3383</v>
      </c>
      <c r="F23" s="404">
        <f>SUMIF(78:78,E24,79:79)-SUMIF(78:78,C24,79:79)+100</f>
        <v>100</v>
      </c>
      <c r="G23" s="403" t="s">
        <v>3383</v>
      </c>
      <c r="H23" s="401">
        <f>SUMIF(78:78,G24,79:79)-SUMIF(78:78,C24,79:79)+100</f>
        <v>100</v>
      </c>
      <c r="I23" s="403" t="s">
        <v>3383</v>
      </c>
      <c r="J23" s="401">
        <f>SUMIF(78:78,I24,79:79)-SUMIF(78:78,C24,79:79)+100</f>
        <v>100</v>
      </c>
      <c r="K23" s="561">
        <v>2</v>
      </c>
      <c r="L23" s="920"/>
      <c r="M23" s="911"/>
      <c r="N23" s="911"/>
      <c r="O23" s="919"/>
      <c r="P23" s="3663"/>
      <c r="Q23" s="1349" t="str">
        <f>B23</f>
        <v>环境质量</v>
      </c>
      <c r="R23" s="702" t="s">
        <v>14</v>
      </c>
      <c r="S23" s="703">
        <f>F23</f>
        <v>100</v>
      </c>
      <c r="T23" s="702" t="s">
        <v>14</v>
      </c>
      <c r="U23" s="703">
        <f>H23</f>
        <v>100</v>
      </c>
      <c r="V23" s="702" t="s">
        <v>14</v>
      </c>
      <c r="W23" s="703">
        <f>J23</f>
        <v>100</v>
      </c>
      <c r="X23" s="1352"/>
      <c r="Y23" s="3663"/>
      <c r="Z23" s="1353" t="str">
        <f>Q23</f>
        <v>环境质量</v>
      </c>
      <c r="AA23" s="1350">
        <f t="shared" si="3"/>
        <v>1</v>
      </c>
      <c r="AB23" s="1350">
        <f t="shared" si="4"/>
        <v>1</v>
      </c>
      <c r="AC23" s="1350">
        <f t="shared" si="5"/>
        <v>1</v>
      </c>
    </row>
    <row r="24" spans="1:29" ht="15.75" thickBot="1">
      <c r="A24" s="379"/>
      <c r="B24" s="1128"/>
      <c r="C24" s="398" t="s">
        <v>3383</v>
      </c>
      <c r="D24" s="399"/>
      <c r="E24" s="1895" t="s">
        <v>3383</v>
      </c>
      <c r="F24" s="400"/>
      <c r="G24" s="1895" t="s">
        <v>3383</v>
      </c>
      <c r="H24" s="399"/>
      <c r="I24" s="1895" t="s">
        <v>3383</v>
      </c>
      <c r="J24" s="399"/>
      <c r="K24" s="562"/>
      <c r="L24" s="920"/>
      <c r="M24" s="911"/>
      <c r="N24" s="911"/>
      <c r="O24" s="919"/>
      <c r="P24" s="3663"/>
      <c r="Q24" s="1349"/>
      <c r="R24" s="702"/>
      <c r="S24" s="703"/>
      <c r="T24" s="702"/>
      <c r="U24" s="703"/>
      <c r="V24" s="702"/>
      <c r="W24" s="703"/>
      <c r="X24" s="1352"/>
      <c r="Y24" s="3663"/>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63"/>
      <c r="Q25" s="1349">
        <f>B25</f>
        <v>111</v>
      </c>
      <c r="R25" s="702" t="s">
        <v>14</v>
      </c>
      <c r="S25" s="703">
        <f>F25</f>
        <v>100</v>
      </c>
      <c r="T25" s="702" t="s">
        <v>14</v>
      </c>
      <c r="U25" s="703">
        <f>H25</f>
        <v>100</v>
      </c>
      <c r="V25" s="702" t="s">
        <v>14</v>
      </c>
      <c r="W25" s="703">
        <f>J25</f>
        <v>100</v>
      </c>
      <c r="X25" s="1352"/>
      <c r="Y25" s="3663"/>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63"/>
      <c r="Q26" s="1349">
        <f t="shared" ref="Q26:Q40" si="11">B26</f>
        <v>111</v>
      </c>
      <c r="R26" s="702" t="s">
        <v>14</v>
      </c>
      <c r="S26" s="703">
        <f>F26</f>
        <v>100</v>
      </c>
      <c r="T26" s="702" t="s">
        <v>14</v>
      </c>
      <c r="U26" s="703">
        <f>H26</f>
        <v>100</v>
      </c>
      <c r="V26" s="702" t="s">
        <v>14</v>
      </c>
      <c r="W26" s="703">
        <f>J26</f>
        <v>100</v>
      </c>
      <c r="X26" s="1352"/>
      <c r="Y26" s="3663"/>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63"/>
      <c r="Q27" s="1340">
        <f t="shared" si="11"/>
        <v>111</v>
      </c>
      <c r="R27" s="698" t="s">
        <v>14</v>
      </c>
      <c r="S27" s="699">
        <f>F27</f>
        <v>100</v>
      </c>
      <c r="T27" s="698" t="s">
        <v>14</v>
      </c>
      <c r="U27" s="699">
        <f>H27</f>
        <v>100</v>
      </c>
      <c r="V27" s="698" t="s">
        <v>14</v>
      </c>
      <c r="W27" s="699">
        <f>J27</f>
        <v>100</v>
      </c>
      <c r="X27" s="700"/>
      <c r="Y27" s="3663"/>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63"/>
      <c r="Q28" s="1349">
        <f t="shared" si="11"/>
        <v>111</v>
      </c>
      <c r="R28" s="702" t="s">
        <v>14</v>
      </c>
      <c r="S28" s="703">
        <f t="shared" ref="S28:S40" si="12">F28</f>
        <v>100</v>
      </c>
      <c r="T28" s="702" t="s">
        <v>14</v>
      </c>
      <c r="U28" s="703">
        <f t="shared" ref="U28:U40" si="13">H28</f>
        <v>100</v>
      </c>
      <c r="V28" s="702" t="s">
        <v>14</v>
      </c>
      <c r="W28" s="703">
        <f t="shared" ref="W28:W40" si="14">J28</f>
        <v>100</v>
      </c>
      <c r="X28" s="1352"/>
      <c r="Y28" s="3663"/>
      <c r="Z28" s="1353">
        <f t="shared" ref="Z28:Z40" si="15">Q28</f>
        <v>111</v>
      </c>
      <c r="AA28" s="1350">
        <f t="shared" si="3"/>
        <v>1</v>
      </c>
      <c r="AB28" s="1350">
        <f t="shared" si="4"/>
        <v>1</v>
      </c>
      <c r="AC28" s="1350">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664" t="s">
        <v>1694</v>
      </c>
      <c r="Q29" s="1349" t="str">
        <f t="shared" si="11"/>
        <v>建筑类型</v>
      </c>
      <c r="R29" s="702" t="s">
        <v>14</v>
      </c>
      <c r="S29" s="703">
        <f t="shared" si="12"/>
        <v>100</v>
      </c>
      <c r="T29" s="702" t="s">
        <v>14</v>
      </c>
      <c r="U29" s="703">
        <f t="shared" si="13"/>
        <v>100</v>
      </c>
      <c r="V29" s="702" t="s">
        <v>14</v>
      </c>
      <c r="W29" s="703">
        <f t="shared" si="14"/>
        <v>100</v>
      </c>
      <c r="X29" s="1352"/>
      <c r="Y29" s="3665"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65"/>
      <c r="Q30" s="704" t="str">
        <f t="shared" si="11"/>
        <v>项目建筑规模</v>
      </c>
      <c r="R30" s="705" t="s">
        <v>14</v>
      </c>
      <c r="S30" s="706">
        <f t="shared" si="12"/>
        <v>100</v>
      </c>
      <c r="T30" s="705" t="s">
        <v>14</v>
      </c>
      <c r="U30" s="706">
        <f t="shared" si="13"/>
        <v>100</v>
      </c>
      <c r="V30" s="705" t="s">
        <v>14</v>
      </c>
      <c r="W30" s="706">
        <f t="shared" si="14"/>
        <v>100</v>
      </c>
      <c r="X30" s="707"/>
      <c r="Y30" s="3665"/>
      <c r="Z30" s="708" t="str">
        <f t="shared" si="15"/>
        <v>项目建筑规模</v>
      </c>
      <c r="AA30" s="1350">
        <f t="shared" si="3"/>
        <v>1</v>
      </c>
      <c r="AB30" s="1350">
        <f t="shared" si="4"/>
        <v>1</v>
      </c>
      <c r="AC30" s="1350">
        <f t="shared" si="5"/>
        <v>1</v>
      </c>
    </row>
    <row r="31" spans="1:29" ht="15">
      <c r="A31" s="423"/>
      <c r="B31" s="375" t="s">
        <v>1696</v>
      </c>
      <c r="C31" s="411" t="s">
        <v>3406</v>
      </c>
      <c r="D31" s="386">
        <v>100</v>
      </c>
      <c r="E31" s="411" t="s">
        <v>3406</v>
      </c>
      <c r="F31" s="412">
        <f>SUMIF(93:93,E31,94:94)-SUMIF(93:93,C31,94:94)+100</f>
        <v>100</v>
      </c>
      <c r="G31" s="411" t="s">
        <v>3406</v>
      </c>
      <c r="H31" s="386">
        <f>SUMIF(93:93,G31,94:94)-SUMIF(93:93,C31,94:94)+100</f>
        <v>100</v>
      </c>
      <c r="I31" s="411" t="s">
        <v>3406</v>
      </c>
      <c r="J31" s="386">
        <f>SUMIF(93:93,I31,94:94)-SUMIF(93:93,C31,94:94)+100</f>
        <v>100</v>
      </c>
      <c r="K31" s="559">
        <v>2</v>
      </c>
      <c r="L31" s="920"/>
      <c r="M31" s="911"/>
      <c r="N31" s="911"/>
      <c r="O31" s="919"/>
      <c r="P31" s="3665"/>
      <c r="Q31" s="1349" t="str">
        <f t="shared" si="11"/>
        <v>建筑结构</v>
      </c>
      <c r="R31" s="702" t="s">
        <v>14</v>
      </c>
      <c r="S31" s="703">
        <f t="shared" si="12"/>
        <v>100</v>
      </c>
      <c r="T31" s="702" t="s">
        <v>14</v>
      </c>
      <c r="U31" s="703">
        <f t="shared" si="13"/>
        <v>100</v>
      </c>
      <c r="V31" s="702" t="s">
        <v>14</v>
      </c>
      <c r="W31" s="703">
        <f t="shared" si="14"/>
        <v>100</v>
      </c>
      <c r="X31" s="1352"/>
      <c r="Y31" s="3665"/>
      <c r="Z31" s="1353" t="str">
        <f t="shared" si="15"/>
        <v>建筑结构</v>
      </c>
      <c r="AA31" s="1350">
        <f t="shared" si="3"/>
        <v>1</v>
      </c>
      <c r="AB31" s="1350">
        <f t="shared" si="4"/>
        <v>1</v>
      </c>
      <c r="AC31" s="1350">
        <f t="shared" si="5"/>
        <v>1</v>
      </c>
    </row>
    <row r="32" spans="1:29" ht="15">
      <c r="A32" s="423"/>
      <c r="B32" s="375" t="s">
        <v>1783</v>
      </c>
      <c r="C32" s="411" t="s">
        <v>3444</v>
      </c>
      <c r="D32" s="386">
        <v>100</v>
      </c>
      <c r="E32" s="411" t="s">
        <v>3444</v>
      </c>
      <c r="F32" s="412">
        <f>SUMIF(95:95,E32,96:96)-SUMIF(95:95,C32,96:96)+100</f>
        <v>100</v>
      </c>
      <c r="G32" s="411" t="s">
        <v>3444</v>
      </c>
      <c r="H32" s="386">
        <f>SUMIF(95:95,G32,96:96)-SUMIF(95:95,C32,96:96)+100</f>
        <v>100</v>
      </c>
      <c r="I32" s="411" t="s">
        <v>3444</v>
      </c>
      <c r="J32" s="386">
        <f>SUMIF(95:95,I32,96:96)-SUMIF(95:95,C32,96:96)+100</f>
        <v>100</v>
      </c>
      <c r="K32" s="559">
        <v>2</v>
      </c>
      <c r="L32" s="920"/>
      <c r="M32" s="911"/>
      <c r="N32" s="911"/>
      <c r="O32" s="919"/>
      <c r="P32" s="3665"/>
      <c r="Q32" s="1349" t="str">
        <f t="shared" si="11"/>
        <v>公共部分装修</v>
      </c>
      <c r="R32" s="702" t="s">
        <v>14</v>
      </c>
      <c r="S32" s="703">
        <f t="shared" si="12"/>
        <v>100</v>
      </c>
      <c r="T32" s="702" t="s">
        <v>14</v>
      </c>
      <c r="U32" s="703">
        <f t="shared" si="13"/>
        <v>100</v>
      </c>
      <c r="V32" s="702" t="s">
        <v>14</v>
      </c>
      <c r="W32" s="703">
        <f t="shared" si="14"/>
        <v>100</v>
      </c>
      <c r="X32" s="1352"/>
      <c r="Y32" s="3665"/>
      <c r="Z32" s="1353" t="str">
        <f t="shared" si="15"/>
        <v>公共部分装修</v>
      </c>
      <c r="AA32" s="1350">
        <f t="shared" si="3"/>
        <v>1</v>
      </c>
      <c r="AB32" s="1350">
        <f t="shared" si="4"/>
        <v>1</v>
      </c>
      <c r="AC32" s="1350">
        <f t="shared" si="5"/>
        <v>1</v>
      </c>
    </row>
    <row r="33" spans="1:29" ht="15">
      <c r="A33" s="423"/>
      <c r="B33" s="375" t="s">
        <v>1784</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65"/>
      <c r="Q33" s="1349" t="str">
        <f t="shared" si="11"/>
        <v>成新度</v>
      </c>
      <c r="R33" s="702" t="s">
        <v>14</v>
      </c>
      <c r="S33" s="703" t="e">
        <f t="shared" si="12"/>
        <v>#N/A</v>
      </c>
      <c r="T33" s="702" t="s">
        <v>14</v>
      </c>
      <c r="U33" s="703" t="e">
        <f t="shared" si="13"/>
        <v>#N/A</v>
      </c>
      <c r="V33" s="702" t="s">
        <v>14</v>
      </c>
      <c r="W33" s="703" t="e">
        <f t="shared" si="14"/>
        <v>#N/A</v>
      </c>
      <c r="X33" s="1352"/>
      <c r="Y33" s="3665"/>
      <c r="Z33" s="1353" t="str">
        <f t="shared" si="15"/>
        <v>成新度</v>
      </c>
      <c r="AA33" s="1350" t="e">
        <f t="shared" si="3"/>
        <v>#N/A</v>
      </c>
      <c r="AB33" s="1350" t="e">
        <f t="shared" si="4"/>
        <v>#N/A</v>
      </c>
      <c r="AC33" s="1350" t="e">
        <f t="shared" si="5"/>
        <v>#N/A</v>
      </c>
    </row>
    <row r="34" spans="1:29" s="108" customFormat="1" ht="15">
      <c r="A34" s="424"/>
      <c r="B34" s="375" t="s">
        <v>1817</v>
      </c>
      <c r="C34" s="411" t="s">
        <v>3449</v>
      </c>
      <c r="D34" s="127">
        <v>100</v>
      </c>
      <c r="E34" s="411" t="s">
        <v>3449</v>
      </c>
      <c r="F34" s="412">
        <f>SUMIF(100:100,E34,101:101)-SUMIF(100:100,C34,101:101)+100</f>
        <v>100</v>
      </c>
      <c r="G34" s="411" t="s">
        <v>3449</v>
      </c>
      <c r="H34" s="386">
        <f>SUMIF(100:100,G34,101:101)-SUMIF(100:100,C34,101:101)+100</f>
        <v>100</v>
      </c>
      <c r="I34" s="411" t="s">
        <v>3449</v>
      </c>
      <c r="J34" s="386">
        <f>SUMIF(100:100,I34,101:101)-SUMIF(100:100,C34,101:101)+100</f>
        <v>100</v>
      </c>
      <c r="K34" s="559">
        <v>2</v>
      </c>
      <c r="L34" s="912"/>
      <c r="M34" s="913"/>
      <c r="N34" s="913"/>
      <c r="O34" s="914"/>
      <c r="P34" s="3665"/>
      <c r="Q34" s="1340" t="str">
        <f t="shared" si="11"/>
        <v>物业管理</v>
      </c>
      <c r="R34" s="698" t="s">
        <v>14</v>
      </c>
      <c r="S34" s="699">
        <f t="shared" si="12"/>
        <v>100</v>
      </c>
      <c r="T34" s="698" t="s">
        <v>14</v>
      </c>
      <c r="U34" s="699">
        <f t="shared" si="13"/>
        <v>100</v>
      </c>
      <c r="V34" s="698" t="s">
        <v>14</v>
      </c>
      <c r="W34" s="699">
        <f t="shared" si="14"/>
        <v>100</v>
      </c>
      <c r="X34" s="700"/>
      <c r="Y34" s="3665"/>
      <c r="Z34" s="52" t="str">
        <f t="shared" si="15"/>
        <v>物业管理</v>
      </c>
      <c r="AA34" s="701">
        <f t="shared" si="3"/>
        <v>1</v>
      </c>
      <c r="AB34" s="701">
        <f t="shared" si="4"/>
        <v>1</v>
      </c>
      <c r="AC34" s="701">
        <f t="shared" si="5"/>
        <v>1</v>
      </c>
    </row>
    <row r="35" spans="1:29" ht="15">
      <c r="A35" s="423"/>
      <c r="B35" s="375" t="s">
        <v>1785</v>
      </c>
      <c r="C35" s="411" t="s">
        <v>3510</v>
      </c>
      <c r="D35" s="386">
        <v>100</v>
      </c>
      <c r="E35" s="411" t="s">
        <v>3510</v>
      </c>
      <c r="F35" s="412">
        <f>SUMIF(102:102,E35,103:103)-SUMIF(102:102,C35,103:103)+100</f>
        <v>100</v>
      </c>
      <c r="G35" s="411" t="s">
        <v>3510</v>
      </c>
      <c r="H35" s="386">
        <f>SUMIF(102:102,G35,103:103)-SUMIF(102:102,C35,103:103)+100</f>
        <v>100</v>
      </c>
      <c r="I35" s="411" t="s">
        <v>3510</v>
      </c>
      <c r="J35" s="386">
        <f>SUMIF(102:102,I35,103:103)-SUMIF(102:102,C35,103:103)+100</f>
        <v>100</v>
      </c>
      <c r="K35" s="559">
        <v>1</v>
      </c>
      <c r="L35" s="920"/>
      <c r="M35" s="911"/>
      <c r="N35" s="911"/>
      <c r="O35" s="919"/>
      <c r="P35" s="3665" t="s">
        <v>1694</v>
      </c>
      <c r="Q35" s="1349" t="str">
        <f t="shared" si="11"/>
        <v>市政基础设施</v>
      </c>
      <c r="R35" s="702" t="s">
        <v>14</v>
      </c>
      <c r="S35" s="703">
        <f t="shared" si="12"/>
        <v>100</v>
      </c>
      <c r="T35" s="702" t="s">
        <v>14</v>
      </c>
      <c r="U35" s="703">
        <f t="shared" si="13"/>
        <v>100</v>
      </c>
      <c r="V35" s="702" t="s">
        <v>14</v>
      </c>
      <c r="W35" s="703">
        <f t="shared" si="14"/>
        <v>100</v>
      </c>
      <c r="X35" s="1352"/>
      <c r="Y35" s="3665"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65"/>
      <c r="Q36" s="1349" t="str">
        <f t="shared" si="11"/>
        <v>内部装修</v>
      </c>
      <c r="R36" s="702" t="s">
        <v>14</v>
      </c>
      <c r="S36" s="703">
        <f t="shared" si="12"/>
        <v>100</v>
      </c>
      <c r="T36" s="702" t="s">
        <v>14</v>
      </c>
      <c r="U36" s="703">
        <f t="shared" si="13"/>
        <v>100</v>
      </c>
      <c r="V36" s="702" t="s">
        <v>14</v>
      </c>
      <c r="W36" s="703">
        <f t="shared" si="14"/>
        <v>100</v>
      </c>
      <c r="X36" s="1352"/>
      <c r="Y36" s="3665"/>
      <c r="Z36" s="1353" t="str">
        <f t="shared" si="15"/>
        <v>内部装修</v>
      </c>
      <c r="AA36" s="1350">
        <f t="shared" si="3"/>
        <v>1</v>
      </c>
      <c r="AB36" s="1350">
        <f t="shared" si="4"/>
        <v>1</v>
      </c>
      <c r="AC36" s="1350">
        <f t="shared" si="5"/>
        <v>1</v>
      </c>
    </row>
    <row r="37" spans="1:29" ht="15.75" thickBot="1">
      <c r="A37" s="423"/>
      <c r="B37" s="375" t="s">
        <v>1826</v>
      </c>
      <c r="C37" s="563" t="s">
        <v>3383</v>
      </c>
      <c r="D37" s="386">
        <v>100</v>
      </c>
      <c r="E37" s="563" t="s">
        <v>3383</v>
      </c>
      <c r="F37" s="412">
        <f>SUMIF(106:106,E37,107:107)-SUMIF(106:106,C37,107:107)+100</f>
        <v>100</v>
      </c>
      <c r="G37" s="563" t="s">
        <v>3383</v>
      </c>
      <c r="H37" s="386">
        <f>SUMIF(106:106,G37,107:107)-SUMIF(106:106,C37,107:107)+100</f>
        <v>100</v>
      </c>
      <c r="I37" s="563" t="s">
        <v>3383</v>
      </c>
      <c r="J37" s="386">
        <f>SUMIF(106:106,I37,107:107)-SUMIF(106:106,C37,107:107)+100</f>
        <v>100</v>
      </c>
      <c r="K37" s="559">
        <v>2</v>
      </c>
      <c r="L37" s="920"/>
      <c r="M37" s="911"/>
      <c r="N37" s="911"/>
      <c r="O37" s="919"/>
      <c r="P37" s="3665"/>
      <c r="Q37" s="1349" t="str">
        <f t="shared" si="11"/>
        <v>内部装修状况</v>
      </c>
      <c r="R37" s="702" t="s">
        <v>14</v>
      </c>
      <c r="S37" s="703">
        <f t="shared" si="12"/>
        <v>100</v>
      </c>
      <c r="T37" s="702" t="s">
        <v>14</v>
      </c>
      <c r="U37" s="703">
        <f t="shared" si="13"/>
        <v>100</v>
      </c>
      <c r="V37" s="702" t="s">
        <v>14</v>
      </c>
      <c r="W37" s="703">
        <f t="shared" si="14"/>
        <v>100</v>
      </c>
      <c r="X37" s="1352"/>
      <c r="Y37" s="3665"/>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65"/>
      <c r="Q38" s="704">
        <f t="shared" si="11"/>
        <v>111</v>
      </c>
      <c r="R38" s="705" t="s">
        <v>14</v>
      </c>
      <c r="S38" s="706">
        <f t="shared" si="12"/>
        <v>100</v>
      </c>
      <c r="T38" s="705" t="s">
        <v>14</v>
      </c>
      <c r="U38" s="706">
        <f t="shared" si="13"/>
        <v>100</v>
      </c>
      <c r="V38" s="705" t="s">
        <v>14</v>
      </c>
      <c r="W38" s="706">
        <f t="shared" si="14"/>
        <v>100</v>
      </c>
      <c r="X38" s="707"/>
      <c r="Y38" s="3665"/>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65"/>
      <c r="Q39" s="1349">
        <f t="shared" si="11"/>
        <v>111</v>
      </c>
      <c r="R39" s="702" t="s">
        <v>14</v>
      </c>
      <c r="S39" s="703">
        <f t="shared" si="12"/>
        <v>100</v>
      </c>
      <c r="T39" s="702" t="s">
        <v>14</v>
      </c>
      <c r="U39" s="703">
        <f t="shared" si="13"/>
        <v>100</v>
      </c>
      <c r="V39" s="702" t="s">
        <v>14</v>
      </c>
      <c r="W39" s="703">
        <f t="shared" si="14"/>
        <v>100</v>
      </c>
      <c r="X39" s="1352"/>
      <c r="Y39" s="3665"/>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750"/>
      <c r="Q40" s="1349">
        <f t="shared" si="11"/>
        <v>111</v>
      </c>
      <c r="R40" s="702" t="s">
        <v>14</v>
      </c>
      <c r="S40" s="703">
        <f t="shared" si="12"/>
        <v>100</v>
      </c>
      <c r="T40" s="702" t="s">
        <v>14</v>
      </c>
      <c r="U40" s="703">
        <f t="shared" si="13"/>
        <v>100</v>
      </c>
      <c r="V40" s="702" t="s">
        <v>14</v>
      </c>
      <c r="W40" s="703">
        <f t="shared" si="14"/>
        <v>100</v>
      </c>
      <c r="X40" s="1352"/>
      <c r="Y40" s="3750"/>
      <c r="Z40" s="1353">
        <f t="shared" si="15"/>
        <v>111</v>
      </c>
      <c r="AA40" s="1350">
        <f t="shared" si="3"/>
        <v>1</v>
      </c>
      <c r="AB40" s="1350">
        <f t="shared" si="4"/>
        <v>1</v>
      </c>
      <c r="AC40" s="1350">
        <f t="shared" si="5"/>
        <v>1</v>
      </c>
    </row>
    <row r="41" spans="1:29" ht="15">
      <c r="A41" s="428" t="s">
        <v>1706</v>
      </c>
      <c r="B41" s="429"/>
      <c r="C41" s="1151" t="s">
        <v>0</v>
      </c>
      <c r="D41" s="1152"/>
      <c r="E41" s="1153"/>
      <c r="F41" s="1154"/>
      <c r="G41" s="1155"/>
      <c r="H41" s="1156"/>
      <c r="I41" s="1153"/>
      <c r="J41" s="1156"/>
      <c r="K41" s="711"/>
      <c r="L41" s="923"/>
      <c r="M41" s="924"/>
      <c r="N41" s="911"/>
      <c r="O41" s="924"/>
      <c r="P41" s="3657" t="str">
        <f>A41</f>
        <v>成交单价（元/平方米）</v>
      </c>
      <c r="Q41" s="3657"/>
      <c r="R41" s="3746">
        <f>E41</f>
        <v>0</v>
      </c>
      <c r="S41" s="3746"/>
      <c r="T41" s="3746">
        <f>G41</f>
        <v>0</v>
      </c>
      <c r="U41" s="3746"/>
      <c r="V41" s="3746">
        <f>I41</f>
        <v>0</v>
      </c>
      <c r="W41" s="3746"/>
      <c r="X41" s="687"/>
      <c r="Y41" s="709"/>
      <c r="Z41" s="687"/>
      <c r="AA41" s="687"/>
      <c r="AB41" s="687"/>
      <c r="AC41" s="687"/>
    </row>
    <row r="42" spans="1:29" ht="15.75" thickBot="1">
      <c r="A42" s="435" t="s">
        <v>1791</v>
      </c>
      <c r="B42" s="436"/>
      <c r="C42" s="1157" t="e">
        <f>R43</f>
        <v>#N/A</v>
      </c>
      <c r="D42" s="2313" t="s">
        <v>2135</v>
      </c>
      <c r="E42" s="1158" t="e">
        <f>R42</f>
        <v>#N/A</v>
      </c>
      <c r="F42" s="2314"/>
      <c r="G42" s="1157" t="e">
        <f>T42</f>
        <v>#N/A</v>
      </c>
      <c r="H42" s="2314"/>
      <c r="I42" s="1158" t="e">
        <f>V42</f>
        <v>#N/A</v>
      </c>
      <c r="J42" s="2314"/>
      <c r="K42" s="2316">
        <f>F42+H42+J42</f>
        <v>0</v>
      </c>
      <c r="L42" s="923"/>
      <c r="M42" s="924"/>
      <c r="N42" s="911"/>
      <c r="O42" s="924"/>
      <c r="P42" s="3657" t="str">
        <f>A42</f>
        <v>比较价值（元/平方米）</v>
      </c>
      <c r="Q42" s="3657"/>
      <c r="R42" s="3746" t="e">
        <f>IF(F1="售价",ROUND(PRODUCT(R41,AA7:AA40),0),ROUND(PRODUCT(R41,AA7:AA40),1))</f>
        <v>#N/A</v>
      </c>
      <c r="S42" s="3746"/>
      <c r="T42" s="3746" t="e">
        <f>IF(F1="售价",ROUND(PRODUCT(T41,AB7:AB40),0),ROUND(PRODUCT(T41,AB7:AB40),1))</f>
        <v>#N/A</v>
      </c>
      <c r="U42" s="3746"/>
      <c r="V42" s="3746" t="e">
        <f>IF(F1="售价",ROUND(PRODUCT(V41,AC7:AC40),0),ROUND(PRODUCT(V41,AC7:AC40),1))</f>
        <v>#N/A</v>
      </c>
      <c r="W42" s="3746"/>
      <c r="X42" s="687"/>
      <c r="Y42" s="687"/>
      <c r="Z42" s="687"/>
      <c r="AA42" s="687"/>
      <c r="AB42" s="687"/>
      <c r="AC42" s="687"/>
    </row>
    <row r="43" spans="1:29" ht="15.75" thickBot="1">
      <c r="A43" s="439" t="s">
        <v>1792</v>
      </c>
      <c r="B43" s="440"/>
      <c r="C43" s="1160" t="e">
        <f>R43</f>
        <v>#N/A</v>
      </c>
      <c r="D43" s="1160"/>
      <c r="E43" s="1160"/>
      <c r="F43" s="1160"/>
      <c r="G43" s="1160"/>
      <c r="H43" s="1160"/>
      <c r="I43" s="1160"/>
      <c r="J43" s="1160"/>
      <c r="K43" s="712"/>
      <c r="L43" s="923"/>
      <c r="M43" s="924"/>
      <c r="N43" s="924"/>
      <c r="O43" s="924"/>
      <c r="P43" s="3654" t="str">
        <f>A43</f>
        <v>估价对象XX用房的比较价值（楼面单价，元/平方米）</v>
      </c>
      <c r="Q43" s="3655"/>
      <c r="R43" s="3745" t="e">
        <f>IF(F1="售价",ROUND(IF(D42="简单平均",AVERAGE(R42:V42),R42*F42+T42*H42+V42*J42),0),ROUND(IF(D42="简单平均",AVERAGE(R42:V42),R42*F42+T42*H42+V42*J42),1))</f>
        <v>#N/A</v>
      </c>
      <c r="S43" s="3745"/>
      <c r="T43" s="3745"/>
      <c r="U43" s="3745"/>
      <c r="V43" s="3745"/>
      <c r="W43" s="3745"/>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1793</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1794</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1796</v>
      </c>
      <c r="B51" s="687"/>
      <c r="C51" s="692"/>
      <c r="D51" s="692"/>
      <c r="E51" s="692"/>
      <c r="F51" s="693"/>
      <c r="G51" s="693"/>
      <c r="H51" s="692"/>
      <c r="I51" s="692"/>
      <c r="J51" s="692"/>
      <c r="K51" s="938"/>
      <c r="L51" s="939"/>
      <c r="M51" s="937"/>
      <c r="N51" s="937"/>
      <c r="O51" s="937"/>
      <c r="P51" s="450"/>
      <c r="Q51" s="451"/>
    </row>
    <row r="52" spans="1:17" s="455" customFormat="1" ht="15">
      <c r="A52" s="452" t="s">
        <v>1677</v>
      </c>
      <c r="B52" s="453"/>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1714</v>
      </c>
      <c r="B54" s="463"/>
      <c r="C54" s="464"/>
      <c r="D54" s="465"/>
      <c r="E54" s="465"/>
      <c r="F54" s="465"/>
      <c r="G54" s="465"/>
      <c r="H54" s="465"/>
      <c r="I54" s="465"/>
      <c r="J54" s="465"/>
      <c r="K54" s="465"/>
      <c r="L54" s="465"/>
      <c r="M54" s="466"/>
      <c r="N54" s="2761"/>
      <c r="O54" s="2762"/>
      <c r="P54" s="451"/>
      <c r="Q54" s="451"/>
    </row>
    <row r="55" spans="1:17" s="108" customFormat="1" ht="15">
      <c r="A55" s="468" t="s">
        <v>1679</v>
      </c>
      <c r="B55" s="457"/>
      <c r="C55" s="469" t="s">
        <v>1774</v>
      </c>
      <c r="D55" s="3449" t="s">
        <v>3525</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1717</v>
      </c>
      <c r="B57" s="475" t="s">
        <v>1683</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1686</v>
      </c>
      <c r="C59" s="530" t="s">
        <v>3512</v>
      </c>
      <c r="D59" s="530" t="s">
        <v>3513</v>
      </c>
      <c r="E59" s="530" t="s">
        <v>3514</v>
      </c>
      <c r="F59" s="3450" t="s">
        <v>3516</v>
      </c>
      <c r="G59" s="530" t="s">
        <v>3515</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1811</v>
      </c>
      <c r="C76" s="605" t="s">
        <v>1797</v>
      </c>
      <c r="D76" s="605" t="s">
        <v>1798</v>
      </c>
      <c r="E76" s="605" t="s">
        <v>1799</v>
      </c>
      <c r="F76" s="605" t="s">
        <v>1800</v>
      </c>
      <c r="G76" s="605" t="s">
        <v>1801</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1692</v>
      </c>
      <c r="B88" s="475" t="s">
        <v>1734</v>
      </c>
      <c r="C88" s="3453" t="s">
        <v>3527</v>
      </c>
      <c r="D88" s="3453" t="s">
        <v>3517</v>
      </c>
      <c r="E88" s="3453" t="s">
        <v>3518</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1735</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1736</v>
      </c>
      <c r="C93" s="3451" t="s">
        <v>3519</v>
      </c>
      <c r="D93" s="3451" t="s">
        <v>3520</v>
      </c>
      <c r="E93" s="3454" t="s">
        <v>3521</v>
      </c>
      <c r="F93" s="3454" t="s">
        <v>3522</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1738</v>
      </c>
      <c r="C95" s="3451" t="s">
        <v>3443</v>
      </c>
      <c r="D95" s="3451" t="s">
        <v>3445</v>
      </c>
      <c r="E95" s="3451" t="s">
        <v>3446</v>
      </c>
      <c r="F95" s="3454" t="s">
        <v>3447</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1739</v>
      </c>
      <c r="C100" s="3451" t="s">
        <v>3523</v>
      </c>
      <c r="D100" s="3451" t="s">
        <v>3524</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1740</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1742</v>
      </c>
      <c r="C104" s="3451" t="s">
        <v>3443</v>
      </c>
      <c r="D104" s="3451" t="s">
        <v>3445</v>
      </c>
      <c r="E104" s="3451" t="s">
        <v>3446</v>
      </c>
      <c r="F104" s="3454" t="s">
        <v>3447</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1828</v>
      </c>
      <c r="C106" s="525" t="s">
        <v>1719</v>
      </c>
      <c r="D106" s="525" t="s">
        <v>1720</v>
      </c>
      <c r="E106" s="525" t="s">
        <v>1721</v>
      </c>
      <c r="F106" s="525" t="s">
        <v>1722</v>
      </c>
      <c r="G106" s="525" t="s">
        <v>1723</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3322</v>
      </c>
      <c r="C1" s="1221" t="s">
        <v>1660</v>
      </c>
      <c r="D1" s="1222"/>
      <c r="E1" s="3424" t="s">
        <v>3511</v>
      </c>
      <c r="F1" s="1876" t="s">
        <v>3458</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1462</v>
      </c>
      <c r="B3" s="556"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1767</v>
      </c>
      <c r="B4" s="356"/>
      <c r="C4" s="3669" t="s">
        <v>1768</v>
      </c>
      <c r="D4" s="3670"/>
      <c r="E4" s="3671" t="s">
        <v>1769</v>
      </c>
      <c r="F4" s="3672"/>
      <c r="G4" s="3669" t="s">
        <v>1770</v>
      </c>
      <c r="H4" s="3670"/>
      <c r="I4" s="3669" t="s">
        <v>1771</v>
      </c>
      <c r="J4" s="3670"/>
      <c r="K4" s="557" t="s">
        <v>1772</v>
      </c>
      <c r="L4" s="2706"/>
      <c r="M4" s="2707"/>
      <c r="N4" s="2707"/>
      <c r="O4" s="2707"/>
      <c r="P4" s="3673" t="s">
        <v>1773</v>
      </c>
      <c r="Q4" s="3674"/>
      <c r="R4" s="3683" t="s">
        <v>1769</v>
      </c>
      <c r="S4" s="3684"/>
      <c r="T4" s="3683" t="s">
        <v>1770</v>
      </c>
      <c r="U4" s="3684"/>
      <c r="V4" s="3661" t="s">
        <v>1771</v>
      </c>
      <c r="W4" s="3661"/>
      <c r="X4" s="1352"/>
      <c r="Y4" s="3683" t="s">
        <v>1773</v>
      </c>
      <c r="Z4" s="3684"/>
      <c r="AA4" s="3666" t="s">
        <v>1769</v>
      </c>
      <c r="AB4" s="3667" t="s">
        <v>1770</v>
      </c>
      <c r="AC4" s="3666" t="s">
        <v>1771</v>
      </c>
    </row>
    <row r="5" spans="1:29" ht="15">
      <c r="A5" s="358"/>
      <c r="B5" s="359"/>
      <c r="C5" s="3687" t="s">
        <v>1671</v>
      </c>
      <c r="D5" s="3688"/>
      <c r="E5" s="3679" t="s">
        <v>1672</v>
      </c>
      <c r="F5" s="3680"/>
      <c r="G5" s="3687" t="s">
        <v>1673</v>
      </c>
      <c r="H5" s="3688"/>
      <c r="I5" s="3687" t="s">
        <v>1674</v>
      </c>
      <c r="J5" s="3688"/>
      <c r="K5" s="557"/>
      <c r="L5" s="2706"/>
      <c r="M5" s="2707"/>
      <c r="N5" s="2707"/>
      <c r="O5" s="2707"/>
      <c r="P5" s="3675"/>
      <c r="Q5" s="3676"/>
      <c r="R5" s="3685"/>
      <c r="S5" s="3686"/>
      <c r="T5" s="3685"/>
      <c r="U5" s="3686"/>
      <c r="V5" s="3661"/>
      <c r="W5" s="3661"/>
      <c r="X5" s="1352"/>
      <c r="Y5" s="3685"/>
      <c r="Z5" s="3686"/>
      <c r="AA5" s="3667"/>
      <c r="AB5" s="3667"/>
      <c r="AC5" s="3667"/>
    </row>
    <row r="6" spans="1:29" ht="15.75" thickBot="1">
      <c r="A6" s="360"/>
      <c r="B6" s="361"/>
      <c r="C6" s="3741" t="s">
        <v>1675</v>
      </c>
      <c r="D6" s="3742"/>
      <c r="E6" s="3743" t="s">
        <v>1675</v>
      </c>
      <c r="F6" s="3744"/>
      <c r="G6" s="3741" t="s">
        <v>1675</v>
      </c>
      <c r="H6" s="3742"/>
      <c r="I6" s="3741" t="s">
        <v>1675</v>
      </c>
      <c r="J6" s="3742"/>
      <c r="K6" s="557" t="s">
        <v>1676</v>
      </c>
      <c r="L6" s="2706"/>
      <c r="M6" s="2707"/>
      <c r="N6" s="2707"/>
      <c r="O6" s="2707"/>
      <c r="P6" s="3677"/>
      <c r="Q6" s="3678"/>
      <c r="R6" s="3685"/>
      <c r="S6" s="3686"/>
      <c r="T6" s="3694"/>
      <c r="U6" s="3695"/>
      <c r="V6" s="3661"/>
      <c r="W6" s="3661"/>
      <c r="X6" s="1352"/>
      <c r="Y6" s="3694"/>
      <c r="Z6" s="3695"/>
      <c r="AA6" s="3668"/>
      <c r="AB6" s="3668"/>
      <c r="AC6" s="3668"/>
    </row>
    <row r="7" spans="1:29" s="108" customFormat="1" ht="15.75" thickBot="1">
      <c r="A7" s="362" t="s">
        <v>1677</v>
      </c>
      <c r="B7" s="363"/>
      <c r="C7" s="364">
        <f>'数据-取费表'!B2</f>
        <v>45072</v>
      </c>
      <c r="D7" s="365">
        <v>100</v>
      </c>
      <c r="E7" s="366">
        <f>C7</f>
        <v>45072</v>
      </c>
      <c r="F7" s="367">
        <f>SUMIF(48:48,YEAR(E7)&amp;"-"&amp;MONTH(E7),49:49)</f>
        <v>100</v>
      </c>
      <c r="G7" s="366">
        <f>E7</f>
        <v>45072</v>
      </c>
      <c r="H7" s="365">
        <f>SUMIF(48:48,YEAR(G7)&amp;"-"&amp;MONTH(G7),49:49)</f>
        <v>100</v>
      </c>
      <c r="I7" s="366">
        <f>C7</f>
        <v>45072</v>
      </c>
      <c r="J7" s="365">
        <f>SUMIF(48:48,YEAR(I7)&amp;"-"&amp;MONTH(I7),49:49)</f>
        <v>100</v>
      </c>
      <c r="K7" s="558"/>
      <c r="L7" s="2708"/>
      <c r="M7" s="2709"/>
      <c r="N7" s="2709"/>
      <c r="O7" s="2709"/>
      <c r="P7" s="3659" t="s">
        <v>1678</v>
      </c>
      <c r="Q7" s="3691"/>
      <c r="R7" s="698" t="s">
        <v>14</v>
      </c>
      <c r="S7" s="699">
        <f t="shared" ref="S7:S14" si="0">F7</f>
        <v>100</v>
      </c>
      <c r="T7" s="698" t="s">
        <v>14</v>
      </c>
      <c r="U7" s="699">
        <f t="shared" ref="U7:U14" si="1">H7</f>
        <v>100</v>
      </c>
      <c r="V7" s="698" t="s">
        <v>14</v>
      </c>
      <c r="W7" s="699">
        <f t="shared" ref="W7:W14" si="2">J7</f>
        <v>100</v>
      </c>
      <c r="X7" s="700"/>
      <c r="Y7" s="3659" t="s">
        <v>1678</v>
      </c>
      <c r="Z7" s="3660"/>
      <c r="AA7" s="701">
        <f>D7/F7</f>
        <v>1</v>
      </c>
      <c r="AB7" s="701">
        <f>D7/H7</f>
        <v>1</v>
      </c>
      <c r="AC7" s="701">
        <f>D7/J7</f>
        <v>1</v>
      </c>
    </row>
    <row r="8" spans="1:29" s="108" customFormat="1" ht="15.75" thickBot="1">
      <c r="A8" s="362" t="s">
        <v>1679</v>
      </c>
      <c r="B8" s="363"/>
      <c r="C8" s="368" t="s">
        <v>3396</v>
      </c>
      <c r="D8" s="365">
        <v>100</v>
      </c>
      <c r="E8" s="368" t="s">
        <v>3408</v>
      </c>
      <c r="F8" s="367">
        <f>SUMIF(51:51,E8,52:52)-SUMIF(51:51,C8,52:52)+100</f>
        <v>102</v>
      </c>
      <c r="G8" s="368" t="s">
        <v>3408</v>
      </c>
      <c r="H8" s="365">
        <f>SUMIF(51:51,G8,52:52)-SUMIF(51:51,C8,52:52)+100</f>
        <v>102</v>
      </c>
      <c r="I8" s="368" t="s">
        <v>3408</v>
      </c>
      <c r="J8" s="365">
        <f>SUMIF(51:51,I8,52:52)-SUMIF(51:51,C8,52:52)+100</f>
        <v>102</v>
      </c>
      <c r="K8" s="558"/>
      <c r="L8" s="2708"/>
      <c r="M8" s="2709"/>
      <c r="N8" s="2709"/>
      <c r="O8" s="2709"/>
      <c r="P8" s="3659" t="s">
        <v>1681</v>
      </c>
      <c r="Q8" s="3660"/>
      <c r="R8" s="698" t="s">
        <v>14</v>
      </c>
      <c r="S8" s="699">
        <f t="shared" si="0"/>
        <v>102</v>
      </c>
      <c r="T8" s="698" t="s">
        <v>14</v>
      </c>
      <c r="U8" s="699">
        <f t="shared" si="1"/>
        <v>102</v>
      </c>
      <c r="V8" s="698" t="s">
        <v>14</v>
      </c>
      <c r="W8" s="699">
        <f t="shared" si="2"/>
        <v>102</v>
      </c>
      <c r="X8" s="700"/>
      <c r="Y8" s="3659" t="s">
        <v>1681</v>
      </c>
      <c r="Z8" s="3660"/>
      <c r="AA8" s="701">
        <f t="shared" ref="AA8:AA36" si="3">D8/F8</f>
        <v>0.98039215686274506</v>
      </c>
      <c r="AB8" s="701">
        <f t="shared" ref="AB8:AB36" si="4">D8/H8</f>
        <v>0.98039215686274506</v>
      </c>
      <c r="AC8" s="701">
        <f t="shared" ref="AC8:AC36" si="5">D8/J8</f>
        <v>0.98039215686274506</v>
      </c>
    </row>
    <row r="9" spans="1:29" s="108" customFormat="1">
      <c r="A9" s="60" t="s">
        <v>1682</v>
      </c>
      <c r="B9" s="585" t="s">
        <v>1683</v>
      </c>
      <c r="C9" s="3456" t="s">
        <v>3538</v>
      </c>
      <c r="D9" s="126">
        <v>100</v>
      </c>
      <c r="E9" s="373" t="s">
        <v>3537</v>
      </c>
      <c r="F9" s="126">
        <f>SUMIF(53:53,E9,54:54)-SUMIF(53:53,C9,54:54)+100</f>
        <v>100</v>
      </c>
      <c r="G9" s="373" t="s">
        <v>3537</v>
      </c>
      <c r="H9" s="126">
        <f>SUMIF(53:53,G9,54:54)-SUMIF(53:53,C9,54:54)+100</f>
        <v>100</v>
      </c>
      <c r="I9" s="373" t="s">
        <v>3537</v>
      </c>
      <c r="J9" s="126">
        <f>SUMIF(53:53,I9,54:54)-SUMIF(53:53,C9,54:54)+100</f>
        <v>100</v>
      </c>
      <c r="K9" s="558"/>
      <c r="L9" s="2708"/>
      <c r="M9" s="2709"/>
      <c r="N9" s="2709"/>
      <c r="O9" s="2709"/>
      <c r="P9" s="3657" t="s">
        <v>1684</v>
      </c>
      <c r="Q9" s="1340" t="str">
        <f t="shared" ref="Q9:Q14" si="6">B9</f>
        <v>用途</v>
      </c>
      <c r="R9" s="698" t="s">
        <v>14</v>
      </c>
      <c r="S9" s="699">
        <f t="shared" si="0"/>
        <v>100</v>
      </c>
      <c r="T9" s="698" t="s">
        <v>14</v>
      </c>
      <c r="U9" s="699">
        <f t="shared" si="1"/>
        <v>100</v>
      </c>
      <c r="V9" s="698" t="s">
        <v>14</v>
      </c>
      <c r="W9" s="699">
        <f t="shared" si="2"/>
        <v>100</v>
      </c>
      <c r="X9" s="700"/>
      <c r="Y9" s="3627" t="s">
        <v>1685</v>
      </c>
      <c r="Z9" s="52" t="str">
        <f t="shared" ref="Z9:Z14" si="7">Q9</f>
        <v>用途</v>
      </c>
      <c r="AA9" s="701">
        <f t="shared" si="3"/>
        <v>1</v>
      </c>
      <c r="AB9" s="701">
        <f t="shared" si="4"/>
        <v>1</v>
      </c>
      <c r="AC9" s="701">
        <f t="shared" si="5"/>
        <v>1</v>
      </c>
    </row>
    <row r="10" spans="1:29" s="378" customFormat="1" ht="27.75" thickBot="1">
      <c r="A10" s="586"/>
      <c r="B10" s="587" t="s">
        <v>1686</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57"/>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57"/>
      <c r="Q11" s="1340">
        <f t="shared" si="6"/>
        <v>111</v>
      </c>
      <c r="R11" s="698" t="s">
        <v>14</v>
      </c>
      <c r="S11" s="699">
        <f t="shared" si="0"/>
        <v>100</v>
      </c>
      <c r="T11" s="698" t="s">
        <v>14</v>
      </c>
      <c r="U11" s="699">
        <f t="shared" si="1"/>
        <v>100</v>
      </c>
      <c r="V11" s="698" t="s">
        <v>14</v>
      </c>
      <c r="W11" s="699">
        <f t="shared" si="2"/>
        <v>100</v>
      </c>
      <c r="X11" s="700"/>
      <c r="Y11" s="3627"/>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57"/>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57"/>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
      <c r="A14" s="355" t="s">
        <v>1688</v>
      </c>
      <c r="B14" s="574" t="s">
        <v>1831</v>
      </c>
      <c r="C14" s="1967" t="str">
        <f>IF(B1="工业",估价对象房地状况!G4,估价对象房地状况!C6)</f>
        <v>较好</v>
      </c>
      <c r="D14" s="392">
        <v>100</v>
      </c>
      <c r="E14" s="393" t="s">
        <v>3383</v>
      </c>
      <c r="F14" s="394">
        <f>SUMIF(63:63,E15,64:64)-SUMIF(63:63,C15,64:64)+100</f>
        <v>100</v>
      </c>
      <c r="G14" s="393" t="s">
        <v>3383</v>
      </c>
      <c r="H14" s="392">
        <f>SUMIF(63:63,G15,64:64)-SUMIF(63:63,C15,64:64)+100</f>
        <v>100</v>
      </c>
      <c r="I14" s="393" t="s">
        <v>3383</v>
      </c>
      <c r="J14" s="392">
        <f>SUMIF(63:63,I15,64:64)-SUMIF(63:63,C15,64:64)+100</f>
        <v>100</v>
      </c>
      <c r="K14" s="561">
        <v>2</v>
      </c>
      <c r="L14" s="2713"/>
      <c r="M14" s="2707"/>
      <c r="N14" s="2707"/>
      <c r="O14" s="2707"/>
      <c r="P14" s="3662" t="s">
        <v>1689</v>
      </c>
      <c r="Q14" s="1349" t="str">
        <f t="shared" si="6"/>
        <v>交通便捷度</v>
      </c>
      <c r="R14" s="702" t="s">
        <v>14</v>
      </c>
      <c r="S14" s="703">
        <f t="shared" si="0"/>
        <v>100</v>
      </c>
      <c r="T14" s="702" t="s">
        <v>14</v>
      </c>
      <c r="U14" s="703">
        <f t="shared" si="1"/>
        <v>100</v>
      </c>
      <c r="V14" s="702" t="s">
        <v>14</v>
      </c>
      <c r="W14" s="703">
        <f t="shared" si="2"/>
        <v>100</v>
      </c>
      <c r="X14" s="1352"/>
      <c r="Y14" s="3662" t="s">
        <v>1689</v>
      </c>
      <c r="Z14" s="1353" t="str">
        <f t="shared" si="7"/>
        <v>交通便捷度</v>
      </c>
      <c r="AA14" s="1350">
        <f t="shared" si="3"/>
        <v>1</v>
      </c>
      <c r="AB14" s="1350">
        <f t="shared" si="4"/>
        <v>1</v>
      </c>
      <c r="AC14" s="1350">
        <f t="shared" si="5"/>
        <v>1</v>
      </c>
    </row>
    <row r="15" spans="1:29" ht="15">
      <c r="A15" s="358"/>
      <c r="B15" s="592"/>
      <c r="C15" s="398" t="s">
        <v>3383</v>
      </c>
      <c r="D15" s="399"/>
      <c r="E15" s="398" t="s">
        <v>3383</v>
      </c>
      <c r="F15" s="400"/>
      <c r="G15" s="398" t="s">
        <v>3383</v>
      </c>
      <c r="H15" s="401"/>
      <c r="I15" s="398" t="s">
        <v>3383</v>
      </c>
      <c r="J15" s="399"/>
      <c r="K15" s="562"/>
      <c r="L15" s="2713"/>
      <c r="M15" s="2707"/>
      <c r="N15" s="2707"/>
      <c r="O15" s="2707"/>
      <c r="P15" s="3663"/>
      <c r="Q15" s="1349"/>
      <c r="R15" s="702"/>
      <c r="S15" s="703"/>
      <c r="T15" s="702"/>
      <c r="U15" s="703"/>
      <c r="V15" s="702"/>
      <c r="W15" s="703"/>
      <c r="X15" s="1352"/>
      <c r="Y15" s="3663"/>
      <c r="Z15" s="1353"/>
      <c r="AA15" s="1350">
        <v>1</v>
      </c>
      <c r="AB15" s="1350">
        <v>1</v>
      </c>
      <c r="AC15" s="1350">
        <v>1</v>
      </c>
    </row>
    <row r="16" spans="1:29" ht="15">
      <c r="A16" s="358"/>
      <c r="B16" s="576" t="s">
        <v>1810</v>
      </c>
      <c r="C16" s="1897" t="str">
        <f>IF(B1="工业",估价对象房地状况!G5,估价对象房地状况!C7)</f>
        <v>较好</v>
      </c>
      <c r="D16" s="406">
        <v>100</v>
      </c>
      <c r="E16" s="408" t="s">
        <v>3383</v>
      </c>
      <c r="F16" s="409">
        <f>SUMIF(65:65,E17,66:66)-SUMIF(65:65,C17,66:66)+100</f>
        <v>100</v>
      </c>
      <c r="G16" s="408" t="s">
        <v>3383</v>
      </c>
      <c r="H16" s="406">
        <f>SUMIF(65:65,G17,66:66)-SUMIF(65:65,C17,66:66)+100</f>
        <v>100</v>
      </c>
      <c r="I16" s="408" t="s">
        <v>3383</v>
      </c>
      <c r="J16" s="406">
        <f>SUMIF(65:65,I17,66:66)-SUMIF(65:65,C17,66:66)+100</f>
        <v>100</v>
      </c>
      <c r="K16" s="561">
        <v>2</v>
      </c>
      <c r="L16" s="2713"/>
      <c r="M16" s="2707"/>
      <c r="N16" s="2707"/>
      <c r="O16" s="2707"/>
      <c r="P16" s="3663"/>
      <c r="Q16" s="1349" t="str">
        <f>B16</f>
        <v>公共配套设施</v>
      </c>
      <c r="R16" s="702" t="s">
        <v>14</v>
      </c>
      <c r="S16" s="703">
        <f>F16</f>
        <v>100</v>
      </c>
      <c r="T16" s="702" t="s">
        <v>14</v>
      </c>
      <c r="U16" s="703">
        <f>H16</f>
        <v>100</v>
      </c>
      <c r="V16" s="702" t="s">
        <v>14</v>
      </c>
      <c r="W16" s="703">
        <f>J16</f>
        <v>100</v>
      </c>
      <c r="X16" s="1352"/>
      <c r="Y16" s="3663"/>
      <c r="Z16" s="1353" t="str">
        <f>Q16</f>
        <v>公共配套设施</v>
      </c>
      <c r="AA16" s="1350">
        <f t="shared" si="3"/>
        <v>1</v>
      </c>
      <c r="AB16" s="1350">
        <f t="shared" si="4"/>
        <v>1</v>
      </c>
      <c r="AC16" s="1350">
        <f t="shared" si="5"/>
        <v>1</v>
      </c>
    </row>
    <row r="17" spans="1:29" ht="15">
      <c r="A17" s="358"/>
      <c r="B17" s="577"/>
      <c r="C17" s="1898" t="s">
        <v>3383</v>
      </c>
      <c r="D17" s="399"/>
      <c r="E17" s="398" t="s">
        <v>3383</v>
      </c>
      <c r="F17" s="400"/>
      <c r="G17" s="398" t="s">
        <v>3383</v>
      </c>
      <c r="H17" s="399"/>
      <c r="I17" s="398" t="s">
        <v>3383</v>
      </c>
      <c r="J17" s="399"/>
      <c r="K17" s="562"/>
      <c r="L17" s="2713"/>
      <c r="M17" s="2707"/>
      <c r="N17" s="2707"/>
      <c r="O17" s="2707"/>
      <c r="P17" s="3663"/>
      <c r="Q17" s="1349"/>
      <c r="R17" s="702"/>
      <c r="S17" s="703"/>
      <c r="T17" s="702"/>
      <c r="U17" s="703"/>
      <c r="V17" s="702"/>
      <c r="W17" s="703"/>
      <c r="X17" s="1352"/>
      <c r="Y17" s="3663"/>
      <c r="Z17" s="1353"/>
      <c r="AA17" s="1350">
        <v>1</v>
      </c>
      <c r="AB17" s="1350">
        <v>1</v>
      </c>
      <c r="AC17" s="1350">
        <v>1</v>
      </c>
    </row>
    <row r="18" spans="1:29" ht="15">
      <c r="A18" s="358"/>
      <c r="B18" s="578" t="s">
        <v>1811</v>
      </c>
      <c r="C18" s="1897" t="str">
        <f>IF(B1="工业",估价对象房地状况!G6,估价对象房地状况!C8)</f>
        <v>七通</v>
      </c>
      <c r="D18" s="401">
        <v>100</v>
      </c>
      <c r="E18" s="403" t="s">
        <v>3387</v>
      </c>
      <c r="F18" s="409">
        <f>SUMIF(67:67,E19,68:68)-SUMIF(67:67,C19,68:68)+100</f>
        <v>100</v>
      </c>
      <c r="G18" s="403" t="s">
        <v>3387</v>
      </c>
      <c r="H18" s="406">
        <f>SUMIF(67:67,G19,68:68)-SUMIF(67:67,C19,68:68)+100</f>
        <v>100</v>
      </c>
      <c r="I18" s="403" t="s">
        <v>3387</v>
      </c>
      <c r="J18" s="406">
        <f>SUMIF(67:67,I19,68:68)-SUMIF(67:67,C19,68:68)+100</f>
        <v>100</v>
      </c>
      <c r="K18" s="561">
        <v>1</v>
      </c>
      <c r="L18" s="2713"/>
      <c r="M18" s="2707"/>
      <c r="N18" s="2707"/>
      <c r="O18" s="2707"/>
      <c r="P18" s="3663"/>
      <c r="Q18" s="1349" t="str">
        <f>B18</f>
        <v>基础设施水平</v>
      </c>
      <c r="R18" s="702" t="s">
        <v>14</v>
      </c>
      <c r="S18" s="703">
        <f>F18</f>
        <v>100</v>
      </c>
      <c r="T18" s="702" t="s">
        <v>14</v>
      </c>
      <c r="U18" s="703">
        <f>H18</f>
        <v>100</v>
      </c>
      <c r="V18" s="702" t="s">
        <v>14</v>
      </c>
      <c r="W18" s="703">
        <f>J18</f>
        <v>100</v>
      </c>
      <c r="X18" s="1352"/>
      <c r="Y18" s="3663"/>
      <c r="Z18" s="1353" t="str">
        <f>Q18</f>
        <v>基础设施水平</v>
      </c>
      <c r="AA18" s="1350">
        <f t="shared" ref="AA18" si="8">D18/F18</f>
        <v>1</v>
      </c>
      <c r="AB18" s="1350">
        <f t="shared" ref="AB18" si="9">D18/H18</f>
        <v>1</v>
      </c>
      <c r="AC18" s="1350">
        <f t="shared" ref="AC18" si="10">D18/J18</f>
        <v>1</v>
      </c>
    </row>
    <row r="19" spans="1:29" ht="15">
      <c r="A19" s="358"/>
      <c r="B19" s="578"/>
      <c r="C19" s="1898" t="s">
        <v>3387</v>
      </c>
      <c r="D19" s="401"/>
      <c r="E19" s="1898" t="s">
        <v>3387</v>
      </c>
      <c r="F19" s="404"/>
      <c r="G19" s="1898" t="s">
        <v>3387</v>
      </c>
      <c r="H19" s="399"/>
      <c r="I19" s="1898" t="s">
        <v>3387</v>
      </c>
      <c r="J19" s="399"/>
      <c r="K19" s="1127"/>
      <c r="L19" s="2713"/>
      <c r="M19" s="2707"/>
      <c r="N19" s="2707"/>
      <c r="O19" s="2707"/>
      <c r="P19" s="3663"/>
      <c r="Q19" s="1349"/>
      <c r="R19" s="702"/>
      <c r="S19" s="703"/>
      <c r="T19" s="702"/>
      <c r="U19" s="703"/>
      <c r="V19" s="702"/>
      <c r="W19" s="703"/>
      <c r="X19" s="1352"/>
      <c r="Y19" s="3663"/>
      <c r="Z19" s="1353"/>
      <c r="AA19" s="1350">
        <v>1</v>
      </c>
      <c r="AB19" s="1350">
        <v>1</v>
      </c>
      <c r="AC19" s="1350">
        <v>1</v>
      </c>
    </row>
    <row r="20" spans="1:29" ht="15">
      <c r="A20" s="358"/>
      <c r="B20" s="576" t="s">
        <v>1832</v>
      </c>
      <c r="C20" s="1897" t="str">
        <f>IF(B1="工业",估价对象房地状况!G7,估价对象房地状况!C9)</f>
        <v>较好</v>
      </c>
      <c r="D20" s="406">
        <v>100</v>
      </c>
      <c r="E20" s="408" t="s">
        <v>3383</v>
      </c>
      <c r="F20" s="409">
        <f>SUMIF(69:69,E21,70:70)-SUMIF(69:69,C21,70:70)+100</f>
        <v>100</v>
      </c>
      <c r="G20" s="408" t="s">
        <v>3383</v>
      </c>
      <c r="H20" s="401">
        <f>SUMIF(69:69,G21,70:70)-SUMIF(69:69,C21,70:70)+100</f>
        <v>100</v>
      </c>
      <c r="I20" s="408" t="s">
        <v>3383</v>
      </c>
      <c r="J20" s="401">
        <f>SUMIF(69:69,I21,70:70)-SUMIF(69:69,C21,70:70)+100</f>
        <v>100</v>
      </c>
      <c r="K20" s="561">
        <v>2</v>
      </c>
      <c r="L20" s="2713"/>
      <c r="M20" s="2707"/>
      <c r="N20" s="2707"/>
      <c r="O20" s="2707"/>
      <c r="P20" s="3663"/>
      <c r="Q20" s="1349" t="str">
        <f>B20</f>
        <v>自然及人文环境</v>
      </c>
      <c r="R20" s="702" t="s">
        <v>14</v>
      </c>
      <c r="S20" s="703">
        <f>F20</f>
        <v>100</v>
      </c>
      <c r="T20" s="702" t="s">
        <v>14</v>
      </c>
      <c r="U20" s="703">
        <f>H20</f>
        <v>100</v>
      </c>
      <c r="V20" s="702" t="s">
        <v>14</v>
      </c>
      <c r="W20" s="703">
        <f>J20</f>
        <v>100</v>
      </c>
      <c r="X20" s="1352"/>
      <c r="Y20" s="3663"/>
      <c r="Z20" s="1353" t="str">
        <f>Q20</f>
        <v>自然及人文环境</v>
      </c>
      <c r="AA20" s="1350">
        <f t="shared" si="3"/>
        <v>1</v>
      </c>
      <c r="AB20" s="1350">
        <f t="shared" si="4"/>
        <v>1</v>
      </c>
      <c r="AC20" s="1350">
        <f t="shared" si="5"/>
        <v>1</v>
      </c>
    </row>
    <row r="21" spans="1:29" ht="15">
      <c r="A21" s="358"/>
      <c r="B21" s="577"/>
      <c r="C21" s="398" t="s">
        <v>3383</v>
      </c>
      <c r="D21" s="399"/>
      <c r="E21" s="398" t="s">
        <v>3383</v>
      </c>
      <c r="F21" s="400"/>
      <c r="G21" s="398" t="s">
        <v>3383</v>
      </c>
      <c r="H21" s="399"/>
      <c r="I21" s="398" t="s">
        <v>3383</v>
      </c>
      <c r="J21" s="399"/>
      <c r="K21" s="562"/>
      <c r="L21" s="2713"/>
      <c r="M21" s="2707"/>
      <c r="N21" s="2707"/>
      <c r="O21" s="2707"/>
      <c r="P21" s="3663"/>
      <c r="Q21" s="1349"/>
      <c r="R21" s="702"/>
      <c r="S21" s="703"/>
      <c r="T21" s="702"/>
      <c r="U21" s="703"/>
      <c r="V21" s="702"/>
      <c r="W21" s="703"/>
      <c r="X21" s="1352"/>
      <c r="Y21" s="3663"/>
      <c r="Z21" s="1353"/>
      <c r="AA21" s="1350">
        <v>1</v>
      </c>
      <c r="AB21" s="1350">
        <v>1</v>
      </c>
      <c r="AC21" s="1350">
        <v>1</v>
      </c>
    </row>
    <row r="22" spans="1:29" ht="15.75" thickBot="1">
      <c r="A22" s="358"/>
      <c r="B22" s="576" t="s">
        <v>1833</v>
      </c>
      <c r="C22" s="563" t="s">
        <v>3529</v>
      </c>
      <c r="D22" s="401">
        <v>100</v>
      </c>
      <c r="E22" s="563" t="s">
        <v>3529</v>
      </c>
      <c r="F22" s="412">
        <f>SUMIF(71:71,E22,72:72)-SUMIF(71:71,C22,72:72)+100</f>
        <v>100</v>
      </c>
      <c r="G22" s="563" t="s">
        <v>3529</v>
      </c>
      <c r="H22" s="386">
        <f>SUMIF(71:71,G22,72:72)-SUMIF(71:71,C22,72:72)+100</f>
        <v>100</v>
      </c>
      <c r="I22" s="563" t="s">
        <v>3529</v>
      </c>
      <c r="J22" s="386">
        <f>SUMIF(71:71,I22,72:72)-SUMIF(71:71,C22,72:72)+100</f>
        <v>100</v>
      </c>
      <c r="K22" s="559">
        <v>5</v>
      </c>
      <c r="L22" s="2713"/>
      <c r="M22" s="2707"/>
      <c r="N22" s="2707"/>
      <c r="O22" s="2707"/>
      <c r="P22" s="3663"/>
      <c r="Q22" s="1349" t="str">
        <f>B22</f>
        <v>楼层</v>
      </c>
      <c r="R22" s="702" t="s">
        <v>14</v>
      </c>
      <c r="S22" s="703">
        <f>F22</f>
        <v>100</v>
      </c>
      <c r="T22" s="702" t="s">
        <v>14</v>
      </c>
      <c r="U22" s="703">
        <f>H22</f>
        <v>100</v>
      </c>
      <c r="V22" s="702" t="s">
        <v>14</v>
      </c>
      <c r="W22" s="703">
        <f>J22</f>
        <v>100</v>
      </c>
      <c r="X22" s="1352"/>
      <c r="Y22" s="3663"/>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63"/>
      <c r="Q23" s="1349">
        <f>B23</f>
        <v>111</v>
      </c>
      <c r="R23" s="702" t="s">
        <v>14</v>
      </c>
      <c r="S23" s="703">
        <f>F23</f>
        <v>100</v>
      </c>
      <c r="T23" s="702" t="s">
        <v>14</v>
      </c>
      <c r="U23" s="703">
        <f>H23</f>
        <v>100</v>
      </c>
      <c r="V23" s="702" t="s">
        <v>14</v>
      </c>
      <c r="W23" s="703">
        <f>J23</f>
        <v>100</v>
      </c>
      <c r="X23" s="1352"/>
      <c r="Y23" s="3663"/>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63"/>
      <c r="Q24" s="1349">
        <f t="shared" ref="Q24:Q36" si="11">B24</f>
        <v>111</v>
      </c>
      <c r="R24" s="702" t="s">
        <v>14</v>
      </c>
      <c r="S24" s="703">
        <f>F24</f>
        <v>100</v>
      </c>
      <c r="T24" s="702" t="s">
        <v>14</v>
      </c>
      <c r="U24" s="703">
        <f>H24</f>
        <v>100</v>
      </c>
      <c r="V24" s="702" t="s">
        <v>14</v>
      </c>
      <c r="W24" s="703">
        <f>J24</f>
        <v>100</v>
      </c>
      <c r="X24" s="1352"/>
      <c r="Y24" s="3663"/>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663"/>
      <c r="Q25" s="1340">
        <f t="shared" si="11"/>
        <v>111</v>
      </c>
      <c r="R25" s="698" t="s">
        <v>14</v>
      </c>
      <c r="S25" s="699">
        <f>F25</f>
        <v>100</v>
      </c>
      <c r="T25" s="698" t="s">
        <v>14</v>
      </c>
      <c r="U25" s="699">
        <f>H25</f>
        <v>100</v>
      </c>
      <c r="V25" s="698" t="s">
        <v>14</v>
      </c>
      <c r="W25" s="699">
        <f>J25</f>
        <v>100</v>
      </c>
      <c r="X25" s="700"/>
      <c r="Y25" s="3663"/>
      <c r="Z25" s="52">
        <f>Q25</f>
        <v>111</v>
      </c>
      <c r="AA25" s="1350">
        <f>D25/F25</f>
        <v>1</v>
      </c>
      <c r="AB25" s="1350">
        <f>D25/H25</f>
        <v>1</v>
      </c>
      <c r="AC25" s="1350">
        <f>D25/J25</f>
        <v>1</v>
      </c>
    </row>
    <row r="26" spans="1:29" ht="28.5">
      <c r="A26" s="597" t="s">
        <v>1692</v>
      </c>
      <c r="B26" s="62" t="s">
        <v>1834</v>
      </c>
      <c r="C26" s="1968" t="str">
        <f>B1</f>
        <v>车库</v>
      </c>
      <c r="D26" s="399">
        <v>100</v>
      </c>
      <c r="E26" s="398" t="s">
        <v>3322</v>
      </c>
      <c r="F26" s="400">
        <f>SUMIF(79:79,E26,80:80)-SUMIF(79:79,C26,80:80)+100</f>
        <v>100</v>
      </c>
      <c r="G26" s="398" t="s">
        <v>3322</v>
      </c>
      <c r="H26" s="399">
        <f>SUMIF(79:79,G26,80:80)-SUMIF(79:79,C26,80:80)+100</f>
        <v>100</v>
      </c>
      <c r="I26" s="398" t="s">
        <v>3322</v>
      </c>
      <c r="J26" s="399">
        <f>SUMIF(79:79,I26,80:80)-SUMIF(79:79,C26,80:80)+100</f>
        <v>100</v>
      </c>
      <c r="K26" s="559">
        <v>2</v>
      </c>
      <c r="L26" s="2713"/>
      <c r="M26" s="2707"/>
      <c r="N26" s="2707"/>
      <c r="O26" s="2707"/>
      <c r="P26" s="3664" t="s">
        <v>1694</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65" t="s">
        <v>1694</v>
      </c>
      <c r="Z26" s="1353" t="str">
        <f t="shared" ref="Z26:Z36" si="15">Q26</f>
        <v>配套类型</v>
      </c>
      <c r="AA26" s="1350">
        <f t="shared" si="3"/>
        <v>1</v>
      </c>
      <c r="AB26" s="1350">
        <f t="shared" si="4"/>
        <v>1</v>
      </c>
      <c r="AC26" s="1350">
        <f t="shared" si="5"/>
        <v>1</v>
      </c>
    </row>
    <row r="27" spans="1:29" s="422" customFormat="1" ht="15">
      <c r="A27" s="598"/>
      <c r="B27" s="599" t="s">
        <v>1835</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665"/>
      <c r="Q27" s="704" t="str">
        <f t="shared" si="11"/>
        <v>项目停车位配比</v>
      </c>
      <c r="R27" s="705" t="s">
        <v>14</v>
      </c>
      <c r="S27" s="706">
        <f t="shared" si="12"/>
        <v>100</v>
      </c>
      <c r="T27" s="705" t="s">
        <v>14</v>
      </c>
      <c r="U27" s="706">
        <f t="shared" si="13"/>
        <v>100</v>
      </c>
      <c r="V27" s="705" t="s">
        <v>14</v>
      </c>
      <c r="W27" s="706">
        <f t="shared" si="14"/>
        <v>100</v>
      </c>
      <c r="X27" s="707"/>
      <c r="Y27" s="3665"/>
      <c r="Z27" s="708" t="str">
        <f t="shared" si="15"/>
        <v>项目停车位配比</v>
      </c>
      <c r="AA27" s="1350">
        <f t="shared" si="3"/>
        <v>1</v>
      </c>
      <c r="AB27" s="1350">
        <f t="shared" si="4"/>
        <v>1</v>
      </c>
      <c r="AC27" s="1350">
        <f t="shared" si="5"/>
        <v>1</v>
      </c>
    </row>
    <row r="28" spans="1:29" ht="15">
      <c r="A28" s="601"/>
      <c r="B28" s="599" t="s">
        <v>1836</v>
      </c>
      <c r="C28" s="411" t="s">
        <v>3444</v>
      </c>
      <c r="D28" s="386">
        <v>100</v>
      </c>
      <c r="E28" s="411" t="s">
        <v>3444</v>
      </c>
      <c r="F28" s="412">
        <f>SUMIF(83:83,E28,84:84)-SUMIF(83:83,C28,84:84)+100</f>
        <v>100</v>
      </c>
      <c r="G28" s="411" t="s">
        <v>3444</v>
      </c>
      <c r="H28" s="386">
        <f>SUMIF(83:83,G28,84:84)-SUMIF(83:83,C28,84:84)+100</f>
        <v>100</v>
      </c>
      <c r="I28" s="411" t="s">
        <v>3444</v>
      </c>
      <c r="J28" s="386">
        <f>SUMIF(83:83,I28,84:84)-SUMIF(83:83,C28,84:84)+100</f>
        <v>100</v>
      </c>
      <c r="K28" s="559">
        <v>2</v>
      </c>
      <c r="L28" s="2713"/>
      <c r="M28" s="2707"/>
      <c r="N28" s="2707"/>
      <c r="O28" s="2707"/>
      <c r="P28" s="3665"/>
      <c r="Q28" s="1349" t="str">
        <f t="shared" si="11"/>
        <v>公共部分装修</v>
      </c>
      <c r="R28" s="702" t="s">
        <v>14</v>
      </c>
      <c r="S28" s="703">
        <f t="shared" si="12"/>
        <v>100</v>
      </c>
      <c r="T28" s="702" t="s">
        <v>14</v>
      </c>
      <c r="U28" s="703">
        <f t="shared" si="13"/>
        <v>100</v>
      </c>
      <c r="V28" s="702" t="s">
        <v>14</v>
      </c>
      <c r="W28" s="703">
        <f t="shared" si="14"/>
        <v>100</v>
      </c>
      <c r="X28" s="1352"/>
      <c r="Y28" s="3665"/>
      <c r="Z28" s="1353" t="str">
        <f t="shared" si="15"/>
        <v>公共部分装修</v>
      </c>
      <c r="AA28" s="1350">
        <f t="shared" si="3"/>
        <v>1</v>
      </c>
      <c r="AB28" s="1350">
        <f t="shared" si="4"/>
        <v>1</v>
      </c>
      <c r="AC28" s="1350">
        <f t="shared" si="5"/>
        <v>1</v>
      </c>
    </row>
    <row r="29" spans="1:29" ht="15">
      <c r="A29" s="601"/>
      <c r="B29" s="599"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65"/>
      <c r="Q29" s="1349" t="str">
        <f t="shared" si="11"/>
        <v>成新率</v>
      </c>
      <c r="R29" s="702" t="s">
        <v>14</v>
      </c>
      <c r="S29" s="703">
        <f t="shared" si="12"/>
        <v>100</v>
      </c>
      <c r="T29" s="702" t="s">
        <v>14</v>
      </c>
      <c r="U29" s="703">
        <f t="shared" si="13"/>
        <v>100</v>
      </c>
      <c r="V29" s="702" t="s">
        <v>14</v>
      </c>
      <c r="W29" s="703">
        <f t="shared" si="14"/>
        <v>100</v>
      </c>
      <c r="X29" s="1352"/>
      <c r="Y29" s="3665"/>
      <c r="Z29" s="1353" t="str">
        <f t="shared" si="15"/>
        <v>成新率</v>
      </c>
      <c r="AA29" s="1350">
        <f t="shared" si="3"/>
        <v>1</v>
      </c>
      <c r="AB29" s="1350">
        <f t="shared" si="4"/>
        <v>1</v>
      </c>
      <c r="AC29" s="1350">
        <f t="shared" si="5"/>
        <v>1</v>
      </c>
    </row>
    <row r="30" spans="1:29" ht="15">
      <c r="A30" s="601"/>
      <c r="B30" s="599" t="s">
        <v>1838</v>
      </c>
      <c r="C30" s="602" t="s">
        <v>3449</v>
      </c>
      <c r="D30" s="386">
        <v>100</v>
      </c>
      <c r="E30" s="602" t="s">
        <v>3449</v>
      </c>
      <c r="F30" s="412">
        <f>SUMIF(88:88,E30,89:89)-SUMIF(88:88,C30,89:89)+100</f>
        <v>100</v>
      </c>
      <c r="G30" s="602" t="s">
        <v>3449</v>
      </c>
      <c r="H30" s="386">
        <f>SUMIF(88:88,E30,89:89)-SUMIF(88:88,C30,89:89)+100</f>
        <v>100</v>
      </c>
      <c r="I30" s="602" t="s">
        <v>3449</v>
      </c>
      <c r="J30" s="386">
        <f>SUMIF(88:88,E30,89:89)-SUMIF(88:88,C30,89:89)+100</f>
        <v>100</v>
      </c>
      <c r="K30" s="559">
        <v>2</v>
      </c>
      <c r="L30" s="2713"/>
      <c r="M30" s="2707"/>
      <c r="N30" s="2707"/>
      <c r="O30" s="2707"/>
      <c r="P30" s="3665"/>
      <c r="Q30" s="1349" t="str">
        <f t="shared" si="11"/>
        <v>物业等级</v>
      </c>
      <c r="R30" s="702" t="s">
        <v>14</v>
      </c>
      <c r="S30" s="703">
        <f t="shared" si="12"/>
        <v>100</v>
      </c>
      <c r="T30" s="702" t="s">
        <v>14</v>
      </c>
      <c r="U30" s="703">
        <f t="shared" si="13"/>
        <v>100</v>
      </c>
      <c r="V30" s="702" t="s">
        <v>14</v>
      </c>
      <c r="W30" s="703">
        <f t="shared" si="14"/>
        <v>100</v>
      </c>
      <c r="X30" s="1352"/>
      <c r="Y30" s="3665"/>
      <c r="Z30" s="1353" t="str">
        <f t="shared" si="15"/>
        <v>物业等级</v>
      </c>
      <c r="AA30" s="1350">
        <f t="shared" si="3"/>
        <v>1</v>
      </c>
      <c r="AB30" s="1350">
        <f t="shared" si="4"/>
        <v>1</v>
      </c>
      <c r="AC30" s="1350">
        <f t="shared" si="5"/>
        <v>1</v>
      </c>
    </row>
    <row r="31" spans="1:29" s="108" customFormat="1" ht="15">
      <c r="A31" s="603"/>
      <c r="B31" s="599" t="s">
        <v>1839</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665"/>
      <c r="Q31" s="1340" t="str">
        <f t="shared" si="11"/>
        <v>停车位面积</v>
      </c>
      <c r="R31" s="698" t="s">
        <v>14</v>
      </c>
      <c r="S31" s="699">
        <f t="shared" si="12"/>
        <v>100</v>
      </c>
      <c r="T31" s="698" t="s">
        <v>14</v>
      </c>
      <c r="U31" s="699">
        <f t="shared" si="13"/>
        <v>100</v>
      </c>
      <c r="V31" s="698" t="s">
        <v>14</v>
      </c>
      <c r="W31" s="699">
        <f t="shared" si="14"/>
        <v>100</v>
      </c>
      <c r="X31" s="700"/>
      <c r="Y31" s="3665"/>
      <c r="Z31" s="52" t="str">
        <f t="shared" si="15"/>
        <v>停车位面积</v>
      </c>
      <c r="AA31" s="701">
        <f t="shared" si="3"/>
        <v>1</v>
      </c>
      <c r="AB31" s="701">
        <f t="shared" si="4"/>
        <v>1</v>
      </c>
      <c r="AC31" s="701">
        <f t="shared" si="5"/>
        <v>1</v>
      </c>
    </row>
    <row r="32" spans="1:29" ht="15">
      <c r="A32" s="601"/>
      <c r="B32" s="599" t="s">
        <v>1840</v>
      </c>
      <c r="C32" s="411" t="s">
        <v>3533</v>
      </c>
      <c r="D32" s="386">
        <v>100</v>
      </c>
      <c r="E32" s="411" t="s">
        <v>3533</v>
      </c>
      <c r="F32" s="412">
        <f>SUMIF(93:93,E32,94:94)-SUMIF(93:93,C32,94:94)+100</f>
        <v>100</v>
      </c>
      <c r="G32" s="411" t="s">
        <v>3533</v>
      </c>
      <c r="H32" s="386">
        <f>SUMIF(93:93,G32,94:94)-SUMIF(93:93,C32,94:94)+100</f>
        <v>100</v>
      </c>
      <c r="I32" s="411" t="s">
        <v>3533</v>
      </c>
      <c r="J32" s="386">
        <f>SUMIF(93:93,I32,94:94)-SUMIF(93:93,C32,94:94)+100</f>
        <v>100</v>
      </c>
      <c r="K32" s="559">
        <v>5</v>
      </c>
      <c r="L32" s="2713"/>
      <c r="M32" s="2707"/>
      <c r="N32" s="2707"/>
      <c r="O32" s="2707"/>
      <c r="P32" s="3665" t="s">
        <v>1694</v>
      </c>
      <c r="Q32" s="1349" t="str">
        <f t="shared" si="11"/>
        <v>车位类型</v>
      </c>
      <c r="R32" s="702" t="s">
        <v>14</v>
      </c>
      <c r="S32" s="703">
        <f t="shared" si="12"/>
        <v>100</v>
      </c>
      <c r="T32" s="702" t="s">
        <v>14</v>
      </c>
      <c r="U32" s="703">
        <f t="shared" si="13"/>
        <v>100</v>
      </c>
      <c r="V32" s="702" t="s">
        <v>14</v>
      </c>
      <c r="W32" s="703">
        <f t="shared" si="14"/>
        <v>100</v>
      </c>
      <c r="X32" s="1352"/>
      <c r="Y32" s="3665" t="s">
        <v>1694</v>
      </c>
      <c r="Z32" s="1353" t="str">
        <f t="shared" si="15"/>
        <v>车位类型</v>
      </c>
      <c r="AA32" s="1350">
        <f t="shared" si="3"/>
        <v>1</v>
      </c>
      <c r="AB32" s="1350">
        <f t="shared" si="4"/>
        <v>1</v>
      </c>
      <c r="AC32" s="1350">
        <f t="shared" si="5"/>
        <v>1</v>
      </c>
    </row>
    <row r="33" spans="1:29" ht="15.75" thickBot="1">
      <c r="A33" s="601"/>
      <c r="B33" s="599" t="s">
        <v>1841</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3"/>
      <c r="M33" s="2707"/>
      <c r="N33" s="2707"/>
      <c r="O33" s="2707"/>
      <c r="P33" s="3665"/>
      <c r="Q33" s="1349" t="str">
        <f t="shared" si="11"/>
        <v>是否直接入户</v>
      </c>
      <c r="R33" s="702" t="s">
        <v>14</v>
      </c>
      <c r="S33" s="703">
        <f t="shared" si="12"/>
        <v>100</v>
      </c>
      <c r="T33" s="702" t="s">
        <v>14</v>
      </c>
      <c r="U33" s="703">
        <f t="shared" si="13"/>
        <v>100</v>
      </c>
      <c r="V33" s="702" t="s">
        <v>14</v>
      </c>
      <c r="W33" s="703">
        <f t="shared" si="14"/>
        <v>100</v>
      </c>
      <c r="X33" s="1352"/>
      <c r="Y33" s="3665"/>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65"/>
      <c r="Q34" s="1349">
        <f t="shared" si="11"/>
        <v>111</v>
      </c>
      <c r="R34" s="702" t="s">
        <v>14</v>
      </c>
      <c r="S34" s="703">
        <f t="shared" si="12"/>
        <v>100</v>
      </c>
      <c r="T34" s="702" t="s">
        <v>14</v>
      </c>
      <c r="U34" s="703">
        <f t="shared" si="13"/>
        <v>100</v>
      </c>
      <c r="V34" s="702" t="s">
        <v>14</v>
      </c>
      <c r="W34" s="703">
        <f t="shared" si="14"/>
        <v>100</v>
      </c>
      <c r="X34" s="1352"/>
      <c r="Y34" s="3665"/>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65"/>
      <c r="Q35" s="704">
        <f t="shared" si="11"/>
        <v>111</v>
      </c>
      <c r="R35" s="705" t="s">
        <v>14</v>
      </c>
      <c r="S35" s="706">
        <f t="shared" si="12"/>
        <v>100</v>
      </c>
      <c r="T35" s="705" t="s">
        <v>14</v>
      </c>
      <c r="U35" s="706">
        <f t="shared" si="13"/>
        <v>100</v>
      </c>
      <c r="V35" s="705" t="s">
        <v>14</v>
      </c>
      <c r="W35" s="706">
        <f t="shared" si="14"/>
        <v>100</v>
      </c>
      <c r="X35" s="707"/>
      <c r="Y35" s="3665"/>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65"/>
      <c r="Q36" s="1349">
        <f t="shared" si="11"/>
        <v>111</v>
      </c>
      <c r="R36" s="702" t="s">
        <v>14</v>
      </c>
      <c r="S36" s="703">
        <f t="shared" si="12"/>
        <v>100</v>
      </c>
      <c r="T36" s="702" t="s">
        <v>14</v>
      </c>
      <c r="U36" s="703">
        <f t="shared" si="13"/>
        <v>100</v>
      </c>
      <c r="V36" s="702" t="s">
        <v>14</v>
      </c>
      <c r="W36" s="703">
        <f t="shared" si="14"/>
        <v>100</v>
      </c>
      <c r="X36" s="1352"/>
      <c r="Y36" s="3665"/>
      <c r="Z36" s="1353">
        <f t="shared" si="15"/>
        <v>111</v>
      </c>
      <c r="AA36" s="1350">
        <f t="shared" si="3"/>
        <v>1</v>
      </c>
      <c r="AB36" s="1350">
        <f t="shared" si="4"/>
        <v>1</v>
      </c>
      <c r="AC36" s="1350">
        <f t="shared" si="5"/>
        <v>1</v>
      </c>
    </row>
    <row r="37" spans="1:29" ht="15">
      <c r="A37" s="428" t="s">
        <v>1842</v>
      </c>
      <c r="B37" s="1969" t="s">
        <v>3539</v>
      </c>
      <c r="C37" s="1151" t="s">
        <v>0</v>
      </c>
      <c r="D37" s="1152"/>
      <c r="E37" s="1153"/>
      <c r="F37" s="1154"/>
      <c r="G37" s="1155"/>
      <c r="H37" s="1156"/>
      <c r="I37" s="1153"/>
      <c r="J37" s="1156"/>
      <c r="K37" s="565"/>
      <c r="L37" s="2715"/>
      <c r="M37" s="2716"/>
      <c r="N37" s="2707"/>
      <c r="O37" s="2716"/>
      <c r="P37" s="3657" t="str">
        <f>A37</f>
        <v>成交单价</v>
      </c>
      <c r="Q37" s="3657"/>
      <c r="R37" s="3746">
        <f>E37</f>
        <v>0</v>
      </c>
      <c r="S37" s="3746"/>
      <c r="T37" s="3746">
        <f>G37</f>
        <v>0</v>
      </c>
      <c r="U37" s="3746"/>
      <c r="V37" s="3746">
        <f>I37</f>
        <v>0</v>
      </c>
      <c r="W37" s="3746"/>
      <c r="X37" s="687"/>
      <c r="Y37" s="709"/>
      <c r="Z37" s="687"/>
      <c r="AA37" s="687"/>
      <c r="AB37" s="687"/>
      <c r="AC37" s="687"/>
    </row>
    <row r="38" spans="1:29" ht="15.75" thickBot="1">
      <c r="A38" s="435" t="s">
        <v>1843</v>
      </c>
      <c r="B38" s="436" t="str">
        <f>B37</f>
        <v>元/车位</v>
      </c>
      <c r="C38" s="1157">
        <f>R39</f>
        <v>0</v>
      </c>
      <c r="D38" s="2313" t="s">
        <v>2135</v>
      </c>
      <c r="E38" s="1158">
        <f>R38</f>
        <v>0</v>
      </c>
      <c r="F38" s="2314"/>
      <c r="G38" s="1157">
        <f>T38</f>
        <v>0</v>
      </c>
      <c r="H38" s="2314"/>
      <c r="I38" s="1158">
        <f>V38</f>
        <v>0</v>
      </c>
      <c r="J38" s="2314"/>
      <c r="K38" s="2316">
        <f>F38+H38+J38</f>
        <v>0</v>
      </c>
      <c r="L38" s="2715"/>
      <c r="M38" s="2716"/>
      <c r="N38" s="2716"/>
      <c r="O38" s="2716"/>
      <c r="P38" s="3657" t="str">
        <f>A38</f>
        <v>比较价值（元/平方米）</v>
      </c>
      <c r="Q38" s="3657"/>
      <c r="R38" s="3746">
        <f>IF(F1="售价",ROUND(PRODUCT(R37,AA7:AA36),0),ROUND(PRODUCT(R37,AA7:AA36),1))</f>
        <v>0</v>
      </c>
      <c r="S38" s="3746"/>
      <c r="T38" s="3746">
        <f>IF(F1="售价",ROUND(PRODUCT(T37,AB7:AB36),0),ROUND(PRODUCT(T37,AB7:AB36),1))</f>
        <v>0</v>
      </c>
      <c r="U38" s="3746"/>
      <c r="V38" s="3746">
        <f>IF(F1="售价",ROUND(PRODUCT(V37,AC7:AC36),0),ROUND(PRODUCT(V37,AC7:AC36),1))</f>
        <v>0</v>
      </c>
      <c r="W38" s="3746"/>
      <c r="X38" s="687"/>
      <c r="Y38" s="687"/>
      <c r="Z38" s="687"/>
      <c r="AA38" s="687"/>
      <c r="AB38" s="687"/>
      <c r="AC38" s="687"/>
    </row>
    <row r="39" spans="1:29" ht="15.75" thickBot="1">
      <c r="A39" s="439" t="s">
        <v>1844</v>
      </c>
      <c r="B39" s="440"/>
      <c r="C39" s="1160">
        <f>R39</f>
        <v>0</v>
      </c>
      <c r="D39" s="1160"/>
      <c r="E39" s="1160"/>
      <c r="F39" s="1160"/>
      <c r="G39" s="1160"/>
      <c r="H39" s="1160"/>
      <c r="I39" s="1160"/>
      <c r="J39" s="1160"/>
      <c r="K39" s="566"/>
      <c r="L39" s="2715"/>
      <c r="M39" s="2716"/>
      <c r="N39" s="2716"/>
      <c r="O39" s="2716"/>
      <c r="P39" s="3654" t="str">
        <f>A39</f>
        <v>估价对象XX用房的比较价值（楼面单价，元/平方米）</v>
      </c>
      <c r="Q39" s="3655"/>
      <c r="R39" s="3768">
        <f>IF(F1="售价",ROUND(IF(D38="简单平均",AVERAGE(R38:W38),R38*F38+T38*H38+V38*J38),0),ROUND(IF(D38="简单平均",AVERAGE(R38:V38),R38*F38+T38*H38+V38*J38),1))</f>
        <v>0</v>
      </c>
      <c r="S39" s="3768"/>
      <c r="T39" s="3768"/>
      <c r="U39" s="3768"/>
      <c r="V39" s="3768"/>
      <c r="W39" s="3768"/>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1845</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1846</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1847</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1848</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1849</v>
      </c>
      <c r="B48" s="453"/>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1714</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1679</v>
      </c>
      <c r="B51" s="457"/>
      <c r="C51" s="469" t="s">
        <v>1774</v>
      </c>
      <c r="D51" s="3449" t="s">
        <v>3528</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1717</v>
      </c>
      <c r="B53" s="475" t="s">
        <v>1683</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1686</v>
      </c>
      <c r="C55" s="530" t="s">
        <v>3512</v>
      </c>
      <c r="D55" s="530" t="s">
        <v>3513</v>
      </c>
      <c r="E55" s="530" t="s">
        <v>3514</v>
      </c>
      <c r="F55" s="3450" t="s">
        <v>3516</v>
      </c>
      <c r="G55" s="530" t="s">
        <v>3515</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1725</v>
      </c>
      <c r="C65" s="525" t="s">
        <v>1719</v>
      </c>
      <c r="D65" s="525" t="s">
        <v>1720</v>
      </c>
      <c r="E65" s="525" t="s">
        <v>1721</v>
      </c>
      <c r="F65" s="525" t="s">
        <v>1722</v>
      </c>
      <c r="G65" s="525" t="s">
        <v>1723</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1811</v>
      </c>
      <c r="C67" s="605" t="s">
        <v>1797</v>
      </c>
      <c r="D67" s="605" t="s">
        <v>1798</v>
      </c>
      <c r="E67" s="605" t="s">
        <v>1799</v>
      </c>
      <c r="F67" s="605" t="s">
        <v>1800</v>
      </c>
      <c r="G67" s="605" t="s">
        <v>1801</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1731</v>
      </c>
      <c r="C69" s="525" t="s">
        <v>1719</v>
      </c>
      <c r="D69" s="525" t="s">
        <v>1720</v>
      </c>
      <c r="E69" s="525" t="s">
        <v>1721</v>
      </c>
      <c r="F69" s="525" t="s">
        <v>1722</v>
      </c>
      <c r="G69" s="525" t="s">
        <v>1723</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1850</v>
      </c>
      <c r="C71" s="3451" t="s">
        <v>3530</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1692</v>
      </c>
      <c r="B79" s="475" t="s">
        <v>1851</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1852</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1738</v>
      </c>
      <c r="C83" s="3451" t="s">
        <v>3443</v>
      </c>
      <c r="D83" s="3451" t="s">
        <v>3445</v>
      </c>
      <c r="E83" s="3451" t="s">
        <v>3446</v>
      </c>
      <c r="F83" s="3454" t="s">
        <v>3447</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1854</v>
      </c>
      <c r="C88" s="3453" t="s">
        <v>3531</v>
      </c>
      <c r="D88" s="3453" t="s">
        <v>3532</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1855</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1856</v>
      </c>
      <c r="C93" s="3451" t="s">
        <v>3534</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1857</v>
      </c>
      <c r="C95" s="3453" t="s">
        <v>3535</v>
      </c>
      <c r="D95" s="3453" t="s">
        <v>3536</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3323</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1462</v>
      </c>
      <c r="B3" s="556" t="e">
        <f>IF(C2="——",C37,ROUND(B2*10000/D3,0))</f>
        <v>#DIV/0!</v>
      </c>
      <c r="C3" s="354" t="s">
        <v>1766</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1767</v>
      </c>
      <c r="B4" s="356"/>
      <c r="C4" s="3669" t="s">
        <v>1768</v>
      </c>
      <c r="D4" s="3670"/>
      <c r="E4" s="3671" t="s">
        <v>1769</v>
      </c>
      <c r="F4" s="3672"/>
      <c r="G4" s="3669" t="s">
        <v>1770</v>
      </c>
      <c r="H4" s="3670"/>
      <c r="I4" s="3669" t="s">
        <v>1771</v>
      </c>
      <c r="J4" s="3670"/>
      <c r="K4" s="557" t="s">
        <v>1772</v>
      </c>
      <c r="L4" s="2706"/>
      <c r="M4" s="2707"/>
      <c r="N4" s="2707"/>
      <c r="O4" s="2707"/>
      <c r="P4" s="3673" t="s">
        <v>1773</v>
      </c>
      <c r="Q4" s="3674"/>
      <c r="R4" s="3683" t="s">
        <v>1769</v>
      </c>
      <c r="S4" s="3684"/>
      <c r="T4" s="3683" t="s">
        <v>1770</v>
      </c>
      <c r="U4" s="3684"/>
      <c r="V4" s="3661" t="s">
        <v>1771</v>
      </c>
      <c r="W4" s="3661"/>
      <c r="X4" s="1352"/>
      <c r="Y4" s="3683" t="s">
        <v>1773</v>
      </c>
      <c r="Z4" s="3684"/>
      <c r="AA4" s="3666" t="s">
        <v>1769</v>
      </c>
      <c r="AB4" s="3667" t="s">
        <v>1770</v>
      </c>
      <c r="AC4" s="3666" t="s">
        <v>1771</v>
      </c>
    </row>
    <row r="5" spans="1:29" ht="15">
      <c r="A5" s="358"/>
      <c r="B5" s="359"/>
      <c r="C5" s="3687" t="s">
        <v>1671</v>
      </c>
      <c r="D5" s="3688"/>
      <c r="E5" s="3679" t="s">
        <v>1672</v>
      </c>
      <c r="F5" s="3680"/>
      <c r="G5" s="3687" t="s">
        <v>1673</v>
      </c>
      <c r="H5" s="3688"/>
      <c r="I5" s="3687" t="s">
        <v>1674</v>
      </c>
      <c r="J5" s="3688"/>
      <c r="K5" s="557"/>
      <c r="L5" s="2706"/>
      <c r="M5" s="2707"/>
      <c r="N5" s="2707"/>
      <c r="O5" s="2707"/>
      <c r="P5" s="3675"/>
      <c r="Q5" s="3676"/>
      <c r="R5" s="3685"/>
      <c r="S5" s="3686"/>
      <c r="T5" s="3685"/>
      <c r="U5" s="3686"/>
      <c r="V5" s="3661"/>
      <c r="W5" s="3661"/>
      <c r="X5" s="1352"/>
      <c r="Y5" s="3685"/>
      <c r="Z5" s="3686"/>
      <c r="AA5" s="3667"/>
      <c r="AB5" s="3667"/>
      <c r="AC5" s="3667"/>
    </row>
    <row r="6" spans="1:29" ht="15.75" thickBot="1">
      <c r="A6" s="360"/>
      <c r="B6" s="361"/>
      <c r="C6" s="3741" t="s">
        <v>1675</v>
      </c>
      <c r="D6" s="3742"/>
      <c r="E6" s="3743" t="s">
        <v>1675</v>
      </c>
      <c r="F6" s="3744"/>
      <c r="G6" s="3741" t="s">
        <v>1675</v>
      </c>
      <c r="H6" s="3742"/>
      <c r="I6" s="3741" t="s">
        <v>1675</v>
      </c>
      <c r="J6" s="3742"/>
      <c r="K6" s="557" t="s">
        <v>1676</v>
      </c>
      <c r="L6" s="2706"/>
      <c r="M6" s="2707"/>
      <c r="N6" s="2707"/>
      <c r="O6" s="2707"/>
      <c r="P6" s="3677"/>
      <c r="Q6" s="3678"/>
      <c r="R6" s="3685"/>
      <c r="S6" s="3686"/>
      <c r="T6" s="3694"/>
      <c r="U6" s="3695"/>
      <c r="V6" s="3661"/>
      <c r="W6" s="3661"/>
      <c r="X6" s="1352"/>
      <c r="Y6" s="3694"/>
      <c r="Z6" s="3695"/>
      <c r="AA6" s="3668"/>
      <c r="AB6" s="3668"/>
      <c r="AC6" s="3668"/>
    </row>
    <row r="7" spans="1:29" s="108" customFormat="1" ht="15.75" thickBot="1">
      <c r="A7" s="362" t="s">
        <v>1677</v>
      </c>
      <c r="B7" s="363"/>
      <c r="C7" s="364">
        <f>'数据-取费表'!B2</f>
        <v>45072</v>
      </c>
      <c r="D7" s="365">
        <v>100</v>
      </c>
      <c r="E7" s="366">
        <f>C7</f>
        <v>45072</v>
      </c>
      <c r="F7" s="367">
        <f>SUMIF(46:46,YEAR(E7)&amp;"-"&amp;MONTH(E7),47:47)</f>
        <v>100</v>
      </c>
      <c r="G7" s="1970">
        <f>C7</f>
        <v>45072</v>
      </c>
      <c r="H7" s="365">
        <f>SUMIF(46:46,YEAR(G7)&amp;"-"&amp;MONTH(G7),47:47)</f>
        <v>100</v>
      </c>
      <c r="I7" s="366">
        <f>C7</f>
        <v>45072</v>
      </c>
      <c r="J7" s="365">
        <f>SUMIF(46:46,YEAR(I7)&amp;"-"&amp;MONTH(I7),47:47)</f>
        <v>100</v>
      </c>
      <c r="K7" s="558"/>
      <c r="L7" s="2708"/>
      <c r="M7" s="2709"/>
      <c r="N7" s="2709"/>
      <c r="O7" s="2709"/>
      <c r="P7" s="3659" t="s">
        <v>1678</v>
      </c>
      <c r="Q7" s="3691"/>
      <c r="R7" s="698" t="s">
        <v>14</v>
      </c>
      <c r="S7" s="699">
        <f t="shared" ref="S7:S14" si="0">F7</f>
        <v>100</v>
      </c>
      <c r="T7" s="698" t="s">
        <v>14</v>
      </c>
      <c r="U7" s="699">
        <f t="shared" ref="U7:U14" si="1">H7</f>
        <v>100</v>
      </c>
      <c r="V7" s="698" t="s">
        <v>14</v>
      </c>
      <c r="W7" s="699">
        <f t="shared" ref="W7:W14" si="2">J7</f>
        <v>100</v>
      </c>
      <c r="X7" s="700"/>
      <c r="Y7" s="3659" t="s">
        <v>1678</v>
      </c>
      <c r="Z7" s="3660"/>
      <c r="AA7" s="701">
        <f>D7/F7</f>
        <v>1</v>
      </c>
      <c r="AB7" s="701">
        <f>D7/H7</f>
        <v>1</v>
      </c>
      <c r="AC7" s="701">
        <f>D7/J7</f>
        <v>1</v>
      </c>
    </row>
    <row r="8" spans="1:29" s="108" customFormat="1" ht="15.75" thickBot="1">
      <c r="A8" s="362" t="s">
        <v>1679</v>
      </c>
      <c r="B8" s="363"/>
      <c r="C8" s="368" t="s">
        <v>3396</v>
      </c>
      <c r="D8" s="365">
        <v>100</v>
      </c>
      <c r="E8" s="368" t="s">
        <v>3408</v>
      </c>
      <c r="F8" s="367">
        <f>SUMIF(49:49,E8,50:50)-SUMIF(49:49,C8,50:50)+100</f>
        <v>102</v>
      </c>
      <c r="G8" s="368" t="s">
        <v>3408</v>
      </c>
      <c r="H8" s="365">
        <f>SUMIF(49:49,G8,50:50)-SUMIF(49:49,C8,50:50)+100</f>
        <v>102</v>
      </c>
      <c r="I8" s="368" t="s">
        <v>3408</v>
      </c>
      <c r="J8" s="365">
        <f>SUMIF(49:49,I8,50:50)-SUMIF(49:49,C8,50:50)+100</f>
        <v>102</v>
      </c>
      <c r="K8" s="558"/>
      <c r="L8" s="2708"/>
      <c r="M8" s="2709"/>
      <c r="N8" s="2709"/>
      <c r="O8" s="2709"/>
      <c r="P8" s="3659" t="s">
        <v>1681</v>
      </c>
      <c r="Q8" s="3660"/>
      <c r="R8" s="698" t="s">
        <v>14</v>
      </c>
      <c r="S8" s="699">
        <f t="shared" si="0"/>
        <v>102</v>
      </c>
      <c r="T8" s="698" t="s">
        <v>14</v>
      </c>
      <c r="U8" s="699">
        <f t="shared" si="1"/>
        <v>102</v>
      </c>
      <c r="V8" s="698" t="s">
        <v>14</v>
      </c>
      <c r="W8" s="699">
        <f t="shared" si="2"/>
        <v>102</v>
      </c>
      <c r="X8" s="700"/>
      <c r="Y8" s="3659" t="s">
        <v>1681</v>
      </c>
      <c r="Z8" s="3660"/>
      <c r="AA8" s="701">
        <f t="shared" ref="AA8:AA34" si="3">D8/F8</f>
        <v>0.98039215686274506</v>
      </c>
      <c r="AB8" s="701">
        <f t="shared" ref="AB8:AB34" si="4">D8/H8</f>
        <v>0.98039215686274506</v>
      </c>
      <c r="AC8" s="701">
        <f t="shared" ref="AC8:AC34" si="5">D8/J8</f>
        <v>0.98039215686274506</v>
      </c>
    </row>
    <row r="9" spans="1:29" s="108" customFormat="1">
      <c r="A9" s="369" t="s">
        <v>1682</v>
      </c>
      <c r="B9" s="63" t="s">
        <v>1683</v>
      </c>
      <c r="C9" s="3456" t="s">
        <v>3545</v>
      </c>
      <c r="D9" s="126">
        <v>100</v>
      </c>
      <c r="E9" s="373" t="s">
        <v>3323</v>
      </c>
      <c r="F9" s="372">
        <f>SUMIF(51:51,E9,52:52)-SUMIF(51:51,C9,52:52)+100</f>
        <v>100</v>
      </c>
      <c r="G9" s="373" t="s">
        <v>3323</v>
      </c>
      <c r="H9" s="126">
        <f>SUMIF(51:51,G9,52:52)-SUMIF(51:51,C9,52:52)+100</f>
        <v>100</v>
      </c>
      <c r="I9" s="373" t="s">
        <v>3323</v>
      </c>
      <c r="J9" s="126">
        <f>SUMIF(51:51,I9,52:52)-SUMIF(51:51,C9,52:52)+100</f>
        <v>100</v>
      </c>
      <c r="K9" s="558"/>
      <c r="L9" s="2708"/>
      <c r="M9" s="2709"/>
      <c r="N9" s="2709"/>
      <c r="O9" s="2763"/>
      <c r="P9" s="3657" t="s">
        <v>1684</v>
      </c>
      <c r="Q9" s="1340" t="str">
        <f t="shared" ref="Q9:Q14" si="6">B9</f>
        <v>用途</v>
      </c>
      <c r="R9" s="698" t="s">
        <v>14</v>
      </c>
      <c r="S9" s="699">
        <f t="shared" si="0"/>
        <v>100</v>
      </c>
      <c r="T9" s="698" t="s">
        <v>14</v>
      </c>
      <c r="U9" s="699">
        <f t="shared" si="1"/>
        <v>100</v>
      </c>
      <c r="V9" s="698" t="s">
        <v>14</v>
      </c>
      <c r="W9" s="699">
        <f t="shared" si="2"/>
        <v>100</v>
      </c>
      <c r="X9" s="700"/>
      <c r="Y9" s="3627" t="s">
        <v>1685</v>
      </c>
      <c r="Z9" s="52" t="str">
        <f t="shared" ref="Z9:Z14" si="7">Q9</f>
        <v>用途</v>
      </c>
      <c r="AA9" s="701">
        <f t="shared" si="3"/>
        <v>1</v>
      </c>
      <c r="AB9" s="701">
        <f t="shared" si="4"/>
        <v>1</v>
      </c>
      <c r="AC9" s="701">
        <f t="shared" si="5"/>
        <v>1</v>
      </c>
    </row>
    <row r="10" spans="1:29" s="378" customFormat="1" ht="27.75" thickBot="1">
      <c r="A10" s="374"/>
      <c r="B10" s="375" t="s">
        <v>1686</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57"/>
      <c r="Q10" s="1340" t="str">
        <f t="shared" si="6"/>
        <v>土地使用年限（年）</v>
      </c>
      <c r="R10" s="698" t="s">
        <v>14</v>
      </c>
      <c r="S10" s="699">
        <f t="shared" si="0"/>
        <v>100</v>
      </c>
      <c r="T10" s="698" t="s">
        <v>14</v>
      </c>
      <c r="U10" s="699">
        <f t="shared" si="1"/>
        <v>100</v>
      </c>
      <c r="V10" s="698" t="s">
        <v>14</v>
      </c>
      <c r="W10" s="699">
        <f t="shared" si="2"/>
        <v>100</v>
      </c>
      <c r="X10" s="700"/>
      <c r="Y10" s="3627"/>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57"/>
      <c r="Q11" s="1340">
        <f t="shared" si="6"/>
        <v>111</v>
      </c>
      <c r="R11" s="698" t="s">
        <v>14</v>
      </c>
      <c r="S11" s="699">
        <f t="shared" si="0"/>
        <v>100</v>
      </c>
      <c r="T11" s="698" t="s">
        <v>14</v>
      </c>
      <c r="U11" s="699">
        <f t="shared" si="1"/>
        <v>100</v>
      </c>
      <c r="V11" s="698" t="s">
        <v>14</v>
      </c>
      <c r="W11" s="699">
        <f t="shared" si="2"/>
        <v>100</v>
      </c>
      <c r="X11" s="700"/>
      <c r="Y11" s="3627"/>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57"/>
      <c r="Q12" s="1340">
        <f t="shared" si="6"/>
        <v>111</v>
      </c>
      <c r="R12" s="698" t="s">
        <v>14</v>
      </c>
      <c r="S12" s="699">
        <f t="shared" si="0"/>
        <v>100</v>
      </c>
      <c r="T12" s="698" t="s">
        <v>14</v>
      </c>
      <c r="U12" s="699">
        <f t="shared" si="1"/>
        <v>100</v>
      </c>
      <c r="V12" s="698" t="s">
        <v>14</v>
      </c>
      <c r="W12" s="699">
        <f t="shared" si="2"/>
        <v>100</v>
      </c>
      <c r="X12" s="700"/>
      <c r="Y12" s="3627"/>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657"/>
      <c r="Q13" s="1340">
        <f t="shared" si="6"/>
        <v>111</v>
      </c>
      <c r="R13" s="698" t="s">
        <v>14</v>
      </c>
      <c r="S13" s="699">
        <f t="shared" si="0"/>
        <v>100</v>
      </c>
      <c r="T13" s="698" t="s">
        <v>14</v>
      </c>
      <c r="U13" s="699">
        <f t="shared" si="1"/>
        <v>100</v>
      </c>
      <c r="V13" s="698" t="s">
        <v>14</v>
      </c>
      <c r="W13" s="699">
        <f t="shared" si="2"/>
        <v>100</v>
      </c>
      <c r="X13" s="700"/>
      <c r="Y13" s="3627"/>
      <c r="Z13" s="52">
        <f t="shared" si="7"/>
        <v>111</v>
      </c>
      <c r="AA13" s="701">
        <f t="shared" si="3"/>
        <v>1</v>
      </c>
      <c r="AB13" s="701">
        <f t="shared" si="4"/>
        <v>1</v>
      </c>
      <c r="AC13" s="701">
        <f t="shared" si="5"/>
        <v>1</v>
      </c>
    </row>
    <row r="14" spans="1:29" ht="15">
      <c r="A14" s="391" t="s">
        <v>1688</v>
      </c>
      <c r="B14" s="61" t="s">
        <v>1831</v>
      </c>
      <c r="C14" s="1967" t="str">
        <f>IF(B1="工业",估价对象房地状况!G4,估价对象房地状况!C6)</f>
        <v>较好</v>
      </c>
      <c r="D14" s="392">
        <v>100</v>
      </c>
      <c r="E14" s="393" t="s">
        <v>3383</v>
      </c>
      <c r="F14" s="394">
        <f>SUMIF(61:61,E15,62:62)-SUMIF(61:61,C15,62:62)+100</f>
        <v>100</v>
      </c>
      <c r="G14" s="393" t="s">
        <v>3383</v>
      </c>
      <c r="H14" s="392">
        <f>SUMIF(61:61,G15,62:62)-SUMIF(61:61,C15,62:62)+100</f>
        <v>100</v>
      </c>
      <c r="I14" s="393" t="s">
        <v>3383</v>
      </c>
      <c r="J14" s="392">
        <f>SUMIF(61:61,I15,62:62)-SUMIF(61:61,C15,62:62)+100</f>
        <v>100</v>
      </c>
      <c r="K14" s="561">
        <v>2</v>
      </c>
      <c r="L14" s="2713"/>
      <c r="M14" s="2707"/>
      <c r="N14" s="2707"/>
      <c r="O14" s="2765"/>
      <c r="P14" s="3662" t="s">
        <v>1689</v>
      </c>
      <c r="Q14" s="1349" t="str">
        <f t="shared" si="6"/>
        <v>交通便捷度</v>
      </c>
      <c r="R14" s="702" t="s">
        <v>14</v>
      </c>
      <c r="S14" s="703">
        <f t="shared" si="0"/>
        <v>100</v>
      </c>
      <c r="T14" s="702" t="s">
        <v>14</v>
      </c>
      <c r="U14" s="703">
        <f t="shared" si="1"/>
        <v>100</v>
      </c>
      <c r="V14" s="702" t="s">
        <v>14</v>
      </c>
      <c r="W14" s="703">
        <f t="shared" si="2"/>
        <v>100</v>
      </c>
      <c r="X14" s="1352"/>
      <c r="Y14" s="3662" t="s">
        <v>1689</v>
      </c>
      <c r="Z14" s="1353" t="str">
        <f t="shared" si="7"/>
        <v>交通便捷度</v>
      </c>
      <c r="AA14" s="1350">
        <f t="shared" si="3"/>
        <v>1</v>
      </c>
      <c r="AB14" s="1350">
        <f t="shared" si="4"/>
        <v>1</v>
      </c>
      <c r="AC14" s="1350">
        <f t="shared" si="5"/>
        <v>1</v>
      </c>
    </row>
    <row r="15" spans="1:29" ht="15">
      <c r="A15" s="379"/>
      <c r="B15" s="397"/>
      <c r="C15" s="398" t="s">
        <v>3383</v>
      </c>
      <c r="D15" s="399"/>
      <c r="E15" s="398" t="s">
        <v>3383</v>
      </c>
      <c r="F15" s="400"/>
      <c r="G15" s="398" t="s">
        <v>3383</v>
      </c>
      <c r="H15" s="401"/>
      <c r="I15" s="398" t="s">
        <v>3383</v>
      </c>
      <c r="J15" s="399"/>
      <c r="K15" s="562"/>
      <c r="L15" s="2713"/>
      <c r="M15" s="2707"/>
      <c r="N15" s="2707"/>
      <c r="O15" s="2765"/>
      <c r="P15" s="3663"/>
      <c r="Q15" s="1349"/>
      <c r="R15" s="702"/>
      <c r="S15" s="703"/>
      <c r="T15" s="702"/>
      <c r="U15" s="703"/>
      <c r="V15" s="702"/>
      <c r="W15" s="703"/>
      <c r="X15" s="1352"/>
      <c r="Y15" s="3663"/>
      <c r="Z15" s="1353"/>
      <c r="AA15" s="1350">
        <v>1</v>
      </c>
      <c r="AB15" s="1350">
        <v>1</v>
      </c>
      <c r="AC15" s="1350">
        <v>1</v>
      </c>
    </row>
    <row r="16" spans="1:29" ht="15">
      <c r="A16" s="379"/>
      <c r="B16" s="402" t="s">
        <v>1810</v>
      </c>
      <c r="C16" s="1897" t="str">
        <f>IF(B1="工业",估价对象房地状况!G5,估价对象房地状况!C7)</f>
        <v>较好</v>
      </c>
      <c r="D16" s="406">
        <v>100</v>
      </c>
      <c r="E16" s="408" t="s">
        <v>3383</v>
      </c>
      <c r="F16" s="409">
        <f>SUMIF(63:63,E17,64:64)-SUMIF(63:63,C17,64:64)+100</f>
        <v>100</v>
      </c>
      <c r="G16" s="408" t="s">
        <v>3383</v>
      </c>
      <c r="H16" s="406">
        <f>SUMIF(63:63,G17,64:64)-SUMIF(63:63,C17,64:64)+100</f>
        <v>100</v>
      </c>
      <c r="I16" s="408" t="s">
        <v>3383</v>
      </c>
      <c r="J16" s="406">
        <f>SUMIF(63:63,I17,64:64)-SUMIF(63:63,C17,64:64)+100</f>
        <v>100</v>
      </c>
      <c r="K16" s="561">
        <v>2</v>
      </c>
      <c r="L16" s="2713"/>
      <c r="M16" s="2707"/>
      <c r="N16" s="2707"/>
      <c r="O16" s="2765"/>
      <c r="P16" s="3663"/>
      <c r="Q16" s="1349" t="str">
        <f>B16</f>
        <v>公共配套设施</v>
      </c>
      <c r="R16" s="702" t="s">
        <v>14</v>
      </c>
      <c r="S16" s="703">
        <f>F16</f>
        <v>100</v>
      </c>
      <c r="T16" s="702" t="s">
        <v>14</v>
      </c>
      <c r="U16" s="703">
        <f>H16</f>
        <v>100</v>
      </c>
      <c r="V16" s="702" t="s">
        <v>14</v>
      </c>
      <c r="W16" s="703">
        <f>J16</f>
        <v>100</v>
      </c>
      <c r="X16" s="1352"/>
      <c r="Y16" s="3663"/>
      <c r="Z16" s="1353" t="str">
        <f>Q16</f>
        <v>公共配套设施</v>
      </c>
      <c r="AA16" s="1350">
        <f t="shared" si="3"/>
        <v>1</v>
      </c>
      <c r="AB16" s="1350">
        <f t="shared" si="4"/>
        <v>1</v>
      </c>
      <c r="AC16" s="1350">
        <f t="shared" si="5"/>
        <v>1</v>
      </c>
    </row>
    <row r="17" spans="1:29" ht="15">
      <c r="A17" s="379"/>
      <c r="B17" s="407"/>
      <c r="C17" s="1898" t="s">
        <v>3383</v>
      </c>
      <c r="D17" s="399"/>
      <c r="E17" s="398" t="s">
        <v>3383</v>
      </c>
      <c r="F17" s="400"/>
      <c r="G17" s="398" t="s">
        <v>3383</v>
      </c>
      <c r="H17" s="399"/>
      <c r="I17" s="398" t="s">
        <v>3383</v>
      </c>
      <c r="J17" s="399"/>
      <c r="K17" s="562"/>
      <c r="L17" s="2713"/>
      <c r="M17" s="2707"/>
      <c r="N17" s="2707"/>
      <c r="O17" s="2765"/>
      <c r="P17" s="3663"/>
      <c r="Q17" s="1349"/>
      <c r="R17" s="702"/>
      <c r="S17" s="703"/>
      <c r="T17" s="702"/>
      <c r="U17" s="703"/>
      <c r="V17" s="702"/>
      <c r="W17" s="703"/>
      <c r="X17" s="1352"/>
      <c r="Y17" s="3663"/>
      <c r="Z17" s="1353"/>
      <c r="AA17" s="1350">
        <v>1</v>
      </c>
      <c r="AB17" s="1350">
        <v>1</v>
      </c>
      <c r="AC17" s="1350">
        <v>1</v>
      </c>
    </row>
    <row r="18" spans="1:29" ht="15">
      <c r="A18" s="379"/>
      <c r="B18" s="1128" t="s">
        <v>1811</v>
      </c>
      <c r="C18" s="1897" t="str">
        <f>IF(B1="工业",估价对象房地状况!G6,估价对象房地状况!C8)</f>
        <v>七通</v>
      </c>
      <c r="D18" s="406">
        <v>100</v>
      </c>
      <c r="E18" s="403" t="s">
        <v>3387</v>
      </c>
      <c r="F18" s="409">
        <f>SUMIF(65:65,E19,66:66)-SUMIF(65:65,C19,66:66)+100</f>
        <v>100</v>
      </c>
      <c r="G18" s="403" t="s">
        <v>3387</v>
      </c>
      <c r="H18" s="406">
        <f>SUMIF(65:65,G19,66:66)-SUMIF(65:65,C19,66:66)+100</f>
        <v>100</v>
      </c>
      <c r="I18" s="403" t="s">
        <v>3387</v>
      </c>
      <c r="J18" s="406">
        <f>SUMIF(65:65,I19,66:66)-SUMIF(65:65,C19,66:66)+100</f>
        <v>100</v>
      </c>
      <c r="K18" s="561">
        <v>1</v>
      </c>
      <c r="L18" s="2713"/>
      <c r="M18" s="2707"/>
      <c r="N18" s="2707"/>
      <c r="O18" s="2765"/>
      <c r="P18" s="3663"/>
      <c r="Q18" s="1349" t="str">
        <f>B18</f>
        <v>基础设施水平</v>
      </c>
      <c r="R18" s="702" t="s">
        <v>14</v>
      </c>
      <c r="S18" s="703">
        <f>F18</f>
        <v>100</v>
      </c>
      <c r="T18" s="702" t="s">
        <v>14</v>
      </c>
      <c r="U18" s="703">
        <f>H18</f>
        <v>100</v>
      </c>
      <c r="V18" s="702" t="s">
        <v>14</v>
      </c>
      <c r="W18" s="703">
        <f>J18</f>
        <v>100</v>
      </c>
      <c r="X18" s="1352"/>
      <c r="Y18" s="3663"/>
      <c r="Z18" s="1353" t="str">
        <f>Q18</f>
        <v>基础设施水平</v>
      </c>
      <c r="AA18" s="1350">
        <f t="shared" ref="AA18" si="8">D18/F18</f>
        <v>1</v>
      </c>
      <c r="AB18" s="1350">
        <f t="shared" ref="AB18" si="9">D18/H18</f>
        <v>1</v>
      </c>
      <c r="AC18" s="1350">
        <f t="shared" ref="AC18" si="10">D18/J18</f>
        <v>1</v>
      </c>
    </row>
    <row r="19" spans="1:29" ht="15">
      <c r="A19" s="379"/>
      <c r="B19" s="1128"/>
      <c r="C19" s="1898" t="s">
        <v>3387</v>
      </c>
      <c r="D19" s="401"/>
      <c r="E19" s="1898" t="s">
        <v>3387</v>
      </c>
      <c r="F19" s="404"/>
      <c r="G19" s="1898" t="s">
        <v>3387</v>
      </c>
      <c r="H19" s="399"/>
      <c r="I19" s="1898" t="s">
        <v>3387</v>
      </c>
      <c r="J19" s="399"/>
      <c r="K19" s="1127"/>
      <c r="L19" s="2713"/>
      <c r="M19" s="2707"/>
      <c r="N19" s="2707"/>
      <c r="O19" s="2765"/>
      <c r="P19" s="3663"/>
      <c r="Q19" s="1349"/>
      <c r="R19" s="702"/>
      <c r="S19" s="703"/>
      <c r="T19" s="702"/>
      <c r="U19" s="703"/>
      <c r="V19" s="702"/>
      <c r="W19" s="703"/>
      <c r="X19" s="1352"/>
      <c r="Y19" s="3663"/>
      <c r="Z19" s="1353"/>
      <c r="AA19" s="1350">
        <v>1</v>
      </c>
      <c r="AB19" s="1350">
        <v>1</v>
      </c>
      <c r="AC19" s="1350">
        <v>1</v>
      </c>
    </row>
    <row r="20" spans="1:29" ht="15">
      <c r="A20" s="379"/>
      <c r="B20" s="402" t="s">
        <v>1832</v>
      </c>
      <c r="C20" s="1897" t="str">
        <f>IF(B1="工业",估价对象房地状况!G7,估价对象房地状况!C9)</f>
        <v>较好</v>
      </c>
      <c r="D20" s="406">
        <v>100</v>
      </c>
      <c r="E20" s="408" t="s">
        <v>3383</v>
      </c>
      <c r="F20" s="409">
        <f>SUMIF(67:67,E21,68:68)-SUMIF(67:67,C21,68:68)+100</f>
        <v>100</v>
      </c>
      <c r="G20" s="408" t="s">
        <v>3383</v>
      </c>
      <c r="H20" s="401">
        <f>SUMIF(67:67,G21,68:68)-SUMIF(67:67,C21,68:68)+100</f>
        <v>100</v>
      </c>
      <c r="I20" s="408" t="s">
        <v>3383</v>
      </c>
      <c r="J20" s="401">
        <f>SUMIF(67:67,I21,68:68)-SUMIF(67:67,C21,68:68)+100</f>
        <v>100</v>
      </c>
      <c r="K20" s="561">
        <v>2</v>
      </c>
      <c r="L20" s="2713"/>
      <c r="M20" s="2707"/>
      <c r="N20" s="2707"/>
      <c r="O20" s="2765"/>
      <c r="P20" s="3663"/>
      <c r="Q20" s="1349" t="str">
        <f>B20</f>
        <v>自然及人文环境</v>
      </c>
      <c r="R20" s="702" t="s">
        <v>14</v>
      </c>
      <c r="S20" s="703">
        <f>F20</f>
        <v>100</v>
      </c>
      <c r="T20" s="702" t="s">
        <v>14</v>
      </c>
      <c r="U20" s="703">
        <f>H20</f>
        <v>100</v>
      </c>
      <c r="V20" s="702" t="s">
        <v>14</v>
      </c>
      <c r="W20" s="703">
        <f>J20</f>
        <v>100</v>
      </c>
      <c r="X20" s="1352"/>
      <c r="Y20" s="3663"/>
      <c r="Z20" s="1353" t="str">
        <f>Q20</f>
        <v>自然及人文环境</v>
      </c>
      <c r="AA20" s="1350">
        <f t="shared" si="3"/>
        <v>1</v>
      </c>
      <c r="AB20" s="1350">
        <f t="shared" si="4"/>
        <v>1</v>
      </c>
      <c r="AC20" s="1350">
        <f t="shared" si="5"/>
        <v>1</v>
      </c>
    </row>
    <row r="21" spans="1:29" ht="15">
      <c r="A21" s="379"/>
      <c r="B21" s="407"/>
      <c r="C21" s="398" t="s">
        <v>3383</v>
      </c>
      <c r="D21" s="399"/>
      <c r="E21" s="398" t="s">
        <v>3383</v>
      </c>
      <c r="F21" s="400"/>
      <c r="G21" s="398" t="s">
        <v>3383</v>
      </c>
      <c r="H21" s="399"/>
      <c r="I21" s="398" t="s">
        <v>3383</v>
      </c>
      <c r="J21" s="399"/>
      <c r="K21" s="562"/>
      <c r="L21" s="2713"/>
      <c r="M21" s="2707"/>
      <c r="N21" s="2707"/>
      <c r="O21" s="2765"/>
      <c r="P21" s="3663"/>
      <c r="Q21" s="1349"/>
      <c r="R21" s="702"/>
      <c r="S21" s="703"/>
      <c r="T21" s="702"/>
      <c r="U21" s="703"/>
      <c r="V21" s="702"/>
      <c r="W21" s="703"/>
      <c r="X21" s="1352"/>
      <c r="Y21" s="3663"/>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63"/>
      <c r="Q22" s="1349" t="str">
        <f>B22</f>
        <v>楼层</v>
      </c>
      <c r="R22" s="702" t="s">
        <v>14</v>
      </c>
      <c r="S22" s="703">
        <f>F22</f>
        <v>100</v>
      </c>
      <c r="T22" s="702" t="s">
        <v>14</v>
      </c>
      <c r="U22" s="703">
        <f>H22</f>
        <v>100</v>
      </c>
      <c r="V22" s="702" t="s">
        <v>14</v>
      </c>
      <c r="W22" s="703">
        <f>J22</f>
        <v>100</v>
      </c>
      <c r="X22" s="1352"/>
      <c r="Y22" s="3663"/>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63"/>
      <c r="Q23" s="1349">
        <f>B23</f>
        <v>111</v>
      </c>
      <c r="R23" s="702" t="s">
        <v>14</v>
      </c>
      <c r="S23" s="703">
        <f>F23</f>
        <v>100</v>
      </c>
      <c r="T23" s="702" t="s">
        <v>14</v>
      </c>
      <c r="U23" s="703">
        <f>H23</f>
        <v>100</v>
      </c>
      <c r="V23" s="702" t="s">
        <v>14</v>
      </c>
      <c r="W23" s="703">
        <f>J23</f>
        <v>100</v>
      </c>
      <c r="X23" s="1352"/>
      <c r="Y23" s="3663"/>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63"/>
      <c r="Q24" s="1349">
        <f t="shared" ref="Q24:Q34" si="11">B24</f>
        <v>111</v>
      </c>
      <c r="R24" s="702" t="s">
        <v>14</v>
      </c>
      <c r="S24" s="703">
        <f>F24</f>
        <v>100</v>
      </c>
      <c r="T24" s="702" t="s">
        <v>14</v>
      </c>
      <c r="U24" s="703">
        <f>H24</f>
        <v>100</v>
      </c>
      <c r="V24" s="702" t="s">
        <v>14</v>
      </c>
      <c r="W24" s="703">
        <f>J24</f>
        <v>100</v>
      </c>
      <c r="X24" s="1352"/>
      <c r="Y24" s="3663"/>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663"/>
      <c r="Q25" s="1340">
        <f t="shared" si="11"/>
        <v>111</v>
      </c>
      <c r="R25" s="698" t="s">
        <v>14</v>
      </c>
      <c r="S25" s="699">
        <f>F25</f>
        <v>100</v>
      </c>
      <c r="T25" s="698" t="s">
        <v>14</v>
      </c>
      <c r="U25" s="699">
        <f>H25</f>
        <v>100</v>
      </c>
      <c r="V25" s="698" t="s">
        <v>14</v>
      </c>
      <c r="W25" s="699">
        <f>J25</f>
        <v>100</v>
      </c>
      <c r="X25" s="700"/>
      <c r="Y25" s="3663"/>
      <c r="Z25" s="52">
        <f>Q25</f>
        <v>111</v>
      </c>
      <c r="AA25" s="1350">
        <f>D25/F25</f>
        <v>1</v>
      </c>
      <c r="AB25" s="1350">
        <f>D25/H25</f>
        <v>1</v>
      </c>
      <c r="AC25" s="1350">
        <f>D25/J25</f>
        <v>1</v>
      </c>
    </row>
    <row r="26" spans="1:29" ht="28.5">
      <c r="A26" s="417" t="s">
        <v>1692</v>
      </c>
      <c r="B26" s="63" t="s">
        <v>1836</v>
      </c>
      <c r="C26" s="1963" t="s">
        <v>3444</v>
      </c>
      <c r="D26" s="418">
        <v>100</v>
      </c>
      <c r="E26" s="1963" t="s">
        <v>3444</v>
      </c>
      <c r="F26" s="612">
        <f>SUMIF(77:77,E26,78:78)-SUMIF(77:77,C26,78:78)+100</f>
        <v>100</v>
      </c>
      <c r="G26" s="1963" t="s">
        <v>3444</v>
      </c>
      <c r="H26" s="418">
        <f>SUMIF(77:77,G26,78:78)-SUMIF(77:77,C26,78:78)+100</f>
        <v>100</v>
      </c>
      <c r="I26" s="1963" t="s">
        <v>3444</v>
      </c>
      <c r="J26" s="418">
        <f>SUMIF(77:77,I26,78:78)-SUMIF(77:77,C26,78:78)+100</f>
        <v>100</v>
      </c>
      <c r="K26" s="559">
        <v>2</v>
      </c>
      <c r="L26" s="2713"/>
      <c r="M26" s="2707"/>
      <c r="N26" s="2707"/>
      <c r="O26" s="2765"/>
      <c r="P26" s="3664" t="s">
        <v>1694</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65"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65"/>
      <c r="Q27" s="704" t="str">
        <f t="shared" si="11"/>
        <v>成新率</v>
      </c>
      <c r="R27" s="705" t="s">
        <v>14</v>
      </c>
      <c r="S27" s="706">
        <f t="shared" si="12"/>
        <v>100</v>
      </c>
      <c r="T27" s="705" t="s">
        <v>14</v>
      </c>
      <c r="U27" s="706">
        <f t="shared" si="13"/>
        <v>100</v>
      </c>
      <c r="V27" s="705" t="s">
        <v>14</v>
      </c>
      <c r="W27" s="706">
        <f t="shared" si="14"/>
        <v>100</v>
      </c>
      <c r="X27" s="707"/>
      <c r="Y27" s="3665"/>
      <c r="Z27" s="708" t="str">
        <f t="shared" si="15"/>
        <v>成新率</v>
      </c>
      <c r="AA27" s="1350">
        <f t="shared" si="3"/>
        <v>1</v>
      </c>
      <c r="AB27" s="1350">
        <f t="shared" si="4"/>
        <v>1</v>
      </c>
      <c r="AC27" s="1350">
        <f t="shared" si="5"/>
        <v>1</v>
      </c>
    </row>
    <row r="28" spans="1:29" ht="15">
      <c r="A28" s="423"/>
      <c r="B28" s="375" t="s">
        <v>1838</v>
      </c>
      <c r="C28" s="411" t="s">
        <v>3449</v>
      </c>
      <c r="D28" s="386">
        <v>100</v>
      </c>
      <c r="E28" s="411" t="s">
        <v>3449</v>
      </c>
      <c r="F28" s="412">
        <f>SUMIF(82:82,E28,83:83)-SUMIF(82:82,C28,83:83)+100</f>
        <v>100</v>
      </c>
      <c r="G28" s="411" t="s">
        <v>3449</v>
      </c>
      <c r="H28" s="386">
        <f>SUMIF(82:82,G28,83:83)-SUMIF(82:82,C28,83:83)+100</f>
        <v>100</v>
      </c>
      <c r="I28" s="411" t="s">
        <v>3449</v>
      </c>
      <c r="J28" s="386">
        <f>SUMIF(82:82,I28,83:83)-SUMIF(82:82,C28,83:83)+100</f>
        <v>100</v>
      </c>
      <c r="K28" s="559">
        <v>2</v>
      </c>
      <c r="L28" s="2713"/>
      <c r="M28" s="2707"/>
      <c r="N28" s="2707"/>
      <c r="O28" s="2765"/>
      <c r="P28" s="3665"/>
      <c r="Q28" s="1349" t="str">
        <f t="shared" si="11"/>
        <v>物业等级</v>
      </c>
      <c r="R28" s="702" t="s">
        <v>14</v>
      </c>
      <c r="S28" s="703">
        <f t="shared" si="12"/>
        <v>100</v>
      </c>
      <c r="T28" s="702" t="s">
        <v>14</v>
      </c>
      <c r="U28" s="703">
        <f t="shared" si="13"/>
        <v>100</v>
      </c>
      <c r="V28" s="702" t="s">
        <v>14</v>
      </c>
      <c r="W28" s="703">
        <f t="shared" si="14"/>
        <v>100</v>
      </c>
      <c r="X28" s="1352"/>
      <c r="Y28" s="3665"/>
      <c r="Z28" s="1353" t="str">
        <f t="shared" si="15"/>
        <v>物业等级</v>
      </c>
      <c r="AA28" s="1350">
        <f t="shared" si="3"/>
        <v>1</v>
      </c>
      <c r="AB28" s="1350">
        <f t="shared" si="4"/>
        <v>1</v>
      </c>
      <c r="AC28" s="1350">
        <f t="shared" si="5"/>
        <v>1</v>
      </c>
    </row>
    <row r="29" spans="1:29" ht="15">
      <c r="A29" s="423"/>
      <c r="B29" s="375" t="s">
        <v>1858</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3"/>
      <c r="M29" s="2707"/>
      <c r="N29" s="2707"/>
      <c r="O29" s="2765"/>
      <c r="P29" s="3665"/>
      <c r="Q29" s="1349" t="str">
        <f t="shared" si="11"/>
        <v>有无电梯</v>
      </c>
      <c r="R29" s="702" t="s">
        <v>14</v>
      </c>
      <c r="S29" s="703">
        <f t="shared" si="12"/>
        <v>100</v>
      </c>
      <c r="T29" s="702" t="s">
        <v>14</v>
      </c>
      <c r="U29" s="703">
        <f t="shared" si="13"/>
        <v>100</v>
      </c>
      <c r="V29" s="702" t="s">
        <v>14</v>
      </c>
      <c r="W29" s="703">
        <f t="shared" si="14"/>
        <v>100</v>
      </c>
      <c r="X29" s="1352"/>
      <c r="Y29" s="3665"/>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65"/>
      <c r="Q30" s="1349" t="str">
        <f t="shared" si="11"/>
        <v>建筑面积</v>
      </c>
      <c r="R30" s="702" t="s">
        <v>14</v>
      </c>
      <c r="S30" s="703">
        <f t="shared" si="12"/>
        <v>100</v>
      </c>
      <c r="T30" s="702" t="s">
        <v>14</v>
      </c>
      <c r="U30" s="703">
        <f t="shared" si="13"/>
        <v>100</v>
      </c>
      <c r="V30" s="702" t="s">
        <v>14</v>
      </c>
      <c r="W30" s="703">
        <f t="shared" si="14"/>
        <v>100</v>
      </c>
      <c r="X30" s="1352"/>
      <c r="Y30" s="3665"/>
      <c r="Z30" s="1353" t="str">
        <f t="shared" si="15"/>
        <v>建筑面积</v>
      </c>
      <c r="AA30" s="1350">
        <f t="shared" si="3"/>
        <v>1</v>
      </c>
      <c r="AB30" s="1350">
        <f t="shared" si="4"/>
        <v>1</v>
      </c>
      <c r="AC30" s="1350">
        <f t="shared" si="5"/>
        <v>1</v>
      </c>
    </row>
    <row r="31" spans="1:29" s="108" customFormat="1" ht="15.75" thickBot="1">
      <c r="A31" s="424"/>
      <c r="B31" s="375" t="s">
        <v>1860</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8"/>
      <c r="M31" s="2709"/>
      <c r="N31" s="2709"/>
      <c r="O31" s="2763"/>
      <c r="P31" s="3665"/>
      <c r="Q31" s="1340" t="str">
        <f t="shared" si="11"/>
        <v>是否封闭</v>
      </c>
      <c r="R31" s="698" t="s">
        <v>14</v>
      </c>
      <c r="S31" s="699">
        <f t="shared" si="12"/>
        <v>100</v>
      </c>
      <c r="T31" s="698" t="s">
        <v>14</v>
      </c>
      <c r="U31" s="699">
        <f t="shared" si="13"/>
        <v>100</v>
      </c>
      <c r="V31" s="698" t="s">
        <v>14</v>
      </c>
      <c r="W31" s="699">
        <f t="shared" si="14"/>
        <v>100</v>
      </c>
      <c r="X31" s="700"/>
      <c r="Y31" s="3665"/>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65" t="s">
        <v>1694</v>
      </c>
      <c r="Q32" s="1349">
        <f t="shared" si="11"/>
        <v>111</v>
      </c>
      <c r="R32" s="702" t="s">
        <v>14</v>
      </c>
      <c r="S32" s="703">
        <f t="shared" si="12"/>
        <v>100</v>
      </c>
      <c r="T32" s="702" t="s">
        <v>14</v>
      </c>
      <c r="U32" s="703">
        <f t="shared" si="13"/>
        <v>100</v>
      </c>
      <c r="V32" s="702" t="s">
        <v>14</v>
      </c>
      <c r="W32" s="703">
        <f t="shared" si="14"/>
        <v>100</v>
      </c>
      <c r="X32" s="1352"/>
      <c r="Y32" s="3665" t="s">
        <v>1694</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65"/>
      <c r="Q33" s="1349">
        <f t="shared" si="11"/>
        <v>111</v>
      </c>
      <c r="R33" s="702" t="s">
        <v>14</v>
      </c>
      <c r="S33" s="703">
        <f t="shared" si="12"/>
        <v>100</v>
      </c>
      <c r="T33" s="702" t="s">
        <v>14</v>
      </c>
      <c r="U33" s="703">
        <f t="shared" si="13"/>
        <v>100</v>
      </c>
      <c r="V33" s="702" t="s">
        <v>14</v>
      </c>
      <c r="W33" s="703">
        <f t="shared" si="14"/>
        <v>100</v>
      </c>
      <c r="X33" s="1352"/>
      <c r="Y33" s="3665"/>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665"/>
      <c r="Q34" s="1349">
        <f t="shared" si="11"/>
        <v>111</v>
      </c>
      <c r="R34" s="702" t="s">
        <v>14</v>
      </c>
      <c r="S34" s="703">
        <f t="shared" si="12"/>
        <v>100</v>
      </c>
      <c r="T34" s="702" t="s">
        <v>14</v>
      </c>
      <c r="U34" s="703">
        <f t="shared" si="13"/>
        <v>100</v>
      </c>
      <c r="V34" s="702" t="s">
        <v>14</v>
      </c>
      <c r="W34" s="703">
        <f t="shared" si="14"/>
        <v>100</v>
      </c>
      <c r="X34" s="1352"/>
      <c r="Y34" s="3665"/>
      <c r="Z34" s="1353">
        <f t="shared" si="15"/>
        <v>111</v>
      </c>
      <c r="AA34" s="1350">
        <f t="shared" si="3"/>
        <v>1</v>
      </c>
      <c r="AB34" s="1350">
        <f t="shared" si="4"/>
        <v>1</v>
      </c>
      <c r="AC34" s="1350">
        <f t="shared" si="5"/>
        <v>1</v>
      </c>
    </row>
    <row r="35" spans="1:30" ht="15">
      <c r="A35" s="428" t="s">
        <v>1706</v>
      </c>
      <c r="B35" s="429"/>
      <c r="C35" s="1151" t="s">
        <v>0</v>
      </c>
      <c r="D35" s="1152"/>
      <c r="E35" s="1153"/>
      <c r="F35" s="1154"/>
      <c r="G35" s="1155"/>
      <c r="H35" s="1156"/>
      <c r="I35" s="1153"/>
      <c r="J35" s="1156"/>
      <c r="K35" s="711"/>
      <c r="L35" s="2715"/>
      <c r="M35" s="2716"/>
      <c r="N35" s="2707"/>
      <c r="O35" s="2716"/>
      <c r="P35" s="3657" t="str">
        <f>A35</f>
        <v>成交单价（元/平方米）</v>
      </c>
      <c r="Q35" s="3657"/>
      <c r="R35" s="3746">
        <f>E35</f>
        <v>0</v>
      </c>
      <c r="S35" s="3746"/>
      <c r="T35" s="3746">
        <f>G35</f>
        <v>0</v>
      </c>
      <c r="U35" s="3746"/>
      <c r="V35" s="3746">
        <f>I35</f>
        <v>0</v>
      </c>
      <c r="W35" s="3746"/>
      <c r="X35" s="687"/>
      <c r="Y35" s="709"/>
      <c r="Z35" s="687"/>
      <c r="AA35" s="687"/>
      <c r="AB35" s="687"/>
      <c r="AC35" s="687"/>
    </row>
    <row r="36" spans="1:30" ht="15.75" thickBot="1">
      <c r="A36" s="435" t="s">
        <v>1791</v>
      </c>
      <c r="B36" s="436"/>
      <c r="C36" s="1157">
        <f>R37</f>
        <v>0</v>
      </c>
      <c r="D36" s="2313" t="s">
        <v>2135</v>
      </c>
      <c r="E36" s="1158">
        <f>R36</f>
        <v>0</v>
      </c>
      <c r="F36" s="2314"/>
      <c r="G36" s="1157">
        <f>T36</f>
        <v>0</v>
      </c>
      <c r="H36" s="2314"/>
      <c r="I36" s="1158">
        <f>V36</f>
        <v>0</v>
      </c>
      <c r="J36" s="2314"/>
      <c r="K36" s="2316">
        <f>F36+H36+J36</f>
        <v>0</v>
      </c>
      <c r="L36" s="2715"/>
      <c r="M36" s="2716"/>
      <c r="N36" s="2707"/>
      <c r="O36" s="2716"/>
      <c r="P36" s="3657" t="str">
        <f>A36</f>
        <v>比较价值（元/平方米）</v>
      </c>
      <c r="Q36" s="3657"/>
      <c r="R36" s="3746">
        <f>IF(F1="售价",ROUND(PRODUCT(R35,AA7:AA34),0),ROUND(PRODUCT(R35,AA7:AA34),1))</f>
        <v>0</v>
      </c>
      <c r="S36" s="3746"/>
      <c r="T36" s="3746">
        <f>IF(F1="售价",ROUND(PRODUCT(T35,AB7:AB34),0),ROUND(PRODUCT(T35,AB7:AB34),1))</f>
        <v>0</v>
      </c>
      <c r="U36" s="3746"/>
      <c r="V36" s="3746">
        <f>IF(F1="售价",ROUND(PRODUCT(V35,AC7:AC34),0),ROUND(PRODUCT(V35,AC7:AC34),1))</f>
        <v>0</v>
      </c>
      <c r="W36" s="3746"/>
      <c r="X36" s="687"/>
      <c r="Y36" s="687"/>
      <c r="Z36" s="687"/>
      <c r="AA36" s="687"/>
      <c r="AB36" s="687"/>
      <c r="AC36" s="687"/>
    </row>
    <row r="37" spans="1:30" ht="15.75" thickBot="1">
      <c r="A37" s="439" t="s">
        <v>1792</v>
      </c>
      <c r="B37" s="440"/>
      <c r="C37" s="1160">
        <f>R37</f>
        <v>0</v>
      </c>
      <c r="D37" s="1160"/>
      <c r="E37" s="1160"/>
      <c r="F37" s="1160"/>
      <c r="G37" s="1160"/>
      <c r="H37" s="1160"/>
      <c r="I37" s="1160"/>
      <c r="J37" s="1160"/>
      <c r="K37" s="712"/>
      <c r="L37" s="2715"/>
      <c r="M37" s="2716"/>
      <c r="N37" s="2716"/>
      <c r="O37" s="2716"/>
      <c r="P37" s="3654" t="str">
        <f>A37</f>
        <v>估价对象XX用房的比较价值（楼面单价，元/平方米）</v>
      </c>
      <c r="Q37" s="3655"/>
      <c r="R37" s="3768">
        <f>IF(F1="售价",ROUND(IF(D36="简单平均",AVERAGE(R36:W36),R36*F36+T36*H36+V36*J36),0),ROUND(IF(D36="简单平均",AVERAGE(R36:V36),R36*F36+T36*H36+V36*J36),1))</f>
        <v>0</v>
      </c>
      <c r="S37" s="3768"/>
      <c r="T37" s="3768"/>
      <c r="U37" s="3768"/>
      <c r="V37" s="3768"/>
      <c r="W37" s="3768"/>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1793</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1794</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1795</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1796</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1677</v>
      </c>
      <c r="B46" s="453"/>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1714</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1679</v>
      </c>
      <c r="B49" s="457"/>
      <c r="C49" s="469" t="s">
        <v>1774</v>
      </c>
      <c r="D49" s="3449" t="s">
        <v>3528</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1717</v>
      </c>
      <c r="B51" s="475" t="s">
        <v>1683</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1686</v>
      </c>
      <c r="C53" s="530" t="s">
        <v>3512</v>
      </c>
      <c r="D53" s="530" t="s">
        <v>3513</v>
      </c>
      <c r="E53" s="530" t="s">
        <v>3514</v>
      </c>
      <c r="F53" s="3450" t="s">
        <v>3516</v>
      </c>
      <c r="G53" s="530" t="s">
        <v>3515</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1861</v>
      </c>
      <c r="C63" s="525" t="s">
        <v>1719</v>
      </c>
      <c r="D63" s="525" t="s">
        <v>1720</v>
      </c>
      <c r="E63" s="525" t="s">
        <v>1721</v>
      </c>
      <c r="F63" s="525" t="s">
        <v>1722</v>
      </c>
      <c r="G63" s="525" t="s">
        <v>1723</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1811</v>
      </c>
      <c r="C65" s="605" t="s">
        <v>1797</v>
      </c>
      <c r="D65" s="605" t="s">
        <v>1798</v>
      </c>
      <c r="E65" s="605" t="s">
        <v>1799</v>
      </c>
      <c r="F65" s="605" t="s">
        <v>1800</v>
      </c>
      <c r="G65" s="605" t="s">
        <v>1801</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1731</v>
      </c>
      <c r="C67" s="525" t="s">
        <v>1719</v>
      </c>
      <c r="D67" s="525" t="s">
        <v>1720</v>
      </c>
      <c r="E67" s="525" t="s">
        <v>1721</v>
      </c>
      <c r="F67" s="525" t="s">
        <v>1722</v>
      </c>
      <c r="G67" s="525" t="s">
        <v>1723</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1850</v>
      </c>
      <c r="C69" s="3451" t="s">
        <v>3540</v>
      </c>
      <c r="D69" s="3451" t="s">
        <v>3530</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1692</v>
      </c>
      <c r="B77" s="475" t="s">
        <v>1738</v>
      </c>
      <c r="C77" s="3451" t="s">
        <v>3443</v>
      </c>
      <c r="D77" s="3451" t="s">
        <v>3445</v>
      </c>
      <c r="E77" s="3451" t="s">
        <v>3446</v>
      </c>
      <c r="F77" s="3454" t="s">
        <v>3447</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1854</v>
      </c>
      <c r="C82" s="3451" t="s">
        <v>3541</v>
      </c>
      <c r="D82" s="3451" t="s">
        <v>3542</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1862</v>
      </c>
      <c r="C84" s="3451" t="s">
        <v>3543</v>
      </c>
      <c r="D84" s="3451" t="s">
        <v>3544</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1863</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1864</v>
      </c>
      <c r="C89" s="3451" t="s">
        <v>3535</v>
      </c>
      <c r="D89" s="3451" t="s">
        <v>3536</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F41" sqref="F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3"/>
      <c r="E1" s="683"/>
      <c r="F1" s="682" t="s">
        <v>1765</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1460</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1462</v>
      </c>
      <c r="B3" s="556" t="e">
        <f>ROUND(IF(D3="",B2*10000/'数据-汇总表'!E3,B2*10000/D3),0)</f>
        <v>#DIV/0!</v>
      </c>
      <c r="C3" s="203" t="s">
        <v>1867</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1767</v>
      </c>
      <c r="B4" s="356"/>
      <c r="C4" s="3669" t="s">
        <v>1768</v>
      </c>
      <c r="D4" s="3670"/>
      <c r="E4" s="3671" t="s">
        <v>1769</v>
      </c>
      <c r="F4" s="3672"/>
      <c r="G4" s="3669" t="s">
        <v>1770</v>
      </c>
      <c r="H4" s="3670"/>
      <c r="I4" s="3669" t="s">
        <v>1771</v>
      </c>
      <c r="J4" s="3670"/>
      <c r="K4" s="557" t="s">
        <v>1772</v>
      </c>
      <c r="L4" s="2706"/>
      <c r="M4" s="2707"/>
      <c r="N4" s="2707"/>
      <c r="O4" s="2707"/>
      <c r="P4" s="3673" t="s">
        <v>1773</v>
      </c>
      <c r="Q4" s="3674"/>
      <c r="R4" s="3683" t="s">
        <v>1769</v>
      </c>
      <c r="S4" s="3684"/>
      <c r="T4" s="3683" t="s">
        <v>1770</v>
      </c>
      <c r="U4" s="3684"/>
      <c r="V4" s="3661" t="s">
        <v>1771</v>
      </c>
      <c r="W4" s="3661"/>
      <c r="X4" s="1352"/>
      <c r="Y4" s="3683" t="s">
        <v>1773</v>
      </c>
      <c r="Z4" s="3684"/>
      <c r="AA4" s="3666" t="s">
        <v>1769</v>
      </c>
      <c r="AB4" s="3667" t="s">
        <v>1770</v>
      </c>
      <c r="AC4" s="3666" t="s">
        <v>1771</v>
      </c>
    </row>
    <row r="5" spans="1:30" ht="15">
      <c r="A5" s="358"/>
      <c r="B5" s="359"/>
      <c r="C5" s="3687" t="s">
        <v>1671</v>
      </c>
      <c r="D5" s="3688"/>
      <c r="E5" s="3679" t="s">
        <v>1672</v>
      </c>
      <c r="F5" s="3680"/>
      <c r="G5" s="3687" t="s">
        <v>1673</v>
      </c>
      <c r="H5" s="3688"/>
      <c r="I5" s="3687" t="s">
        <v>1674</v>
      </c>
      <c r="J5" s="3688"/>
      <c r="K5" s="557"/>
      <c r="L5" s="2706"/>
      <c r="M5" s="2707"/>
      <c r="N5" s="2707"/>
      <c r="O5" s="2707"/>
      <c r="P5" s="3675"/>
      <c r="Q5" s="3676"/>
      <c r="R5" s="3685"/>
      <c r="S5" s="3686"/>
      <c r="T5" s="3685"/>
      <c r="U5" s="3686"/>
      <c r="V5" s="3661"/>
      <c r="W5" s="3661"/>
      <c r="X5" s="1352"/>
      <c r="Y5" s="3685"/>
      <c r="Z5" s="3686"/>
      <c r="AA5" s="3667"/>
      <c r="AB5" s="3667"/>
      <c r="AC5" s="3667"/>
    </row>
    <row r="6" spans="1:30" ht="15.75" thickBot="1">
      <c r="A6" s="360"/>
      <c r="B6" s="361"/>
      <c r="C6" s="3741" t="s">
        <v>1675</v>
      </c>
      <c r="D6" s="3742"/>
      <c r="E6" s="3743" t="s">
        <v>1675</v>
      </c>
      <c r="F6" s="3744"/>
      <c r="G6" s="3741" t="s">
        <v>1675</v>
      </c>
      <c r="H6" s="3742"/>
      <c r="I6" s="3741" t="s">
        <v>1675</v>
      </c>
      <c r="J6" s="3742"/>
      <c r="K6" s="557" t="s">
        <v>1676</v>
      </c>
      <c r="L6" s="2706"/>
      <c r="M6" s="2707"/>
      <c r="N6" s="2707"/>
      <c r="O6" s="2707"/>
      <c r="P6" s="3677"/>
      <c r="Q6" s="3678"/>
      <c r="R6" s="3685"/>
      <c r="S6" s="3686"/>
      <c r="T6" s="3694"/>
      <c r="U6" s="3695"/>
      <c r="V6" s="3661"/>
      <c r="W6" s="3661"/>
      <c r="X6" s="1352"/>
      <c r="Y6" s="3694"/>
      <c r="Z6" s="3695"/>
      <c r="AA6" s="3668"/>
      <c r="AB6" s="3668"/>
      <c r="AC6" s="3668"/>
    </row>
    <row r="7" spans="1:30" s="108" customFormat="1" ht="15.75" thickBot="1">
      <c r="A7" s="362" t="s">
        <v>1677</v>
      </c>
      <c r="B7" s="363"/>
      <c r="C7" s="364">
        <f>'数据-取费表'!B2</f>
        <v>45072</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659" t="s">
        <v>1678</v>
      </c>
      <c r="Q7" s="3691"/>
      <c r="R7" s="698" t="s">
        <v>14</v>
      </c>
      <c r="S7" s="699">
        <f t="shared" ref="S7:S15" si="0">F7</f>
        <v>0</v>
      </c>
      <c r="T7" s="698" t="s">
        <v>14</v>
      </c>
      <c r="U7" s="699">
        <f t="shared" ref="U7:U15" si="1">H7</f>
        <v>0</v>
      </c>
      <c r="V7" s="698" t="s">
        <v>14</v>
      </c>
      <c r="W7" s="699">
        <f t="shared" ref="W7:W15" si="2">J7</f>
        <v>0</v>
      </c>
      <c r="X7" s="700"/>
      <c r="Y7" s="3659" t="s">
        <v>1678</v>
      </c>
      <c r="Z7" s="3660"/>
      <c r="AA7" s="701" t="e">
        <f>D7/F7</f>
        <v>#DIV/0!</v>
      </c>
      <c r="AB7" s="701" t="e">
        <f>D7/H7</f>
        <v>#DIV/0!</v>
      </c>
      <c r="AC7" s="701"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659" t="s">
        <v>1681</v>
      </c>
      <c r="Q8" s="3660"/>
      <c r="R8" s="698" t="s">
        <v>14</v>
      </c>
      <c r="S8" s="699">
        <f t="shared" si="0"/>
        <v>0</v>
      </c>
      <c r="T8" s="698" t="s">
        <v>14</v>
      </c>
      <c r="U8" s="699">
        <f t="shared" si="1"/>
        <v>0</v>
      </c>
      <c r="V8" s="698" t="s">
        <v>14</v>
      </c>
      <c r="W8" s="699">
        <f t="shared" si="2"/>
        <v>0</v>
      </c>
      <c r="X8" s="700"/>
      <c r="Y8" s="3659" t="s">
        <v>1681</v>
      </c>
      <c r="Z8" s="3660"/>
      <c r="AA8" s="701" t="e">
        <f t="shared" ref="AA8:AA45" si="3">D8/F8</f>
        <v>#DIV/0!</v>
      </c>
      <c r="AB8" s="701" t="e">
        <f t="shared" ref="AB8:AB45" si="4">D8/H8</f>
        <v>#DIV/0!</v>
      </c>
      <c r="AC8" s="701"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657" t="s">
        <v>1684</v>
      </c>
      <c r="Q9" s="1340" t="str">
        <f t="shared" ref="Q9:Q15" si="6">B9</f>
        <v>用途</v>
      </c>
      <c r="R9" s="698" t="s">
        <v>14</v>
      </c>
      <c r="S9" s="699">
        <f t="shared" si="0"/>
        <v>100</v>
      </c>
      <c r="T9" s="698" t="s">
        <v>14</v>
      </c>
      <c r="U9" s="699">
        <f t="shared" si="1"/>
        <v>100</v>
      </c>
      <c r="V9" s="698" t="s">
        <v>14</v>
      </c>
      <c r="W9" s="699">
        <f t="shared" si="2"/>
        <v>100</v>
      </c>
      <c r="X9" s="700"/>
      <c r="Y9" s="3627" t="s">
        <v>1685</v>
      </c>
      <c r="Z9" s="52" t="str">
        <f t="shared" ref="Z9:Z15" si="7">Q9</f>
        <v>用途</v>
      </c>
      <c r="AA9" s="701">
        <f t="shared" si="3"/>
        <v>1</v>
      </c>
      <c r="AB9" s="701">
        <f t="shared" si="4"/>
        <v>1</v>
      </c>
      <c r="AC9" s="701">
        <f t="shared" si="5"/>
        <v>1</v>
      </c>
    </row>
    <row r="10" spans="1:30" s="378" customFormat="1" ht="27">
      <c r="A10" s="374"/>
      <c r="B10" s="375" t="s">
        <v>1686</v>
      </c>
      <c r="C10" s="383"/>
      <c r="D10" s="127">
        <v>100</v>
      </c>
      <c r="E10" s="416"/>
      <c r="F10" s="127">
        <f>ROUND(100/'数据-取费表'!G16,0)</f>
        <v>106</v>
      </c>
      <c r="G10" s="414"/>
      <c r="H10" s="127">
        <f>ROUND(100/'数据-取费表'!G16,0)</f>
        <v>106</v>
      </c>
      <c r="I10" s="414"/>
      <c r="J10" s="127">
        <f>ROUND(100/'数据-取费表'!G16,0)</f>
        <v>106</v>
      </c>
      <c r="K10" s="617"/>
      <c r="L10" s="2710"/>
      <c r="M10" s="2711"/>
      <c r="N10" s="2711"/>
      <c r="O10" s="2764"/>
      <c r="P10" s="3657"/>
      <c r="Q10" s="1340" t="str">
        <f t="shared" si="6"/>
        <v>土地使用年限（年）</v>
      </c>
      <c r="R10" s="698" t="s">
        <v>14</v>
      </c>
      <c r="S10" s="699">
        <f t="shared" si="0"/>
        <v>106</v>
      </c>
      <c r="T10" s="698" t="s">
        <v>14</v>
      </c>
      <c r="U10" s="699">
        <f t="shared" si="1"/>
        <v>106</v>
      </c>
      <c r="V10" s="698" t="s">
        <v>14</v>
      </c>
      <c r="W10" s="699">
        <f t="shared" si="2"/>
        <v>106</v>
      </c>
      <c r="X10" s="700"/>
      <c r="Y10" s="3627"/>
      <c r="Z10" s="52" t="str">
        <f t="shared" si="7"/>
        <v>土地使用年限（年）</v>
      </c>
      <c r="AA10" s="701">
        <f t="shared" si="3"/>
        <v>0.94339622641509435</v>
      </c>
      <c r="AB10" s="701">
        <f t="shared" si="4"/>
        <v>0.94339622641509435</v>
      </c>
      <c r="AC10" s="701">
        <f t="shared" si="5"/>
        <v>0.94339622641509435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657"/>
      <c r="Q11" s="1340" t="str">
        <f t="shared" si="6"/>
        <v>容积率</v>
      </c>
      <c r="R11" s="698" t="s">
        <v>14</v>
      </c>
      <c r="S11" s="699" t="e">
        <f t="shared" si="0"/>
        <v>#N/A</v>
      </c>
      <c r="T11" s="698" t="s">
        <v>14</v>
      </c>
      <c r="U11" s="699" t="e">
        <f t="shared" si="1"/>
        <v>#N/A</v>
      </c>
      <c r="V11" s="698" t="s">
        <v>14</v>
      </c>
      <c r="W11" s="699" t="e">
        <f t="shared" si="2"/>
        <v>#N/A</v>
      </c>
      <c r="X11" s="700"/>
      <c r="Y11" s="3627"/>
      <c r="Z11" s="52" t="str">
        <f t="shared" si="7"/>
        <v>容积率</v>
      </c>
      <c r="AA11" s="701" t="e">
        <f t="shared" si="3"/>
        <v>#N/A</v>
      </c>
      <c r="AB11" s="701" t="e">
        <f t="shared" si="4"/>
        <v>#N/A</v>
      </c>
      <c r="AC11" s="701"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657"/>
      <c r="Q12" s="1340" t="str">
        <f t="shared" si="6"/>
        <v>配建</v>
      </c>
      <c r="R12" s="698" t="s">
        <v>14</v>
      </c>
      <c r="S12" s="699">
        <f t="shared" si="0"/>
        <v>100</v>
      </c>
      <c r="T12" s="698" t="s">
        <v>14</v>
      </c>
      <c r="U12" s="699">
        <f t="shared" si="1"/>
        <v>100</v>
      </c>
      <c r="V12" s="698" t="s">
        <v>14</v>
      </c>
      <c r="W12" s="699">
        <f t="shared" si="2"/>
        <v>100</v>
      </c>
      <c r="X12" s="700"/>
      <c r="Y12" s="3627"/>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657"/>
      <c r="Q13" s="1340">
        <f t="shared" si="6"/>
        <v>111</v>
      </c>
      <c r="R13" s="698" t="s">
        <v>14</v>
      </c>
      <c r="S13" s="699">
        <f t="shared" si="0"/>
        <v>100</v>
      </c>
      <c r="T13" s="698" t="s">
        <v>14</v>
      </c>
      <c r="U13" s="699">
        <f t="shared" si="1"/>
        <v>100</v>
      </c>
      <c r="V13" s="698" t="s">
        <v>14</v>
      </c>
      <c r="W13" s="699">
        <f t="shared" si="2"/>
        <v>100</v>
      </c>
      <c r="X13" s="700"/>
      <c r="Y13" s="3627"/>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657"/>
      <c r="Q14" s="1340">
        <f t="shared" si="6"/>
        <v>111</v>
      </c>
      <c r="R14" s="698" t="s">
        <v>14</v>
      </c>
      <c r="S14" s="699">
        <f t="shared" si="0"/>
        <v>100</v>
      </c>
      <c r="T14" s="698" t="s">
        <v>14</v>
      </c>
      <c r="U14" s="699">
        <f t="shared" si="1"/>
        <v>100</v>
      </c>
      <c r="V14" s="698" t="s">
        <v>14</v>
      </c>
      <c r="W14" s="699">
        <f t="shared" si="2"/>
        <v>100</v>
      </c>
      <c r="X14" s="700"/>
      <c r="Y14" s="3627"/>
      <c r="Z14" s="52">
        <f t="shared" si="7"/>
        <v>111</v>
      </c>
      <c r="AA14" s="701">
        <f>D14/F14</f>
        <v>1</v>
      </c>
      <c r="AB14" s="701">
        <f>D14/H14</f>
        <v>1</v>
      </c>
      <c r="AC14" s="701">
        <f>D14/J14</f>
        <v>1</v>
      </c>
    </row>
    <row r="15" spans="1:30" ht="15">
      <c r="A15" s="391" t="s">
        <v>1688</v>
      </c>
      <c r="B15" s="61" t="s">
        <v>1255</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662" t="s">
        <v>1689</v>
      </c>
      <c r="Q15" s="1349" t="str">
        <f t="shared" si="6"/>
        <v>居住社区成熟度</v>
      </c>
      <c r="R15" s="702" t="s">
        <v>14</v>
      </c>
      <c r="S15" s="703">
        <f t="shared" si="0"/>
        <v>100</v>
      </c>
      <c r="T15" s="702" t="s">
        <v>14</v>
      </c>
      <c r="U15" s="703">
        <f t="shared" si="1"/>
        <v>100</v>
      </c>
      <c r="V15" s="702" t="s">
        <v>14</v>
      </c>
      <c r="W15" s="703">
        <f t="shared" si="2"/>
        <v>100</v>
      </c>
      <c r="X15" s="1352"/>
      <c r="Y15" s="3662"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663"/>
      <c r="Q16" s="1349"/>
      <c r="R16" s="702"/>
      <c r="S16" s="703"/>
      <c r="T16" s="702"/>
      <c r="U16" s="703"/>
      <c r="V16" s="702"/>
      <c r="W16" s="703"/>
      <c r="X16" s="1352"/>
      <c r="Y16" s="3663"/>
      <c r="Z16" s="1353"/>
      <c r="AA16" s="1350">
        <v>1</v>
      </c>
      <c r="AB16" s="1350">
        <v>1</v>
      </c>
      <c r="AC16" s="1350">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663"/>
      <c r="Q17" s="1349" t="str">
        <f>B17</f>
        <v>商业繁华度</v>
      </c>
      <c r="R17" s="702" t="s">
        <v>14</v>
      </c>
      <c r="S17" s="703">
        <f>F17</f>
        <v>100</v>
      </c>
      <c r="T17" s="702" t="s">
        <v>14</v>
      </c>
      <c r="U17" s="703">
        <f>H17</f>
        <v>100</v>
      </c>
      <c r="V17" s="702" t="s">
        <v>14</v>
      </c>
      <c r="W17" s="703">
        <f>J17</f>
        <v>100</v>
      </c>
      <c r="X17" s="1352"/>
      <c r="Y17" s="366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663"/>
      <c r="Q18" s="1349"/>
      <c r="R18" s="702"/>
      <c r="S18" s="703"/>
      <c r="T18" s="702"/>
      <c r="U18" s="703"/>
      <c r="V18" s="702"/>
      <c r="W18" s="703"/>
      <c r="X18" s="1352"/>
      <c r="Y18" s="3663"/>
      <c r="Z18" s="1353"/>
      <c r="AA18" s="1350">
        <v>1</v>
      </c>
      <c r="AB18" s="1350">
        <v>1</v>
      </c>
      <c r="AC18" s="1350">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663"/>
      <c r="Q19" s="1349" t="str">
        <f>B19</f>
        <v>办公集聚程度</v>
      </c>
      <c r="R19" s="702" t="s">
        <v>14</v>
      </c>
      <c r="S19" s="703">
        <f>F19</f>
        <v>100</v>
      </c>
      <c r="T19" s="702" t="s">
        <v>14</v>
      </c>
      <c r="U19" s="703">
        <f>H19</f>
        <v>100</v>
      </c>
      <c r="V19" s="702" t="s">
        <v>14</v>
      </c>
      <c r="W19" s="703">
        <f>J19</f>
        <v>100</v>
      </c>
      <c r="X19" s="1352"/>
      <c r="Y19" s="366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663"/>
      <c r="Q20" s="1349"/>
      <c r="R20" s="702"/>
      <c r="S20" s="703"/>
      <c r="T20" s="702"/>
      <c r="U20" s="703"/>
      <c r="V20" s="702"/>
      <c r="W20" s="703"/>
      <c r="X20" s="1352"/>
      <c r="Y20" s="3663"/>
      <c r="Z20" s="1353"/>
      <c r="AA20" s="1350">
        <v>1</v>
      </c>
      <c r="AB20" s="1350">
        <v>1</v>
      </c>
      <c r="AC20" s="1350">
        <v>1</v>
      </c>
    </row>
    <row r="21" spans="1:29" ht="15">
      <c r="A21" s="379"/>
      <c r="B21" s="402" t="s">
        <v>1831</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663"/>
      <c r="Q21" s="1349" t="str">
        <f>B21</f>
        <v>交通便捷度</v>
      </c>
      <c r="R21" s="702" t="s">
        <v>14</v>
      </c>
      <c r="S21" s="703">
        <f>F21</f>
        <v>100</v>
      </c>
      <c r="T21" s="702" t="s">
        <v>14</v>
      </c>
      <c r="U21" s="703">
        <f>H21</f>
        <v>100</v>
      </c>
      <c r="V21" s="702" t="s">
        <v>14</v>
      </c>
      <c r="W21" s="703">
        <f>J21</f>
        <v>100</v>
      </c>
      <c r="X21" s="1352"/>
      <c r="Y21" s="366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663"/>
      <c r="Q22" s="1349"/>
      <c r="R22" s="702"/>
      <c r="S22" s="703"/>
      <c r="T22" s="702"/>
      <c r="U22" s="703"/>
      <c r="V22" s="702"/>
      <c r="W22" s="703"/>
      <c r="X22" s="1352"/>
      <c r="Y22" s="3663"/>
      <c r="Z22" s="1353"/>
      <c r="AA22" s="1350">
        <v>1</v>
      </c>
      <c r="AB22" s="1350">
        <v>1</v>
      </c>
      <c r="AC22" s="1350">
        <v>1</v>
      </c>
    </row>
    <row r="23" spans="1:29" ht="15">
      <c r="A23" s="358"/>
      <c r="B23" s="402" t="s">
        <v>1869</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663"/>
      <c r="Q23" s="1349" t="str">
        <f t="shared" ref="Q23:Q37" si="8">B23</f>
        <v>区域土地利用方向</v>
      </c>
      <c r="R23" s="702" t="s">
        <v>14</v>
      </c>
      <c r="S23" s="703">
        <f>F23</f>
        <v>100</v>
      </c>
      <c r="T23" s="702" t="s">
        <v>14</v>
      </c>
      <c r="U23" s="703">
        <f>H23</f>
        <v>100</v>
      </c>
      <c r="V23" s="702" t="s">
        <v>14</v>
      </c>
      <c r="W23" s="703">
        <f>J23</f>
        <v>100</v>
      </c>
      <c r="X23" s="1352"/>
      <c r="Y23" s="3663"/>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663"/>
      <c r="Q24" s="1349"/>
      <c r="R24" s="702"/>
      <c r="S24" s="703"/>
      <c r="T24" s="702"/>
      <c r="U24" s="703"/>
      <c r="V24" s="702"/>
      <c r="W24" s="703"/>
      <c r="X24" s="1352"/>
      <c r="Y24" s="3663"/>
      <c r="Z24" s="1353"/>
      <c r="AA24" s="1350"/>
      <c r="AB24" s="1350"/>
      <c r="AC24" s="1350"/>
    </row>
    <row r="25" spans="1:29" ht="27">
      <c r="A25" s="358"/>
      <c r="B25" s="1128"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663"/>
      <c r="Q25" s="1349" t="str">
        <f t="shared" si="8"/>
        <v>自然及人文环境状况</v>
      </c>
      <c r="R25" s="702" t="s">
        <v>14</v>
      </c>
      <c r="S25" s="703">
        <f>F25</f>
        <v>100</v>
      </c>
      <c r="T25" s="702" t="s">
        <v>14</v>
      </c>
      <c r="U25" s="703">
        <f>H25</f>
        <v>100</v>
      </c>
      <c r="V25" s="702" t="s">
        <v>14</v>
      </c>
      <c r="W25" s="703">
        <f>J25</f>
        <v>100</v>
      </c>
      <c r="X25" s="1352"/>
      <c r="Y25" s="366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663"/>
      <c r="Q26" s="1349"/>
      <c r="R26" s="702"/>
      <c r="S26" s="703"/>
      <c r="T26" s="702"/>
      <c r="U26" s="703"/>
      <c r="V26" s="702"/>
      <c r="W26" s="703"/>
      <c r="X26" s="1352"/>
      <c r="Y26" s="3663"/>
      <c r="Z26" s="1353"/>
      <c r="AA26" s="1350">
        <v>1</v>
      </c>
      <c r="AB26" s="1350">
        <v>1</v>
      </c>
      <c r="AC26" s="1350">
        <v>1</v>
      </c>
    </row>
    <row r="27" spans="1:29" s="108" customFormat="1" ht="15">
      <c r="A27" s="594"/>
      <c r="B27" s="1128" t="s">
        <v>1776</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663"/>
      <c r="Q27" s="1340" t="str">
        <f t="shared" si="8"/>
        <v>公共配套设施</v>
      </c>
      <c r="R27" s="698" t="s">
        <v>14</v>
      </c>
      <c r="S27" s="699">
        <f>F27</f>
        <v>100</v>
      </c>
      <c r="T27" s="698" t="s">
        <v>14</v>
      </c>
      <c r="U27" s="699">
        <f>H27</f>
        <v>100</v>
      </c>
      <c r="V27" s="698" t="s">
        <v>14</v>
      </c>
      <c r="W27" s="699">
        <f>J27</f>
        <v>100</v>
      </c>
      <c r="X27" s="700"/>
      <c r="Y27" s="3663"/>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663"/>
      <c r="Q28" s="1340"/>
      <c r="R28" s="698"/>
      <c r="S28" s="699"/>
      <c r="T28" s="698"/>
      <c r="U28" s="699"/>
      <c r="V28" s="698"/>
      <c r="W28" s="699"/>
      <c r="X28" s="700"/>
      <c r="Y28" s="3663"/>
      <c r="Z28" s="52"/>
      <c r="AA28" s="1350">
        <v>1</v>
      </c>
      <c r="AB28" s="1350">
        <v>1</v>
      </c>
      <c r="AC28" s="1350">
        <v>1</v>
      </c>
    </row>
    <row r="29" spans="1:29" s="108" customFormat="1" ht="15">
      <c r="A29" s="594"/>
      <c r="B29" s="1128" t="s">
        <v>1777</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663"/>
      <c r="Q29" s="1340" t="str">
        <f t="shared" ref="Q29" si="9">B29</f>
        <v>基础设施水平</v>
      </c>
      <c r="R29" s="698" t="s">
        <v>14</v>
      </c>
      <c r="S29" s="699">
        <f>F29</f>
        <v>100</v>
      </c>
      <c r="T29" s="698" t="s">
        <v>14</v>
      </c>
      <c r="U29" s="699">
        <f>H29</f>
        <v>100</v>
      </c>
      <c r="V29" s="698" t="s">
        <v>14</v>
      </c>
      <c r="W29" s="699">
        <f>J29</f>
        <v>100</v>
      </c>
      <c r="X29" s="700"/>
      <c r="Y29" s="3663"/>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663"/>
      <c r="Q30" s="1340"/>
      <c r="R30" s="698"/>
      <c r="S30" s="699"/>
      <c r="T30" s="698"/>
      <c r="U30" s="699"/>
      <c r="V30" s="698"/>
      <c r="W30" s="699"/>
      <c r="X30" s="700"/>
      <c r="Y30" s="3663"/>
      <c r="Z30" s="52"/>
      <c r="AA30" s="1350">
        <v>1</v>
      </c>
      <c r="AB30" s="1350">
        <v>1</v>
      </c>
      <c r="AC30" s="1350">
        <v>1</v>
      </c>
    </row>
    <row r="31" spans="1:29" ht="15">
      <c r="A31" s="379"/>
      <c r="B31" s="407" t="s">
        <v>1778</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66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63"/>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663"/>
      <c r="Q32" s="1349" t="str">
        <f t="shared" si="8"/>
        <v>毗邻道路的类型与等级</v>
      </c>
      <c r="R32" s="702" t="s">
        <v>14</v>
      </c>
      <c r="S32" s="703">
        <f t="shared" si="10"/>
        <v>100</v>
      </c>
      <c r="T32" s="702" t="s">
        <v>14</v>
      </c>
      <c r="U32" s="703">
        <f t="shared" si="11"/>
        <v>100</v>
      </c>
      <c r="V32" s="702" t="s">
        <v>14</v>
      </c>
      <c r="W32" s="703">
        <f t="shared" si="12"/>
        <v>100</v>
      </c>
      <c r="X32" s="1352"/>
      <c r="Y32" s="366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663"/>
      <c r="Q33" s="1349"/>
      <c r="R33" s="702"/>
      <c r="S33" s="703"/>
      <c r="T33" s="702"/>
      <c r="U33" s="703"/>
      <c r="V33" s="702"/>
      <c r="W33" s="703"/>
      <c r="X33" s="1352"/>
      <c r="Y33" s="3663"/>
      <c r="Z33" s="1353"/>
      <c r="AA33" s="1350">
        <v>1</v>
      </c>
      <c r="AB33" s="1350">
        <v>1</v>
      </c>
      <c r="AC33" s="1350">
        <v>1</v>
      </c>
    </row>
    <row r="34" spans="1:29" ht="15">
      <c r="A34" s="379"/>
      <c r="B34" s="375" t="s">
        <v>1871</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663"/>
      <c r="Q34" s="1349" t="str">
        <f t="shared" si="8"/>
        <v>土地级别</v>
      </c>
      <c r="R34" s="702" t="s">
        <v>14</v>
      </c>
      <c r="S34" s="703">
        <f t="shared" si="10"/>
        <v>100</v>
      </c>
      <c r="T34" s="702" t="s">
        <v>14</v>
      </c>
      <c r="U34" s="703">
        <f t="shared" si="11"/>
        <v>100</v>
      </c>
      <c r="V34" s="702" t="s">
        <v>14</v>
      </c>
      <c r="W34" s="703">
        <f t="shared" si="12"/>
        <v>100</v>
      </c>
      <c r="X34" s="1352"/>
      <c r="Y34" s="3663"/>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663"/>
      <c r="Q35" s="1349">
        <f t="shared" si="8"/>
        <v>111</v>
      </c>
      <c r="R35" s="702" t="s">
        <v>14</v>
      </c>
      <c r="S35" s="703">
        <f t="shared" si="10"/>
        <v>100</v>
      </c>
      <c r="T35" s="702" t="s">
        <v>14</v>
      </c>
      <c r="U35" s="703">
        <f t="shared" si="11"/>
        <v>100</v>
      </c>
      <c r="V35" s="702" t="s">
        <v>14</v>
      </c>
      <c r="W35" s="703">
        <f t="shared" si="12"/>
        <v>100</v>
      </c>
      <c r="X35" s="1352"/>
      <c r="Y35" s="3663"/>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664" t="s">
        <v>1694</v>
      </c>
      <c r="Q36" s="1349">
        <f t="shared" si="8"/>
        <v>111</v>
      </c>
      <c r="R36" s="702" t="s">
        <v>14</v>
      </c>
      <c r="S36" s="703">
        <f t="shared" si="10"/>
        <v>100</v>
      </c>
      <c r="T36" s="702" t="s">
        <v>14</v>
      </c>
      <c r="U36" s="703">
        <f t="shared" si="11"/>
        <v>100</v>
      </c>
      <c r="V36" s="702" t="s">
        <v>14</v>
      </c>
      <c r="W36" s="703">
        <f t="shared" si="12"/>
        <v>100</v>
      </c>
      <c r="X36" s="1352"/>
      <c r="Y36" s="3665" t="s">
        <v>1694</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665"/>
      <c r="Q37" s="1349">
        <f t="shared" si="8"/>
        <v>111</v>
      </c>
      <c r="R37" s="705" t="s">
        <v>14</v>
      </c>
      <c r="S37" s="706">
        <f t="shared" si="10"/>
        <v>100</v>
      </c>
      <c r="T37" s="705" t="s">
        <v>14</v>
      </c>
      <c r="U37" s="706">
        <f t="shared" si="11"/>
        <v>100</v>
      </c>
      <c r="V37" s="705" t="s">
        <v>14</v>
      </c>
      <c r="W37" s="706">
        <f t="shared" si="12"/>
        <v>100</v>
      </c>
      <c r="X37" s="707"/>
      <c r="Y37" s="3665"/>
      <c r="Z37" s="708">
        <f t="shared" si="13"/>
        <v>111</v>
      </c>
      <c r="AA37" s="1350">
        <f t="shared" si="3"/>
        <v>1</v>
      </c>
      <c r="AB37" s="1350">
        <f t="shared" si="4"/>
        <v>1</v>
      </c>
      <c r="AC37" s="1350">
        <f t="shared" si="5"/>
        <v>1</v>
      </c>
    </row>
    <row r="38" spans="1:29" ht="15">
      <c r="A38" s="423" t="s">
        <v>1692</v>
      </c>
      <c r="B38" s="407" t="s">
        <v>1872</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665"/>
      <c r="Q38" s="1349" t="str">
        <f>B38</f>
        <v>宗地面积</v>
      </c>
      <c r="R38" s="702" t="s">
        <v>14</v>
      </c>
      <c r="S38" s="703" t="e">
        <f t="shared" si="10"/>
        <v>#N/A</v>
      </c>
      <c r="T38" s="702" t="s">
        <v>14</v>
      </c>
      <c r="U38" s="703" t="e">
        <f t="shared" si="11"/>
        <v>#N/A</v>
      </c>
      <c r="V38" s="702" t="s">
        <v>14</v>
      </c>
      <c r="W38" s="703" t="e">
        <f t="shared" si="12"/>
        <v>#N/A</v>
      </c>
      <c r="X38" s="1352"/>
      <c r="Y38" s="3665"/>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665"/>
      <c r="Q39" s="1349" t="str">
        <f t="shared" ref="Q39:Q45" si="14">B39</f>
        <v>宗地形状</v>
      </c>
      <c r="R39" s="702" t="s">
        <v>14</v>
      </c>
      <c r="S39" s="703">
        <f t="shared" si="10"/>
        <v>100</v>
      </c>
      <c r="T39" s="702" t="s">
        <v>14</v>
      </c>
      <c r="U39" s="703">
        <f t="shared" si="11"/>
        <v>100</v>
      </c>
      <c r="V39" s="702" t="s">
        <v>14</v>
      </c>
      <c r="W39" s="703">
        <f t="shared" si="12"/>
        <v>100</v>
      </c>
      <c r="X39" s="1352"/>
      <c r="Y39" s="3665"/>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665"/>
      <c r="Q40" s="1349" t="str">
        <f t="shared" si="14"/>
        <v>临街宽度及深度</v>
      </c>
      <c r="R40" s="702" t="s">
        <v>14</v>
      </c>
      <c r="S40" s="703">
        <f t="shared" si="10"/>
        <v>100</v>
      </c>
      <c r="T40" s="702" t="s">
        <v>14</v>
      </c>
      <c r="U40" s="703">
        <f t="shared" si="11"/>
        <v>100</v>
      </c>
      <c r="V40" s="702" t="s">
        <v>14</v>
      </c>
      <c r="W40" s="703">
        <f t="shared" si="12"/>
        <v>100</v>
      </c>
      <c r="X40" s="1352"/>
      <c r="Y40" s="3665"/>
      <c r="Z40" s="1353" t="str">
        <f t="shared" si="13"/>
        <v>临街宽度及深度</v>
      </c>
      <c r="AA40" s="1350">
        <f t="shared" si="3"/>
        <v>1</v>
      </c>
      <c r="AB40" s="1350">
        <f t="shared" si="4"/>
        <v>1</v>
      </c>
      <c r="AC40" s="1350">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665"/>
      <c r="Q41" s="1349" t="str">
        <f t="shared" si="14"/>
        <v>宗地开发程度</v>
      </c>
      <c r="R41" s="698" t="s">
        <v>14</v>
      </c>
      <c r="S41" s="699">
        <f t="shared" si="10"/>
        <v>100</v>
      </c>
      <c r="T41" s="698" t="s">
        <v>14</v>
      </c>
      <c r="U41" s="699">
        <f t="shared" si="11"/>
        <v>100</v>
      </c>
      <c r="V41" s="698" t="s">
        <v>14</v>
      </c>
      <c r="W41" s="699">
        <f t="shared" si="12"/>
        <v>100</v>
      </c>
      <c r="X41" s="700"/>
      <c r="Y41" s="3665"/>
      <c r="Z41" s="52" t="str">
        <f t="shared" si="13"/>
        <v>宗地开发程度</v>
      </c>
      <c r="AA41" s="701">
        <f t="shared" si="3"/>
        <v>1</v>
      </c>
      <c r="AB41" s="701">
        <f t="shared" si="4"/>
        <v>1</v>
      </c>
      <c r="AC41" s="701">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665" t="s">
        <v>1694</v>
      </c>
      <c r="Q42" s="1349" t="str">
        <f t="shared" si="14"/>
        <v>工程地质条件</v>
      </c>
      <c r="R42" s="702" t="s">
        <v>14</v>
      </c>
      <c r="S42" s="703">
        <f t="shared" si="10"/>
        <v>100</v>
      </c>
      <c r="T42" s="702" t="s">
        <v>14</v>
      </c>
      <c r="U42" s="703">
        <f t="shared" si="11"/>
        <v>100</v>
      </c>
      <c r="V42" s="702" t="s">
        <v>14</v>
      </c>
      <c r="W42" s="703">
        <f t="shared" si="12"/>
        <v>100</v>
      </c>
      <c r="X42" s="1352"/>
      <c r="Y42" s="3665" t="s">
        <v>1694</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665"/>
      <c r="Q43" s="1349">
        <f t="shared" si="14"/>
        <v>111</v>
      </c>
      <c r="R43" s="702" t="s">
        <v>14</v>
      </c>
      <c r="S43" s="703">
        <f t="shared" si="10"/>
        <v>100</v>
      </c>
      <c r="T43" s="702" t="s">
        <v>14</v>
      </c>
      <c r="U43" s="703">
        <f t="shared" si="11"/>
        <v>100</v>
      </c>
      <c r="V43" s="702" t="s">
        <v>14</v>
      </c>
      <c r="W43" s="703">
        <f t="shared" si="12"/>
        <v>100</v>
      </c>
      <c r="X43" s="1352"/>
      <c r="Y43" s="3665"/>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665"/>
      <c r="Q44" s="1349">
        <f t="shared" si="14"/>
        <v>111</v>
      </c>
      <c r="R44" s="702" t="s">
        <v>14</v>
      </c>
      <c r="S44" s="703">
        <f t="shared" si="10"/>
        <v>100</v>
      </c>
      <c r="T44" s="702" t="s">
        <v>14</v>
      </c>
      <c r="U44" s="703">
        <f t="shared" si="11"/>
        <v>100</v>
      </c>
      <c r="V44" s="702" t="s">
        <v>14</v>
      </c>
      <c r="W44" s="703">
        <f t="shared" si="12"/>
        <v>100</v>
      </c>
      <c r="X44" s="1352"/>
      <c r="Y44" s="3665"/>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665"/>
      <c r="Q45" s="1349">
        <f t="shared" si="14"/>
        <v>111</v>
      </c>
      <c r="R45" s="705" t="s">
        <v>14</v>
      </c>
      <c r="S45" s="706">
        <f t="shared" si="10"/>
        <v>100</v>
      </c>
      <c r="T45" s="705" t="s">
        <v>14</v>
      </c>
      <c r="U45" s="706">
        <f t="shared" si="11"/>
        <v>100</v>
      </c>
      <c r="V45" s="705" t="s">
        <v>14</v>
      </c>
      <c r="W45" s="706">
        <f t="shared" si="12"/>
        <v>100</v>
      </c>
      <c r="X45" s="707"/>
      <c r="Y45" s="3665"/>
      <c r="Z45" s="708">
        <f t="shared" si="13"/>
        <v>111</v>
      </c>
      <c r="AA45" s="1350">
        <f t="shared" si="3"/>
        <v>1</v>
      </c>
      <c r="AB45" s="1350">
        <f t="shared" si="4"/>
        <v>1</v>
      </c>
      <c r="AC45" s="1350">
        <f t="shared" si="5"/>
        <v>1</v>
      </c>
    </row>
    <row r="46" spans="1:29" ht="15">
      <c r="A46" s="428" t="s">
        <v>1842</v>
      </c>
      <c r="B46" s="1978" t="s">
        <v>1877</v>
      </c>
      <c r="C46" s="627" t="s">
        <v>0</v>
      </c>
      <c r="D46" s="430"/>
      <c r="E46" s="431"/>
      <c r="F46" s="432"/>
      <c r="G46" s="433"/>
      <c r="H46" s="434"/>
      <c r="I46" s="431"/>
      <c r="J46" s="434"/>
      <c r="K46" s="711"/>
      <c r="L46" s="2715"/>
      <c r="M46" s="2716"/>
      <c r="N46" s="2707"/>
      <c r="O46" s="2716"/>
      <c r="P46" s="3657" t="str">
        <f>A46</f>
        <v>成交单价</v>
      </c>
      <c r="Q46" s="3657"/>
      <c r="R46" s="3661">
        <f>E46</f>
        <v>0</v>
      </c>
      <c r="S46" s="3661"/>
      <c r="T46" s="3661">
        <f>G46</f>
        <v>0</v>
      </c>
      <c r="U46" s="3661"/>
      <c r="V46" s="3661">
        <f>I46</f>
        <v>0</v>
      </c>
      <c r="W46" s="3661"/>
      <c r="X46" s="687"/>
      <c r="Y46" s="709"/>
      <c r="Z46" s="687"/>
      <c r="AA46" s="687"/>
      <c r="AB46" s="687"/>
      <c r="AC46" s="687"/>
    </row>
    <row r="47" spans="1:29" ht="15.75" thickBot="1">
      <c r="A47" s="435" t="s">
        <v>1791</v>
      </c>
      <c r="B47" s="628"/>
      <c r="C47" s="438" t="e">
        <f>R48</f>
        <v>#DIV/0!</v>
      </c>
      <c r="D47" s="2313" t="s">
        <v>2135</v>
      </c>
      <c r="E47" s="438" t="e">
        <f>R47</f>
        <v>#DIV/0!</v>
      </c>
      <c r="F47" s="2314"/>
      <c r="G47" s="437" t="e">
        <f>T47</f>
        <v>#DIV/0!</v>
      </c>
      <c r="H47" s="2314"/>
      <c r="I47" s="438" t="e">
        <f>V47</f>
        <v>#DIV/0!</v>
      </c>
      <c r="J47" s="2314"/>
      <c r="K47" s="2316">
        <f>F47+H47+J47</f>
        <v>0</v>
      </c>
      <c r="L47" s="2715"/>
      <c r="M47" s="2716"/>
      <c r="N47" s="2716"/>
      <c r="O47" s="2716"/>
      <c r="P47" s="3657" t="str">
        <f>A47</f>
        <v>比较价值（元/平方米）</v>
      </c>
      <c r="Q47" s="3657"/>
      <c r="R47" s="3658" t="e">
        <f>ROUND(PRODUCT(R46,AA7:AA45),0)</f>
        <v>#DIV/0!</v>
      </c>
      <c r="S47" s="3658"/>
      <c r="T47" s="3658" t="e">
        <f>ROUND(PRODUCT(T46,AB7:AB45),0)</f>
        <v>#DIV/0!</v>
      </c>
      <c r="U47" s="3658"/>
      <c r="V47" s="3658" t="e">
        <f>ROUND(PRODUCT(V46,AC7:AC45),0)</f>
        <v>#DIV/0!</v>
      </c>
      <c r="W47" s="3658"/>
      <c r="X47" s="687"/>
      <c r="Y47" s="687"/>
      <c r="Z47" s="687"/>
      <c r="AA47" s="687"/>
      <c r="AB47" s="687"/>
      <c r="AC47" s="687"/>
    </row>
    <row r="48" spans="1:29" ht="15.75" thickBot="1">
      <c r="A48" s="439" t="s">
        <v>1878</v>
      </c>
      <c r="B48" s="440"/>
      <c r="C48" s="441" t="e">
        <f>R48</f>
        <v>#DIV/0!</v>
      </c>
      <c r="D48" s="441"/>
      <c r="E48" s="441"/>
      <c r="F48" s="441"/>
      <c r="G48" s="441"/>
      <c r="H48" s="441"/>
      <c r="I48" s="441"/>
      <c r="J48" s="441"/>
      <c r="K48" s="712"/>
      <c r="L48" s="2715"/>
      <c r="M48" s="2716"/>
      <c r="N48" s="2716"/>
      <c r="O48" s="2716"/>
      <c r="P48" s="3654" t="str">
        <f>A48</f>
        <v>估价对象XX用房的比较价值（楼面单价，元/平方米）</v>
      </c>
      <c r="Q48" s="3655"/>
      <c r="R48" s="3656" t="e">
        <f>ROUND(IF(D47="简单平均",AVERAGE(R47:W47),R47*F47+T47*H47+V47*J47),0)</f>
        <v>#DIV/0!</v>
      </c>
      <c r="S48" s="3656"/>
      <c r="T48" s="3656"/>
      <c r="U48" s="3656"/>
      <c r="V48" s="3656"/>
      <c r="W48" s="3656"/>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1793</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1794</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1795</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1879</v>
      </c>
      <c r="B55" s="630" t="s">
        <v>1880</v>
      </c>
      <c r="C55" s="1979" t="s">
        <v>1881</v>
      </c>
      <c r="D55" s="1980" t="s">
        <v>1882</v>
      </c>
      <c r="E55" s="631" t="s">
        <v>1883</v>
      </c>
      <c r="F55" s="887" t="s">
        <v>1884</v>
      </c>
      <c r="G55" s="3669" t="s">
        <v>1885</v>
      </c>
      <c r="H55" s="3681"/>
      <c r="I55" s="135" t="s">
        <v>1886</v>
      </c>
      <c r="J55" s="1981">
        <f>项目基本情况!F35</f>
        <v>0</v>
      </c>
      <c r="K55" s="1982" t="s">
        <v>1887</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1888</v>
      </c>
      <c r="B56" s="634" t="e">
        <f>C48</f>
        <v>#DIV/0!</v>
      </c>
      <c r="C56" s="635">
        <v>1</v>
      </c>
      <c r="D56" s="941">
        <v>1</v>
      </c>
      <c r="E56" s="635">
        <f>'数据-汇总表'!E8+'数据-汇总表'!E9</f>
        <v>20593.5</v>
      </c>
      <c r="F56" s="883" t="e">
        <f t="shared" ref="F56:F64" si="15">ROUND(B56*E56/10000,0)</f>
        <v>#DIV/0!</v>
      </c>
      <c r="G56" s="3682"/>
      <c r="H56" s="3657"/>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1889</v>
      </c>
      <c r="B57" s="218" t="e">
        <f>ROUND($C$48*C57*D57,0)</f>
        <v>#DIV/0!</v>
      </c>
      <c r="C57" s="171">
        <f t="shared" ref="C57:C64" si="16">IF($C$55="北京市系数",I57,J57)</f>
        <v>0</v>
      </c>
      <c r="D57" s="942">
        <v>0.25</v>
      </c>
      <c r="E57" s="639"/>
      <c r="F57" s="883" t="e">
        <f t="shared" si="15"/>
        <v>#DIV/0!</v>
      </c>
      <c r="G57" s="2997" t="s">
        <v>1890</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1891</v>
      </c>
      <c r="B58" s="218" t="e">
        <f t="shared" ref="B58:B64" si="17">ROUND($C$48*C58*D58,0)</f>
        <v>#DIV/0!</v>
      </c>
      <c r="C58" s="171">
        <f t="shared" si="16"/>
        <v>0</v>
      </c>
      <c r="D58" s="942">
        <v>0.25</v>
      </c>
      <c r="E58" s="639"/>
      <c r="F58" s="883" t="e">
        <f t="shared" si="15"/>
        <v>#DIV/0!</v>
      </c>
      <c r="G58" s="2998"/>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1892</v>
      </c>
      <c r="B59" s="218" t="e">
        <f t="shared" si="17"/>
        <v>#DIV/0!</v>
      </c>
      <c r="C59" s="171">
        <f t="shared" si="16"/>
        <v>0</v>
      </c>
      <c r="D59" s="942">
        <v>0.25</v>
      </c>
      <c r="E59" s="639"/>
      <c r="F59" s="883" t="e">
        <f t="shared" si="15"/>
        <v>#DIV/0!</v>
      </c>
      <c r="G59" s="2998"/>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1893</v>
      </c>
      <c r="B60" s="218" t="e">
        <f t="shared" si="17"/>
        <v>#DIV/0!</v>
      </c>
      <c r="C60" s="171">
        <f t="shared" si="16"/>
        <v>0</v>
      </c>
      <c r="D60" s="942">
        <v>0.25</v>
      </c>
      <c r="E60" s="217">
        <f>'数据-汇总表'!E11</f>
        <v>0</v>
      </c>
      <c r="F60" s="883" t="e">
        <f t="shared" si="15"/>
        <v>#DIV/0!</v>
      </c>
      <c r="G60" s="1983" t="s">
        <v>1894</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1895</v>
      </c>
      <c r="B61" s="218" t="e">
        <f t="shared" si="17"/>
        <v>#DIV/0!</v>
      </c>
      <c r="C61" s="171">
        <f t="shared" si="16"/>
        <v>0</v>
      </c>
      <c r="D61" s="942">
        <v>0.25</v>
      </c>
      <c r="E61" s="217">
        <f>'数据-汇总表'!E12</f>
        <v>0</v>
      </c>
      <c r="F61" s="883" t="e">
        <f t="shared" si="15"/>
        <v>#DIV/0!</v>
      </c>
      <c r="G61" s="889" t="s">
        <v>1896</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1897</v>
      </c>
      <c r="B62" s="218" t="e">
        <f t="shared" si="17"/>
        <v>#DIV/0!</v>
      </c>
      <c r="C62" s="171">
        <f t="shared" si="16"/>
        <v>0</v>
      </c>
      <c r="D62" s="942">
        <v>0.25</v>
      </c>
      <c r="E62" s="217">
        <f>'数据-汇总表'!E13</f>
        <v>4676.82</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1899</v>
      </c>
      <c r="B63" s="218" t="e">
        <f t="shared" si="17"/>
        <v>#DIV/0!</v>
      </c>
      <c r="C63" s="171">
        <f t="shared" si="16"/>
        <v>0</v>
      </c>
      <c r="D63" s="942">
        <v>0.25</v>
      </c>
      <c r="E63" s="217">
        <f>'数据-汇总表'!E14</f>
        <v>0</v>
      </c>
      <c r="F63" s="883" t="e">
        <f t="shared" si="15"/>
        <v>#DIV/0!</v>
      </c>
      <c r="G63" s="1983" t="s">
        <v>1890</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1900</v>
      </c>
      <c r="B64" s="218" t="e">
        <f t="shared" si="17"/>
        <v>#DIV/0!</v>
      </c>
      <c r="C64" s="171">
        <f t="shared" si="16"/>
        <v>0</v>
      </c>
      <c r="D64" s="942">
        <v>0.25</v>
      </c>
      <c r="E64" s="217">
        <f>'数据-汇总表'!E15</f>
        <v>0</v>
      </c>
      <c r="F64" s="883" t="e">
        <f t="shared" si="15"/>
        <v>#DIV/0!</v>
      </c>
      <c r="G64" s="1984" t="s">
        <v>1894</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1901</v>
      </c>
      <c r="B65" s="641" t="s">
        <v>22</v>
      </c>
      <c r="C65" s="641" t="s">
        <v>23</v>
      </c>
      <c r="D65" s="641" t="s">
        <v>392</v>
      </c>
      <c r="E65" s="641">
        <f>IF(B46="楼面地价",SUM(E56:E64),'数据-汇总表'!D3)</f>
        <v>25270.32</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6"/>
      <c r="Q67" s="2716"/>
      <c r="R67" s="2716"/>
      <c r="S67" s="2716"/>
      <c r="T67" s="2716"/>
      <c r="U67" s="2716"/>
      <c r="V67" s="2716"/>
      <c r="W67" s="2716"/>
      <c r="X67" s="2716"/>
      <c r="Y67" s="2716"/>
      <c r="Z67" s="2716"/>
      <c r="AA67" s="2716"/>
      <c r="AB67" s="2716"/>
      <c r="AC67" s="2716"/>
    </row>
    <row r="68" spans="1:29" ht="21.75" thickBot="1">
      <c r="A68" s="691" t="s">
        <v>1796</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1902</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7"/>
      <c r="Q69" s="2732"/>
      <c r="R69" s="2732"/>
      <c r="S69" s="2732"/>
      <c r="T69" s="2732"/>
      <c r="U69" s="2732"/>
      <c r="V69" s="2732"/>
      <c r="W69" s="2732"/>
      <c r="X69" s="2732"/>
      <c r="Y69" s="2732"/>
      <c r="Z69" s="2732"/>
      <c r="AA69" s="2732"/>
      <c r="AB69" s="2732"/>
      <c r="AC69" s="2732"/>
    </row>
    <row r="70" spans="1:29" s="108" customFormat="1" ht="30" customHeight="1">
      <c r="A70" s="1986" t="s">
        <v>1903</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1714</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1679</v>
      </c>
      <c r="B72" s="457"/>
      <c r="C72" s="469" t="s">
        <v>1774</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1717</v>
      </c>
      <c r="B74" s="475" t="s">
        <v>1683</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1686</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1687</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1688</v>
      </c>
      <c r="B87" s="475" t="s">
        <v>1718</v>
      </c>
      <c r="C87" s="520" t="s">
        <v>1719</v>
      </c>
      <c r="D87" s="520" t="s">
        <v>1720</v>
      </c>
      <c r="E87" s="520" t="s">
        <v>1721</v>
      </c>
      <c r="F87" s="520" t="s">
        <v>1722</v>
      </c>
      <c r="G87" s="520" t="s">
        <v>1723</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1904</v>
      </c>
      <c r="C89" s="525" t="s">
        <v>1719</v>
      </c>
      <c r="D89" s="525" t="s">
        <v>1720</v>
      </c>
      <c r="E89" s="525" t="s">
        <v>1721</v>
      </c>
      <c r="F89" s="525" t="s">
        <v>1722</v>
      </c>
      <c r="G89" s="525" t="s">
        <v>1723</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1819</v>
      </c>
      <c r="C91" s="525" t="s">
        <v>1719</v>
      </c>
      <c r="D91" s="525" t="s">
        <v>1720</v>
      </c>
      <c r="E91" s="525" t="s">
        <v>1721</v>
      </c>
      <c r="F91" s="525" t="s">
        <v>1722</v>
      </c>
      <c r="G91" s="525" t="s">
        <v>1723</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1724</v>
      </c>
      <c r="C93" s="525" t="s">
        <v>1719</v>
      </c>
      <c r="D93" s="525" t="s">
        <v>1720</v>
      </c>
      <c r="E93" s="525" t="s">
        <v>1721</v>
      </c>
      <c r="F93" s="525" t="s">
        <v>1722</v>
      </c>
      <c r="G93" s="525" t="s">
        <v>1723</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1905</v>
      </c>
      <c r="C95" s="525" t="s">
        <v>1719</v>
      </c>
      <c r="D95" s="525" t="s">
        <v>1720</v>
      </c>
      <c r="E95" s="525" t="s">
        <v>1721</v>
      </c>
      <c r="F95" s="525" t="s">
        <v>1722</v>
      </c>
      <c r="G95" s="525" t="s">
        <v>1723</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1777</v>
      </c>
      <c r="C101" s="605" t="s">
        <v>1797</v>
      </c>
      <c r="D101" s="605" t="s">
        <v>1798</v>
      </c>
      <c r="E101" s="605" t="s">
        <v>1799</v>
      </c>
      <c r="F101" s="605" t="s">
        <v>1800</v>
      </c>
      <c r="G101" s="605" t="s">
        <v>1801</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1813</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1871</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1692</v>
      </c>
      <c r="B115" s="475" t="s">
        <v>1911</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1912</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1913</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1914</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1915</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2080</v>
      </c>
      <c r="C1" s="3772" t="s">
        <v>2081</v>
      </c>
      <c r="D1" s="3773"/>
      <c r="E1" s="3773"/>
      <c r="F1" s="3773"/>
      <c r="G1" s="3773"/>
      <c r="H1" s="3773"/>
      <c r="I1" s="3773"/>
      <c r="J1" s="3773"/>
      <c r="K1" s="3773"/>
      <c r="L1" s="3773"/>
      <c r="M1" s="3773"/>
      <c r="N1" s="3773"/>
      <c r="O1" s="3773"/>
      <c r="P1" s="3773"/>
      <c r="Q1" s="3773"/>
      <c r="R1" s="3773"/>
      <c r="S1" s="3774"/>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2084</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2085</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2086</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2090</v>
      </c>
      <c r="B17" s="2145"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2092</v>
      </c>
      <c r="E19" s="1337"/>
      <c r="F19" s="1337"/>
      <c r="G19" s="1337"/>
      <c r="H19" s="1056"/>
      <c r="I19" s="159"/>
      <c r="J19" s="159"/>
      <c r="K19" s="159"/>
      <c r="L19" s="159"/>
      <c r="M19" s="159"/>
      <c r="N19" s="159"/>
      <c r="O19" s="159"/>
      <c r="P19" s="159"/>
      <c r="Q19" s="159"/>
      <c r="R19" s="715"/>
      <c r="S19" s="129"/>
    </row>
    <row r="20" spans="1:45" ht="16.5" thickBot="1">
      <c r="A20" s="659" t="s">
        <v>2093</v>
      </c>
      <c r="B20" s="294" t="e">
        <f ca="1">IF(D20="——",S22,S22-F20)</f>
        <v>#REF!</v>
      </c>
      <c r="C20" s="159"/>
      <c r="D20" s="2147"/>
      <c r="E20" s="1338"/>
      <c r="F20" s="980" t="e">
        <f ca="1">SUMIF(INDIRECT("'"&amp;H20&amp;"'"&amp;"!A:A"),"承租人权益价值",INDIRECT("'"&amp;H20&amp;"'"&amp;"!c:c"))</f>
        <v>#REF!</v>
      </c>
      <c r="G20" s="980" t="s">
        <v>2094</v>
      </c>
      <c r="H20" s="2148"/>
      <c r="I20" s="159"/>
      <c r="J20" s="159"/>
      <c r="K20" s="159"/>
      <c r="L20" s="159"/>
      <c r="M20" s="159"/>
      <c r="N20" s="159"/>
      <c r="O20" s="159"/>
      <c r="P20" s="159"/>
      <c r="Q20" s="159"/>
      <c r="R20" s="715"/>
      <c r="S20" s="129"/>
    </row>
    <row r="21" spans="1:45" ht="15.75">
      <c r="A21" s="659" t="s">
        <v>2095</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2096</v>
      </c>
      <c r="B22" s="21">
        <f>SUM(B24:B10000)</f>
        <v>0</v>
      </c>
      <c r="C22" s="3769" t="s">
        <v>27</v>
      </c>
      <c r="D22" s="3770"/>
      <c r="E22" s="3770"/>
      <c r="F22" s="3770"/>
      <c r="G22" s="3770"/>
      <c r="H22" s="3770"/>
      <c r="I22" s="3770"/>
      <c r="J22" s="3770"/>
      <c r="K22" s="3770"/>
      <c r="L22" s="3770"/>
      <c r="M22" s="3770"/>
      <c r="N22" s="3770"/>
      <c r="O22" s="3770"/>
      <c r="P22" s="3770"/>
      <c r="Q22" s="3771"/>
      <c r="R22" s="660"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3"/>
      <c r="C1" s="2143"/>
      <c r="D1" s="2143"/>
      <c r="E1" s="2143"/>
      <c r="F1" s="2784"/>
      <c r="G1" s="2784"/>
      <c r="H1" s="2784"/>
      <c r="I1" s="2784"/>
      <c r="J1" s="2784"/>
      <c r="K1" s="2784"/>
      <c r="L1" s="2784"/>
      <c r="M1" s="2784"/>
      <c r="N1" s="2784"/>
      <c r="O1" s="2784"/>
      <c r="P1" s="2784"/>
    </row>
    <row r="2" spans="1:16" ht="15.75">
      <c r="A2" s="2141" t="s">
        <v>2070</v>
      </c>
      <c r="B2" s="2593" t="e">
        <f ca="1">SUMIF(B6:B13,"&lt;&gt;#ref!",B6:B13)</f>
        <v>#DIV/0!</v>
      </c>
      <c r="C2" s="2141" t="s">
        <v>2071</v>
      </c>
      <c r="D2" s="2141" t="s">
        <v>2072</v>
      </c>
      <c r="E2" s="2603">
        <f ca="1">SUMIF(E6:E13,"&lt;&gt;#ref!",E6:E13)</f>
        <v>0</v>
      </c>
      <c r="F2" s="2784"/>
      <c r="G2" s="2784"/>
      <c r="H2" s="2784"/>
      <c r="I2" s="2784"/>
      <c r="J2" s="2784"/>
      <c r="K2" s="2784"/>
      <c r="L2" s="2784"/>
      <c r="M2" s="2784"/>
      <c r="N2" s="2784"/>
      <c r="O2" s="2784"/>
      <c r="P2" s="2784"/>
    </row>
    <row r="3" spans="1:16" ht="15.75">
      <c r="A3" s="2141" t="s">
        <v>2073</v>
      </c>
      <c r="B3" s="2593" t="e">
        <f ca="1">ROUND(B2*10000/E2,0)</f>
        <v>#DIV/0!</v>
      </c>
      <c r="C3" s="2141"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2074</v>
      </c>
      <c r="B5" s="2601" t="s">
        <v>2075</v>
      </c>
      <c r="C5" s="2142"/>
      <c r="D5" s="2784"/>
      <c r="E5" s="2602" t="s">
        <v>2076</v>
      </c>
      <c r="F5" s="2784"/>
      <c r="G5" s="2784"/>
      <c r="H5" s="2784"/>
      <c r="I5" s="2784"/>
      <c r="J5" s="2784"/>
      <c r="K5" s="2784"/>
      <c r="L5" s="2784"/>
      <c r="M5" s="2784"/>
      <c r="N5" s="2784"/>
      <c r="O5" s="2784"/>
      <c r="P5" s="2784"/>
    </row>
    <row r="6" spans="1:16" ht="15.75">
      <c r="A6" s="2600" t="s">
        <v>2077</v>
      </c>
      <c r="B6" s="2593" t="e">
        <f ca="1">SUMIF(INDIRECT("'"&amp;A6&amp;"'"&amp;"!A:A"),"总价",INDIRECT("'"&amp;A6&amp;"'"&amp;"!B:B"))</f>
        <v>#DIV/0!</v>
      </c>
      <c r="C6" s="2141" t="s">
        <v>2071</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41" t="s">
        <v>2071</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2071</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2071</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2071</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2071</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2071</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2071</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0"/>
      <c r="B4" s="3472" t="s">
        <v>917</v>
      </c>
      <c r="C4" s="3472"/>
      <c r="D4" s="3472"/>
      <c r="E4" s="1490"/>
    </row>
    <row r="5" spans="1:5" ht="16.5" thickTop="1">
      <c r="A5" s="1488"/>
      <c r="B5" s="3470" t="s">
        <v>909</v>
      </c>
      <c r="C5" s="1491" t="s">
        <v>910</v>
      </c>
      <c r="D5" s="847">
        <f ca="1">结果表!H101</f>
        <v>4588</v>
      </c>
      <c r="E5" s="1488"/>
    </row>
    <row r="6" spans="1:5" ht="15.75">
      <c r="A6" s="1488"/>
      <c r="B6" s="3470"/>
      <c r="C6" s="1491" t="s">
        <v>911</v>
      </c>
      <c r="D6" s="847" t="str">
        <f ca="1">NUMBERSTRING(INT(D5*10000),2)&amp;"元整"</f>
        <v>肆仟伍佰捌拾捌万元整</v>
      </c>
      <c r="E6" s="1488"/>
    </row>
    <row r="7" spans="1:5" ht="15.75">
      <c r="A7" s="1488"/>
      <c r="B7" s="3475"/>
      <c r="C7" s="1492" t="s">
        <v>912</v>
      </c>
      <c r="D7" s="848">
        <f ca="1">结果表!H102</f>
        <v>1697</v>
      </c>
      <c r="E7" s="1488"/>
    </row>
    <row r="8" spans="1:5" ht="15.75">
      <c r="A8" s="1488"/>
      <c r="B8" s="3476" t="str">
        <f>结果表!E103</f>
        <v>2.估价师知悉的法定优先受偿款</v>
      </c>
      <c r="C8" s="1493" t="s">
        <v>913</v>
      </c>
      <c r="D8" s="848">
        <f>结果表!H103</f>
        <v>0</v>
      </c>
      <c r="E8" s="1488"/>
    </row>
    <row r="9" spans="1:5" ht="15.75">
      <c r="A9" s="1488"/>
      <c r="B9" s="347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69" t="str">
        <f>结果表!E107</f>
        <v>3.房地产抵押价值</v>
      </c>
      <c r="C13" s="1496" t="s">
        <v>910</v>
      </c>
      <c r="D13" s="850">
        <f ca="1">结果表!H107</f>
        <v>4588</v>
      </c>
      <c r="E13" s="1488"/>
    </row>
    <row r="14" spans="1:5" ht="15.75">
      <c r="A14" s="1488"/>
      <c r="B14" s="3470"/>
      <c r="C14" s="1491" t="s">
        <v>911</v>
      </c>
      <c r="D14" s="847" t="str">
        <f ca="1">NUMBERSTRING(INT(D13*10000),2)&amp;"元整"</f>
        <v>肆仟伍佰捌拾捌万元整</v>
      </c>
      <c r="E14" s="1488"/>
    </row>
    <row r="15" spans="1:5" ht="15">
      <c r="A15" s="1488"/>
      <c r="B15" s="3475"/>
      <c r="C15" s="1492" t="s">
        <v>921</v>
      </c>
      <c r="D15" s="856">
        <f ca="1">结果表!H108</f>
        <v>1697</v>
      </c>
      <c r="E15" s="1488"/>
    </row>
    <row r="16" spans="1:5" ht="15">
      <c r="A16" s="1488"/>
      <c r="B16" s="3476" t="str">
        <f>结果表!E109</f>
        <v>——</v>
      </c>
      <c r="C16" s="1496" t="s">
        <v>922</v>
      </c>
      <c r="D16" s="1497" t="str">
        <f>结果表!H109</f>
        <v>——</v>
      </c>
      <c r="E16" s="1488"/>
    </row>
    <row r="17" spans="1:5" ht="15.75">
      <c r="A17" s="1488"/>
      <c r="B17" s="3477"/>
      <c r="C17" s="1491" t="s">
        <v>923</v>
      </c>
      <c r="D17" s="847" t="e">
        <f>NUMBERSTRING(INT(D16*10000),2)&amp;"元整"</f>
        <v>#VALUE!</v>
      </c>
      <c r="E17" s="1488"/>
    </row>
    <row r="18" spans="1:5" ht="15">
      <c r="A18" s="1488"/>
      <c r="B18" s="3478"/>
      <c r="C18" s="1492" t="s">
        <v>912</v>
      </c>
      <c r="D18" s="856" t="str">
        <f>结果表!H110</f>
        <v>——</v>
      </c>
      <c r="E18" s="1488"/>
    </row>
    <row r="19" spans="1:5" ht="15.75">
      <c r="A19" s="1488"/>
      <c r="B19" s="3469" t="str">
        <f>结果表!E111</f>
        <v>——</v>
      </c>
      <c r="C19" s="1496" t="s">
        <v>910</v>
      </c>
      <c r="D19" s="848" t="str">
        <f>结果表!H111</f>
        <v>——</v>
      </c>
      <c r="E19" s="1488"/>
    </row>
    <row r="20" spans="1:5" ht="15.75">
      <c r="A20" s="1488"/>
      <c r="B20" s="3470"/>
      <c r="C20" s="1491" t="s">
        <v>923</v>
      </c>
      <c r="D20" s="847" t="e">
        <f>NUMBERSTRING(INT(D19*10000),2)&amp;"元整"</f>
        <v>#VALUE!</v>
      </c>
      <c r="E20" s="1488"/>
    </row>
    <row r="21" spans="1:5" ht="15.75" thickBot="1">
      <c r="A21" s="1488"/>
      <c r="B21" s="3471"/>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3782" t="s">
        <v>2594</v>
      </c>
      <c r="B20" s="3775" t="s">
        <v>2615</v>
      </c>
      <c r="C20" s="3094" t="s">
        <v>2426</v>
      </c>
      <c r="D20" s="3095"/>
      <c r="E20" s="3096">
        <v>1</v>
      </c>
      <c r="F20" s="3097" t="s">
        <v>2427</v>
      </c>
      <c r="G20" s="3097"/>
    </row>
    <row r="21" spans="1:13" ht="19.5" customHeight="1">
      <c r="A21" s="3783"/>
      <c r="B21" s="3776"/>
      <c r="C21" s="3098" t="s">
        <v>2428</v>
      </c>
      <c r="D21" s="3099"/>
      <c r="E21" s="3100">
        <v>1</v>
      </c>
      <c r="F21" s="3097" t="s">
        <v>2429</v>
      </c>
      <c r="G21" s="3097"/>
    </row>
    <row r="22" spans="1:13" ht="19.5" customHeight="1">
      <c r="A22" s="3783"/>
      <c r="B22" s="3776"/>
      <c r="C22" s="3098" t="s">
        <v>2430</v>
      </c>
      <c r="D22" s="3099"/>
      <c r="E22" s="3100">
        <v>0.9</v>
      </c>
      <c r="F22" s="3097" t="s">
        <v>2431</v>
      </c>
      <c r="G22" s="3097"/>
    </row>
    <row r="23" spans="1:13" ht="19.5" customHeight="1">
      <c r="A23" s="3783"/>
      <c r="B23" s="3776"/>
      <c r="C23" s="3098" t="s">
        <v>2432</v>
      </c>
      <c r="D23" s="3099"/>
      <c r="E23" s="3100">
        <v>0.9</v>
      </c>
      <c r="F23" s="3097" t="s">
        <v>2433</v>
      </c>
      <c r="G23" s="3097"/>
    </row>
    <row r="24" spans="1:13" ht="19.5" customHeight="1">
      <c r="A24" s="3783"/>
      <c r="B24" s="3776"/>
      <c r="C24" s="3098" t="s">
        <v>2434</v>
      </c>
      <c r="D24" s="3099"/>
      <c r="E24" s="3100">
        <v>0.8</v>
      </c>
      <c r="F24" s="3097" t="s">
        <v>2435</v>
      </c>
      <c r="G24" s="3097"/>
    </row>
    <row r="25" spans="1:13" ht="19.5" customHeight="1" thickBot="1">
      <c r="A25" s="3784"/>
      <c r="B25" s="3777"/>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3778" t="s">
        <v>2618</v>
      </c>
      <c r="B27" s="3775" t="s">
        <v>2599</v>
      </c>
      <c r="C27" s="3094" t="s">
        <v>2439</v>
      </c>
      <c r="D27" s="3095"/>
      <c r="E27" s="3096">
        <v>1</v>
      </c>
      <c r="F27" s="3097" t="s">
        <v>2440</v>
      </c>
      <c r="G27" s="3097"/>
    </row>
    <row r="28" spans="1:13" ht="19.5" customHeight="1">
      <c r="A28" s="3779"/>
      <c r="B28" s="3776"/>
      <c r="C28" s="3098" t="s">
        <v>2441</v>
      </c>
      <c r="D28" s="3099"/>
      <c r="E28" s="3100">
        <v>1</v>
      </c>
      <c r="F28" s="3097" t="s">
        <v>2442</v>
      </c>
      <c r="G28" s="3097"/>
    </row>
    <row r="29" spans="1:13" ht="19.5" customHeight="1">
      <c r="A29" s="3779"/>
      <c r="B29" s="3776"/>
      <c r="C29" s="3098" t="s">
        <v>2443</v>
      </c>
      <c r="D29" s="3099"/>
      <c r="E29" s="3100">
        <v>0.8</v>
      </c>
      <c r="F29" s="3097" t="s">
        <v>2444</v>
      </c>
      <c r="G29" s="3097"/>
    </row>
    <row r="30" spans="1:13" ht="19.5" customHeight="1">
      <c r="A30" s="3779"/>
      <c r="B30" s="3776"/>
      <c r="C30" s="3098" t="s">
        <v>2445</v>
      </c>
      <c r="D30" s="3099"/>
      <c r="E30" s="3100">
        <v>0.8</v>
      </c>
      <c r="F30" s="3097" t="s">
        <v>2446</v>
      </c>
      <c r="G30" s="3097"/>
    </row>
    <row r="31" spans="1:13" ht="19.5" customHeight="1">
      <c r="A31" s="3779"/>
      <c r="B31" s="3776"/>
      <c r="C31" s="3098" t="s">
        <v>2447</v>
      </c>
      <c r="D31" s="3099"/>
      <c r="E31" s="3100">
        <v>0.8</v>
      </c>
      <c r="F31" s="3097" t="s">
        <v>2448</v>
      </c>
      <c r="G31" s="3097"/>
    </row>
    <row r="32" spans="1:13" ht="19.5" customHeight="1">
      <c r="A32" s="3779"/>
      <c r="B32" s="3776"/>
      <c r="C32" s="3098" t="s">
        <v>2449</v>
      </c>
      <c r="D32" s="3099"/>
      <c r="E32" s="3100">
        <v>0.7</v>
      </c>
      <c r="F32" s="3097" t="s">
        <v>2450</v>
      </c>
      <c r="G32" s="3097"/>
    </row>
    <row r="33" spans="1:7" ht="19.5" customHeight="1">
      <c r="A33" s="3779"/>
      <c r="B33" s="3776"/>
      <c r="C33" s="3098" t="s">
        <v>2451</v>
      </c>
      <c r="D33" s="3099"/>
      <c r="E33" s="3100">
        <v>0.8</v>
      </c>
      <c r="F33" s="3097" t="s">
        <v>2452</v>
      </c>
      <c r="G33" s="3097"/>
    </row>
    <row r="34" spans="1:7" ht="19.5" customHeight="1">
      <c r="A34" s="3779"/>
      <c r="B34" s="3776"/>
      <c r="C34" s="3098" t="s">
        <v>2453</v>
      </c>
      <c r="D34" s="3099"/>
      <c r="E34" s="3100">
        <v>0.6</v>
      </c>
      <c r="F34" s="3097" t="s">
        <v>2454</v>
      </c>
      <c r="G34" s="3097"/>
    </row>
    <row r="35" spans="1:7" ht="19.5" customHeight="1">
      <c r="A35" s="3779"/>
      <c r="B35" s="3776"/>
      <c r="C35" s="3098" t="s">
        <v>2455</v>
      </c>
      <c r="D35" s="3099"/>
      <c r="E35" s="3100">
        <v>0.2</v>
      </c>
      <c r="F35" s="3097" t="s">
        <v>2456</v>
      </c>
      <c r="G35" s="3097"/>
    </row>
    <row r="36" spans="1:7" ht="19.5" customHeight="1">
      <c r="A36" s="3779"/>
      <c r="B36" s="3776"/>
      <c r="C36" s="3098" t="s">
        <v>2457</v>
      </c>
      <c r="D36" s="3099"/>
      <c r="E36" s="3100">
        <v>0.2</v>
      </c>
      <c r="F36" s="3097" t="s">
        <v>2458</v>
      </c>
      <c r="G36" s="3097"/>
    </row>
    <row r="37" spans="1:7" ht="19.5" customHeight="1">
      <c r="A37" s="3779"/>
      <c r="B37" s="3781" t="s">
        <v>2619</v>
      </c>
      <c r="C37" s="3098" t="s">
        <v>2459</v>
      </c>
      <c r="D37" s="3099"/>
      <c r="E37" s="3100">
        <v>0.6</v>
      </c>
      <c r="F37" s="3097" t="s">
        <v>2460</v>
      </c>
      <c r="G37" s="3097"/>
    </row>
    <row r="38" spans="1:7" ht="19.5" customHeight="1">
      <c r="A38" s="3779"/>
      <c r="B38" s="3776"/>
      <c r="C38" s="3098" t="s">
        <v>2461</v>
      </c>
      <c r="D38" s="3099"/>
      <c r="E38" s="3100">
        <v>0.6</v>
      </c>
      <c r="F38" s="3097" t="s">
        <v>2462</v>
      </c>
      <c r="G38" s="3097"/>
    </row>
    <row r="39" spans="1:7" ht="19.5" customHeight="1" thickBot="1">
      <c r="A39" s="3780"/>
      <c r="B39" s="3777"/>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3782" t="s">
        <v>2597</v>
      </c>
      <c r="B41" s="3775" t="s">
        <v>2621</v>
      </c>
      <c r="C41" s="3094" t="s">
        <v>2466</v>
      </c>
      <c r="D41" s="3095"/>
      <c r="E41" s="3096">
        <v>1</v>
      </c>
      <c r="F41" s="3097" t="s">
        <v>2467</v>
      </c>
      <c r="G41" s="3097"/>
    </row>
    <row r="42" spans="1:7" ht="19.5" customHeight="1">
      <c r="A42" s="3783"/>
      <c r="B42" s="3776"/>
      <c r="C42" s="3098" t="s">
        <v>2468</v>
      </c>
      <c r="D42" s="3099"/>
      <c r="E42" s="3100">
        <v>1</v>
      </c>
      <c r="F42" s="3097" t="s">
        <v>2469</v>
      </c>
      <c r="G42" s="3097"/>
    </row>
    <row r="43" spans="1:7" ht="19.5" customHeight="1">
      <c r="A43" s="3783"/>
      <c r="B43" s="3785"/>
      <c r="C43" s="3098" t="s">
        <v>2470</v>
      </c>
      <c r="D43" s="3099"/>
      <c r="E43" s="3100">
        <v>1.5</v>
      </c>
      <c r="F43" s="3097" t="s">
        <v>2471</v>
      </c>
      <c r="G43" s="3097"/>
    </row>
    <row r="44" spans="1:7" ht="19.5" customHeight="1">
      <c r="A44" s="3783"/>
      <c r="B44" s="3109" t="s">
        <v>2622</v>
      </c>
      <c r="C44" s="3098" t="s">
        <v>2623</v>
      </c>
      <c r="D44" s="3099"/>
      <c r="E44" s="3100">
        <v>2</v>
      </c>
      <c r="F44" s="3097" t="s">
        <v>2472</v>
      </c>
      <c r="G44" s="3097"/>
    </row>
    <row r="45" spans="1:7" ht="19.5" customHeight="1">
      <c r="A45" s="3783"/>
      <c r="B45" s="3781" t="s">
        <v>2624</v>
      </c>
      <c r="C45" s="3098" t="s">
        <v>2473</v>
      </c>
      <c r="D45" s="3099"/>
      <c r="E45" s="3100">
        <v>1</v>
      </c>
      <c r="F45" s="3097" t="s">
        <v>2474</v>
      </c>
      <c r="G45" s="3097"/>
    </row>
    <row r="46" spans="1:7" ht="19.5" customHeight="1">
      <c r="A46" s="3783"/>
      <c r="B46" s="3776"/>
      <c r="C46" s="3098" t="s">
        <v>2475</v>
      </c>
      <c r="D46" s="3099"/>
      <c r="E46" s="3100">
        <v>1</v>
      </c>
      <c r="F46" s="3097" t="s">
        <v>2476</v>
      </c>
      <c r="G46" s="3097"/>
    </row>
    <row r="47" spans="1:7" ht="19.5" customHeight="1">
      <c r="A47" s="3783"/>
      <c r="B47" s="3776"/>
      <c r="C47" s="3098" t="s">
        <v>2477</v>
      </c>
      <c r="D47" s="3099"/>
      <c r="E47" s="3100">
        <v>1</v>
      </c>
      <c r="F47" s="3097" t="s">
        <v>2478</v>
      </c>
      <c r="G47" s="3097"/>
    </row>
    <row r="48" spans="1:7" ht="19.5" customHeight="1">
      <c r="A48" s="3783"/>
      <c r="B48" s="3776"/>
      <c r="C48" s="3098" t="s">
        <v>2479</v>
      </c>
      <c r="D48" s="3099"/>
      <c r="E48" s="3100">
        <v>1</v>
      </c>
      <c r="F48" s="3097" t="s">
        <v>2480</v>
      </c>
      <c r="G48" s="3097"/>
    </row>
    <row r="49" spans="1:7" ht="19.5" customHeight="1">
      <c r="A49" s="3783"/>
      <c r="B49" s="3776"/>
      <c r="C49" s="3098" t="s">
        <v>2481</v>
      </c>
      <c r="D49" s="3099"/>
      <c r="E49" s="3100">
        <v>1</v>
      </c>
      <c r="F49" s="3097" t="s">
        <v>2482</v>
      </c>
      <c r="G49" s="3097"/>
    </row>
    <row r="50" spans="1:7" ht="19.5" customHeight="1">
      <c r="A50" s="3783"/>
      <c r="B50" s="3776"/>
      <c r="C50" s="3098" t="s">
        <v>2483</v>
      </c>
      <c r="D50" s="3099"/>
      <c r="E50" s="3100">
        <v>1</v>
      </c>
      <c r="F50" s="3097" t="s">
        <v>2484</v>
      </c>
      <c r="G50" s="3097"/>
    </row>
    <row r="51" spans="1:7" ht="19.5" customHeight="1" thickBot="1">
      <c r="A51" s="3784"/>
      <c r="B51" s="3777"/>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3781" t="s">
        <v>2638</v>
      </c>
      <c r="C73" s="3083" t="s">
        <v>2639</v>
      </c>
      <c r="D73" s="3083" t="s">
        <v>2640</v>
      </c>
      <c r="E73" s="3109">
        <v>0.2</v>
      </c>
      <c r="F73" s="3109">
        <v>25</v>
      </c>
    </row>
    <row r="74" spans="1:7" ht="24">
      <c r="A74" s="3109">
        <v>2</v>
      </c>
      <c r="B74" s="3776"/>
      <c r="C74" s="3083" t="s">
        <v>2641</v>
      </c>
      <c r="D74" s="3083" t="s">
        <v>2642</v>
      </c>
      <c r="E74" s="3109">
        <v>0.2</v>
      </c>
      <c r="F74" s="3109">
        <v>25</v>
      </c>
    </row>
    <row r="75" spans="1:7" ht="24">
      <c r="A75" s="3109">
        <v>3</v>
      </c>
      <c r="B75" s="3776"/>
      <c r="C75" s="3083" t="s">
        <v>2643</v>
      </c>
      <c r="D75" s="3083" t="s">
        <v>2644</v>
      </c>
      <c r="E75" s="3109">
        <v>0.2</v>
      </c>
      <c r="F75" s="3109">
        <v>25</v>
      </c>
    </row>
    <row r="76" spans="1:7" ht="13.5">
      <c r="A76" s="3109">
        <v>4</v>
      </c>
      <c r="B76" s="3776"/>
      <c r="C76" s="3083" t="s">
        <v>2645</v>
      </c>
      <c r="D76" s="3083" t="s">
        <v>2646</v>
      </c>
      <c r="E76" s="3109">
        <v>0.15</v>
      </c>
      <c r="F76" s="3109">
        <v>20</v>
      </c>
    </row>
    <row r="77" spans="1:7" ht="24">
      <c r="A77" s="3109">
        <v>5</v>
      </c>
      <c r="B77" s="3776"/>
      <c r="C77" s="3083" t="s">
        <v>2647</v>
      </c>
      <c r="D77" s="3083" t="s">
        <v>2648</v>
      </c>
      <c r="E77" s="3109">
        <v>0.15</v>
      </c>
      <c r="F77" s="3109">
        <v>20</v>
      </c>
    </row>
    <row r="78" spans="1:7" ht="24">
      <c r="A78" s="3109">
        <v>6</v>
      </c>
      <c r="B78" s="3776"/>
      <c r="C78" s="3083" t="s">
        <v>2649</v>
      </c>
      <c r="D78" s="3083" t="s">
        <v>2650</v>
      </c>
      <c r="E78" s="3109">
        <v>0.15</v>
      </c>
      <c r="F78" s="3109">
        <v>20</v>
      </c>
    </row>
    <row r="79" spans="1:7" ht="24">
      <c r="A79" s="3109">
        <v>7</v>
      </c>
      <c r="B79" s="3776"/>
      <c r="C79" s="3083" t="s">
        <v>2651</v>
      </c>
      <c r="D79" s="3083" t="s">
        <v>2652</v>
      </c>
      <c r="E79" s="3109">
        <v>0.15</v>
      </c>
      <c r="F79" s="3109">
        <v>20</v>
      </c>
    </row>
    <row r="80" spans="1:7" ht="24">
      <c r="A80" s="3109">
        <v>8</v>
      </c>
      <c r="B80" s="3776"/>
      <c r="C80" s="3083" t="s">
        <v>2653</v>
      </c>
      <c r="D80" s="3083" t="s">
        <v>2654</v>
      </c>
      <c r="E80" s="3109">
        <v>0.1</v>
      </c>
      <c r="F80" s="3109">
        <v>15</v>
      </c>
    </row>
    <row r="81" spans="1:6" ht="24">
      <c r="A81" s="3109">
        <v>9</v>
      </c>
      <c r="B81" s="3776"/>
      <c r="C81" s="3083" t="s">
        <v>2655</v>
      </c>
      <c r="D81" s="3083" t="s">
        <v>2656</v>
      </c>
      <c r="E81" s="3109">
        <v>0.1</v>
      </c>
      <c r="F81" s="3109">
        <v>15</v>
      </c>
    </row>
    <row r="82" spans="1:6" ht="24">
      <c r="A82" s="3109">
        <v>10</v>
      </c>
      <c r="B82" s="3776"/>
      <c r="C82" s="3083" t="s">
        <v>2657</v>
      </c>
      <c r="D82" s="3083" t="s">
        <v>2658</v>
      </c>
      <c r="E82" s="3109">
        <v>0.1</v>
      </c>
      <c r="F82" s="3109">
        <v>15</v>
      </c>
    </row>
    <row r="83" spans="1:6" ht="24">
      <c r="A83" s="3109">
        <v>11</v>
      </c>
      <c r="B83" s="3776"/>
      <c r="C83" s="3083" t="s">
        <v>2659</v>
      </c>
      <c r="D83" s="3083" t="s">
        <v>2660</v>
      </c>
      <c r="E83" s="3109">
        <v>0.1</v>
      </c>
      <c r="F83" s="3109">
        <v>15</v>
      </c>
    </row>
    <row r="84" spans="1:6" ht="24">
      <c r="A84" s="3109">
        <v>12</v>
      </c>
      <c r="B84" s="3776"/>
      <c r="C84" s="3083" t="s">
        <v>2661</v>
      </c>
      <c r="D84" s="3083" t="s">
        <v>2662</v>
      </c>
      <c r="E84" s="3109">
        <v>0.1</v>
      </c>
      <c r="F84" s="3109">
        <v>15</v>
      </c>
    </row>
    <row r="85" spans="1:6" ht="13.5">
      <c r="A85" s="3109">
        <v>13</v>
      </c>
      <c r="B85" s="3776"/>
      <c r="C85" s="3083" t="s">
        <v>2663</v>
      </c>
      <c r="D85" s="3083" t="s">
        <v>2664</v>
      </c>
      <c r="E85" s="3109">
        <v>0.1</v>
      </c>
      <c r="F85" s="3109">
        <v>15</v>
      </c>
    </row>
    <row r="86" spans="1:6" ht="13.5">
      <c r="A86" s="3109">
        <v>14</v>
      </c>
      <c r="B86" s="3776"/>
      <c r="C86" s="3083" t="s">
        <v>2665</v>
      </c>
      <c r="D86" s="3083" t="s">
        <v>2666</v>
      </c>
      <c r="E86" s="3109">
        <v>0.1</v>
      </c>
      <c r="F86" s="3109">
        <v>15</v>
      </c>
    </row>
    <row r="87" spans="1:6" ht="13.5">
      <c r="A87" s="3109">
        <v>15</v>
      </c>
      <c r="B87" s="3776"/>
      <c r="C87" s="3083" t="s">
        <v>2667</v>
      </c>
      <c r="D87" s="3083" t="s">
        <v>2668</v>
      </c>
      <c r="E87" s="3109">
        <v>0.1</v>
      </c>
      <c r="F87" s="3109">
        <v>15</v>
      </c>
    </row>
    <row r="88" spans="1:6" ht="24">
      <c r="A88" s="3109">
        <v>16</v>
      </c>
      <c r="B88" s="3776"/>
      <c r="C88" s="3083" t="s">
        <v>2669</v>
      </c>
      <c r="D88" s="3083" t="s">
        <v>2670</v>
      </c>
      <c r="E88" s="3109">
        <v>0.1</v>
      </c>
      <c r="F88" s="3109">
        <v>15</v>
      </c>
    </row>
    <row r="89" spans="1:6" ht="24">
      <c r="A89" s="3109">
        <v>17</v>
      </c>
      <c r="B89" s="3785"/>
      <c r="C89" s="3083" t="s">
        <v>2671</v>
      </c>
      <c r="D89" s="3083" t="s">
        <v>2672</v>
      </c>
      <c r="E89" s="3109">
        <v>0.1</v>
      </c>
      <c r="F89" s="3109">
        <v>15</v>
      </c>
    </row>
    <row r="90" spans="1:6" ht="13.5">
      <c r="A90" s="3109">
        <v>18</v>
      </c>
      <c r="B90" s="3781" t="s">
        <v>2673</v>
      </c>
      <c r="C90" s="3083" t="s">
        <v>2674</v>
      </c>
      <c r="D90" s="3083" t="s">
        <v>2675</v>
      </c>
      <c r="E90" s="3109">
        <v>0.2</v>
      </c>
      <c r="F90" s="3109">
        <v>25</v>
      </c>
    </row>
    <row r="91" spans="1:6" ht="24">
      <c r="A91" s="3109">
        <v>19</v>
      </c>
      <c r="B91" s="3776"/>
      <c r="C91" s="3083" t="s">
        <v>2676</v>
      </c>
      <c r="D91" s="3083" t="s">
        <v>2677</v>
      </c>
      <c r="E91" s="3109">
        <v>0.2</v>
      </c>
      <c r="F91" s="3109">
        <v>25</v>
      </c>
    </row>
    <row r="92" spans="1:6" ht="13.5">
      <c r="A92" s="3109">
        <v>20</v>
      </c>
      <c r="B92" s="3776"/>
      <c r="C92" s="3083" t="s">
        <v>2678</v>
      </c>
      <c r="D92" s="3083" t="s">
        <v>2679</v>
      </c>
      <c r="E92" s="3109">
        <v>0.15</v>
      </c>
      <c r="F92" s="3109">
        <v>20</v>
      </c>
    </row>
    <row r="93" spans="1:6" ht="13.5">
      <c r="A93" s="3109">
        <v>21</v>
      </c>
      <c r="B93" s="3776"/>
      <c r="C93" s="3083" t="s">
        <v>2680</v>
      </c>
      <c r="D93" s="3083" t="s">
        <v>2681</v>
      </c>
      <c r="E93" s="3109">
        <v>0.15</v>
      </c>
      <c r="F93" s="3109">
        <v>20</v>
      </c>
    </row>
    <row r="94" spans="1:6" ht="13.5">
      <c r="A94" s="3109">
        <v>22</v>
      </c>
      <c r="B94" s="3776"/>
      <c r="C94" s="3083" t="s">
        <v>2682</v>
      </c>
      <c r="D94" s="3083" t="s">
        <v>2683</v>
      </c>
      <c r="E94" s="3109">
        <v>0.15</v>
      </c>
      <c r="F94" s="3109">
        <v>20</v>
      </c>
    </row>
    <row r="95" spans="1:6" ht="36">
      <c r="A95" s="3109">
        <v>23</v>
      </c>
      <c r="B95" s="3776"/>
      <c r="C95" s="3083" t="s">
        <v>2684</v>
      </c>
      <c r="D95" s="3083" t="s">
        <v>2685</v>
      </c>
      <c r="E95" s="3109">
        <v>0.15</v>
      </c>
      <c r="F95" s="3109">
        <v>20</v>
      </c>
    </row>
    <row r="96" spans="1:6" ht="13.5">
      <c r="A96" s="3109">
        <v>24</v>
      </c>
      <c r="B96" s="3776"/>
      <c r="C96" s="3083" t="s">
        <v>2686</v>
      </c>
      <c r="D96" s="3083" t="s">
        <v>2687</v>
      </c>
      <c r="E96" s="3109">
        <v>0.1</v>
      </c>
      <c r="F96" s="3109">
        <v>15</v>
      </c>
    </row>
    <row r="97" spans="1:6" ht="13.5">
      <c r="A97" s="3109">
        <v>25</v>
      </c>
      <c r="B97" s="3776"/>
      <c r="C97" s="3083" t="s">
        <v>2688</v>
      </c>
      <c r="D97" s="3083" t="s">
        <v>2689</v>
      </c>
      <c r="E97" s="3109">
        <v>0.1</v>
      </c>
      <c r="F97" s="3109">
        <v>15</v>
      </c>
    </row>
    <row r="98" spans="1:6" ht="24">
      <c r="A98" s="3109">
        <v>26</v>
      </c>
      <c r="B98" s="3776"/>
      <c r="C98" s="3083" t="s">
        <v>2690</v>
      </c>
      <c r="D98" s="3083" t="s">
        <v>2691</v>
      </c>
      <c r="E98" s="3109">
        <v>0.1</v>
      </c>
      <c r="F98" s="3109">
        <v>15</v>
      </c>
    </row>
    <row r="99" spans="1:6" ht="24">
      <c r="A99" s="3109">
        <v>27</v>
      </c>
      <c r="B99" s="3776"/>
      <c r="C99" s="3083" t="s">
        <v>2692</v>
      </c>
      <c r="D99" s="3083" t="s">
        <v>2693</v>
      </c>
      <c r="E99" s="3109">
        <v>0.1</v>
      </c>
      <c r="F99" s="3109">
        <v>15</v>
      </c>
    </row>
    <row r="100" spans="1:6" ht="13.5">
      <c r="A100" s="3109">
        <v>28</v>
      </c>
      <c r="B100" s="3776"/>
      <c r="C100" s="3083" t="s">
        <v>2694</v>
      </c>
      <c r="D100" s="3083" t="s">
        <v>2695</v>
      </c>
      <c r="E100" s="3109">
        <v>0.1</v>
      </c>
      <c r="F100" s="3109">
        <v>15</v>
      </c>
    </row>
    <row r="101" spans="1:6" ht="13.5">
      <c r="A101" s="3109">
        <v>29</v>
      </c>
      <c r="B101" s="3776"/>
      <c r="C101" s="3083" t="s">
        <v>2696</v>
      </c>
      <c r="D101" s="3083" t="s">
        <v>2697</v>
      </c>
      <c r="E101" s="3109">
        <v>0.1</v>
      </c>
      <c r="F101" s="3109">
        <v>15</v>
      </c>
    </row>
    <row r="102" spans="1:6" ht="13.5">
      <c r="A102" s="3109">
        <v>30</v>
      </c>
      <c r="B102" s="3776"/>
      <c r="C102" s="3083" t="s">
        <v>2698</v>
      </c>
      <c r="D102" s="3083" t="s">
        <v>2699</v>
      </c>
      <c r="E102" s="3109">
        <v>0.1</v>
      </c>
      <c r="F102" s="3109">
        <v>15</v>
      </c>
    </row>
    <row r="103" spans="1:6" ht="24">
      <c r="A103" s="3109">
        <v>31</v>
      </c>
      <c r="B103" s="3776"/>
      <c r="C103" s="3083" t="s">
        <v>2700</v>
      </c>
      <c r="D103" s="3083" t="s">
        <v>2701</v>
      </c>
      <c r="E103" s="3109">
        <v>0.1</v>
      </c>
      <c r="F103" s="3109">
        <v>15</v>
      </c>
    </row>
    <row r="104" spans="1:6" ht="24">
      <c r="A104" s="3109">
        <v>32</v>
      </c>
      <c r="B104" s="3776"/>
      <c r="C104" s="3083" t="s">
        <v>2702</v>
      </c>
      <c r="D104" s="3083" t="s">
        <v>2703</v>
      </c>
      <c r="E104" s="3109">
        <v>0.1</v>
      </c>
      <c r="F104" s="3109">
        <v>15</v>
      </c>
    </row>
    <row r="105" spans="1:6" ht="24">
      <c r="A105" s="3109">
        <v>33</v>
      </c>
      <c r="B105" s="3776"/>
      <c r="C105" s="3083" t="s">
        <v>2704</v>
      </c>
      <c r="D105" s="3083" t="s">
        <v>2705</v>
      </c>
      <c r="E105" s="3109">
        <v>0.1</v>
      </c>
      <c r="F105" s="3109">
        <v>15</v>
      </c>
    </row>
    <row r="106" spans="1:6" ht="24">
      <c r="A106" s="3109">
        <v>34</v>
      </c>
      <c r="B106" s="3785"/>
      <c r="C106" s="3083" t="s">
        <v>2706</v>
      </c>
      <c r="D106" s="3083" t="s">
        <v>2707</v>
      </c>
      <c r="E106" s="3109">
        <v>0.1</v>
      </c>
      <c r="F106" s="3109">
        <v>15</v>
      </c>
    </row>
    <row r="107" spans="1:6" ht="24">
      <c r="A107" s="3109">
        <v>35</v>
      </c>
      <c r="B107" s="3781" t="s">
        <v>2708</v>
      </c>
      <c r="C107" s="3109" t="s">
        <v>2709</v>
      </c>
      <c r="D107" s="3083" t="s">
        <v>2710</v>
      </c>
      <c r="E107" s="3109">
        <v>0.15</v>
      </c>
      <c r="F107" s="3109">
        <v>20</v>
      </c>
    </row>
    <row r="108" spans="1:6" ht="13.5">
      <c r="A108" s="3109">
        <v>36</v>
      </c>
      <c r="B108" s="3776"/>
      <c r="C108" s="3109" t="s">
        <v>2711</v>
      </c>
      <c r="D108" s="3083" t="s">
        <v>2712</v>
      </c>
      <c r="E108" s="3109">
        <v>0.15</v>
      </c>
      <c r="F108" s="3109">
        <v>20</v>
      </c>
    </row>
    <row r="109" spans="1:6" ht="13.5">
      <c r="A109" s="3109">
        <v>37</v>
      </c>
      <c r="B109" s="3776"/>
      <c r="C109" s="3109" t="s">
        <v>2713</v>
      </c>
      <c r="D109" s="3083" t="s">
        <v>2714</v>
      </c>
      <c r="E109" s="3109">
        <v>0.15</v>
      </c>
      <c r="F109" s="3109">
        <v>20</v>
      </c>
    </row>
    <row r="110" spans="1:6" ht="13.5">
      <c r="A110" s="3109">
        <v>38</v>
      </c>
      <c r="B110" s="3776"/>
      <c r="C110" s="3109" t="s">
        <v>2715</v>
      </c>
      <c r="D110" s="3083" t="s">
        <v>2716</v>
      </c>
      <c r="E110" s="3109">
        <v>0.1</v>
      </c>
      <c r="F110" s="3109">
        <v>15</v>
      </c>
    </row>
    <row r="111" spans="1:6" ht="24">
      <c r="A111" s="3109">
        <v>39</v>
      </c>
      <c r="B111" s="3776"/>
      <c r="C111" s="3109" t="s">
        <v>2717</v>
      </c>
      <c r="D111" s="3083" t="s">
        <v>2718</v>
      </c>
      <c r="E111" s="3109">
        <v>0.1</v>
      </c>
      <c r="F111" s="3109">
        <v>15</v>
      </c>
    </row>
    <row r="112" spans="1:6" ht="24">
      <c r="A112" s="3109">
        <v>40</v>
      </c>
      <c r="B112" s="3785"/>
      <c r="C112" s="3109" t="s">
        <v>2719</v>
      </c>
      <c r="D112" s="3083" t="s">
        <v>2720</v>
      </c>
      <c r="E112" s="3109">
        <v>0.1</v>
      </c>
      <c r="F112" s="3109">
        <v>15</v>
      </c>
    </row>
    <row r="113" spans="1:6" ht="13.5">
      <c r="A113" s="3109">
        <v>41</v>
      </c>
      <c r="B113" s="3786" t="s">
        <v>2721</v>
      </c>
      <c r="C113" s="3109" t="s">
        <v>2722</v>
      </c>
      <c r="D113" s="3083" t="s">
        <v>2723</v>
      </c>
      <c r="E113" s="3109">
        <v>0.1</v>
      </c>
      <c r="F113" s="3109">
        <v>15</v>
      </c>
    </row>
    <row r="114" spans="1:6" ht="13.5">
      <c r="A114" s="3109">
        <v>42</v>
      </c>
      <c r="B114" s="3786"/>
      <c r="C114" s="3109" t="s">
        <v>2724</v>
      </c>
      <c r="D114" s="3083" t="s">
        <v>2725</v>
      </c>
      <c r="E114" s="3109">
        <v>0.1</v>
      </c>
      <c r="F114" s="3109">
        <v>15</v>
      </c>
    </row>
    <row r="115" spans="1:6" ht="24">
      <c r="A115" s="3109">
        <v>43</v>
      </c>
      <c r="B115" s="3786"/>
      <c r="C115" s="3109" t="s">
        <v>2726</v>
      </c>
      <c r="D115" s="3083" t="s">
        <v>2727</v>
      </c>
      <c r="E115" s="3109">
        <v>0.1</v>
      </c>
      <c r="F115" s="3109">
        <v>15</v>
      </c>
    </row>
    <row r="116" spans="1:6" ht="13.5">
      <c r="A116" s="3109">
        <v>44</v>
      </c>
      <c r="B116" s="3781" t="s">
        <v>2728</v>
      </c>
      <c r="C116" s="3109" t="s">
        <v>2729</v>
      </c>
      <c r="D116" s="3083" t="s">
        <v>2730</v>
      </c>
      <c r="E116" s="3109">
        <v>0.1</v>
      </c>
      <c r="F116" s="3109">
        <v>15</v>
      </c>
    </row>
    <row r="117" spans="1:6" ht="24">
      <c r="A117" s="3109">
        <v>45</v>
      </c>
      <c r="B117" s="3785"/>
      <c r="C117" s="3083" t="s">
        <v>2731</v>
      </c>
      <c r="D117" s="3083" t="s">
        <v>2732</v>
      </c>
      <c r="E117" s="3109">
        <v>0.1</v>
      </c>
      <c r="F117" s="3109">
        <v>15</v>
      </c>
    </row>
    <row r="118" spans="1:6" ht="24">
      <c r="A118" s="3109">
        <v>46</v>
      </c>
      <c r="B118" s="3781" t="s">
        <v>2733</v>
      </c>
      <c r="C118" s="3109" t="s">
        <v>2734</v>
      </c>
      <c r="D118" s="3083" t="s">
        <v>2735</v>
      </c>
      <c r="E118" s="3109">
        <v>0.1</v>
      </c>
      <c r="F118" s="3109">
        <v>15</v>
      </c>
    </row>
    <row r="119" spans="1:6" ht="24">
      <c r="A119" s="3109">
        <v>47</v>
      </c>
      <c r="B119" s="3785"/>
      <c r="C119" s="3109" t="s">
        <v>2736</v>
      </c>
      <c r="D119" s="3083" t="s">
        <v>2737</v>
      </c>
      <c r="E119" s="3109">
        <v>0.1</v>
      </c>
      <c r="F119" s="3109">
        <v>15</v>
      </c>
    </row>
    <row r="120" spans="1:6" ht="13.5">
      <c r="A120" s="3109">
        <v>48</v>
      </c>
      <c r="B120" s="3781" t="s">
        <v>2738</v>
      </c>
      <c r="C120" s="3109" t="s">
        <v>2739</v>
      </c>
      <c r="D120" s="3083" t="s">
        <v>2740</v>
      </c>
      <c r="E120" s="3109">
        <v>0.1</v>
      </c>
      <c r="F120" s="3109">
        <v>15</v>
      </c>
    </row>
    <row r="121" spans="1:6" ht="13.5">
      <c r="A121" s="3109">
        <v>49</v>
      </c>
      <c r="B121" s="3785"/>
      <c r="C121" s="3109" t="s">
        <v>2741</v>
      </c>
      <c r="D121" s="3083" t="s">
        <v>2742</v>
      </c>
      <c r="E121" s="3109">
        <v>0.1</v>
      </c>
      <c r="F121" s="3109">
        <v>15</v>
      </c>
    </row>
    <row r="122" spans="1:6" ht="24">
      <c r="A122" s="3109">
        <v>50</v>
      </c>
      <c r="B122" s="3786" t="s">
        <v>2743</v>
      </c>
      <c r="C122" s="3109" t="s">
        <v>2744</v>
      </c>
      <c r="D122" s="3083" t="s">
        <v>2745</v>
      </c>
      <c r="E122" s="3109">
        <v>0.1</v>
      </c>
      <c r="F122" s="3109">
        <v>15</v>
      </c>
    </row>
    <row r="123" spans="1:6" ht="24">
      <c r="A123" s="3109">
        <v>51</v>
      </c>
      <c r="B123" s="3786"/>
      <c r="C123" s="3109" t="s">
        <v>2746</v>
      </c>
      <c r="D123" s="3083" t="s">
        <v>2747</v>
      </c>
      <c r="E123" s="3109">
        <v>0.1</v>
      </c>
      <c r="F123" s="3109">
        <v>15</v>
      </c>
    </row>
    <row r="124" spans="1:6" ht="24">
      <c r="A124" s="3109">
        <v>52</v>
      </c>
      <c r="B124" s="3786" t="s">
        <v>2748</v>
      </c>
      <c r="C124" s="3109" t="s">
        <v>2749</v>
      </c>
      <c r="D124" s="3083" t="s">
        <v>2750</v>
      </c>
      <c r="E124" s="3109">
        <v>0.1</v>
      </c>
      <c r="F124" s="3109">
        <v>15</v>
      </c>
    </row>
    <row r="125" spans="1:6" ht="24">
      <c r="A125" s="3109">
        <v>53</v>
      </c>
      <c r="B125" s="3786"/>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3786" t="s">
        <v>2756</v>
      </c>
      <c r="C127" s="3109" t="s">
        <v>2757</v>
      </c>
      <c r="D127" s="3083" t="s">
        <v>2758</v>
      </c>
      <c r="E127" s="3109">
        <v>0.1</v>
      </c>
      <c r="F127" s="3109">
        <v>15</v>
      </c>
    </row>
    <row r="128" spans="1:6" ht="13.5">
      <c r="A128" s="3109">
        <v>56</v>
      </c>
      <c r="B128" s="3786"/>
      <c r="C128" s="3109" t="s">
        <v>2759</v>
      </c>
      <c r="D128" s="3083" t="s">
        <v>2760</v>
      </c>
      <c r="E128" s="3109">
        <v>0.1</v>
      </c>
      <c r="F128" s="3109">
        <v>15</v>
      </c>
    </row>
    <row r="129" spans="1:6" ht="24">
      <c r="A129" s="3109">
        <v>57</v>
      </c>
      <c r="B129" s="3786"/>
      <c r="C129" s="3109" t="s">
        <v>2761</v>
      </c>
      <c r="D129" s="3083" t="s">
        <v>2762</v>
      </c>
      <c r="E129" s="3109">
        <v>0.1</v>
      </c>
      <c r="F129" s="3109">
        <v>15</v>
      </c>
    </row>
    <row r="130" spans="1:6" ht="24">
      <c r="A130" s="3109">
        <v>58</v>
      </c>
      <c r="B130" s="3786" t="s">
        <v>2763</v>
      </c>
      <c r="C130" s="3109" t="s">
        <v>2764</v>
      </c>
      <c r="D130" s="3083" t="s">
        <v>2765</v>
      </c>
      <c r="E130" s="3109">
        <v>0.1</v>
      </c>
      <c r="F130" s="3109">
        <v>15</v>
      </c>
    </row>
    <row r="131" spans="1:6" ht="13.5">
      <c r="A131" s="3109">
        <v>59</v>
      </c>
      <c r="B131" s="3786"/>
      <c r="C131" s="3109" t="s">
        <v>2766</v>
      </c>
      <c r="D131" s="3083" t="s">
        <v>2767</v>
      </c>
      <c r="E131" s="3109">
        <v>0.1</v>
      </c>
      <c r="F131" s="3109">
        <v>15</v>
      </c>
    </row>
    <row r="132" spans="1:6" ht="13.5">
      <c r="A132" s="3109">
        <v>60</v>
      </c>
      <c r="B132" s="3781" t="s">
        <v>2768</v>
      </c>
      <c r="C132" s="3109" t="s">
        <v>2769</v>
      </c>
      <c r="D132" s="3083" t="s">
        <v>2770</v>
      </c>
      <c r="E132" s="3109">
        <v>0.1</v>
      </c>
      <c r="F132" s="3109">
        <v>15</v>
      </c>
    </row>
    <row r="133" spans="1:6" ht="13.5">
      <c r="A133" s="3109">
        <v>61</v>
      </c>
      <c r="B133" s="3785"/>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3786" t="s">
        <v>2776</v>
      </c>
      <c r="C135" s="3109" t="s">
        <v>2777</v>
      </c>
      <c r="D135" s="3083" t="s">
        <v>2778</v>
      </c>
      <c r="E135" s="3109">
        <v>0.1</v>
      </c>
      <c r="F135" s="3109">
        <v>15</v>
      </c>
    </row>
    <row r="136" spans="1:6" ht="13.5">
      <c r="A136" s="3109">
        <v>64</v>
      </c>
      <c r="B136" s="3786"/>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2785</v>
      </c>
      <c r="B1" s="3118"/>
      <c r="C1" s="3118"/>
      <c r="D1" s="3118"/>
      <c r="E1" s="3118"/>
      <c r="F1" s="3118"/>
      <c r="G1" s="3118"/>
      <c r="H1" s="3118"/>
      <c r="I1" s="3118"/>
      <c r="J1" s="3118"/>
      <c r="K1" s="3118"/>
      <c r="L1" s="3118"/>
      <c r="M1" s="3118"/>
      <c r="N1" s="746"/>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47">
        <f>SUMPRODUCT((A95:A184=ROUNDDOWN(基准地价修正!G3,1))*(B94:M94=基准地价修正!G2)*(B95:M184))</f>
        <v>0</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47">
        <f>SUMPRODUCT((A371:A460=ROUNDDOWN(基准地价修正!G3,1))*(B370:M370=基准地价修正!G2)*(B371:M460))</f>
        <v>0</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24257</v>
      </c>
      <c r="C2" s="2" t="s">
        <v>106</v>
      </c>
      <c r="D2" s="199"/>
      <c r="E2" s="199"/>
      <c r="F2" s="199"/>
      <c r="G2" s="199"/>
    </row>
    <row r="3" spans="1:7" s="200" customFormat="1" ht="18" customHeight="1" thickBot="1">
      <c r="A3" s="203" t="s">
        <v>58</v>
      </c>
      <c r="B3" s="204">
        <f ca="1">ROUND(B2*10000/'数据-汇总表'!E3,0)</f>
        <v>8970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60</v>
      </c>
      <c r="F9" s="221"/>
      <c r="G9" s="226"/>
    </row>
    <row r="10" spans="1:7" s="214" customFormat="1" ht="13.5" customHeight="1">
      <c r="A10" s="776" t="s">
        <v>356</v>
      </c>
      <c r="B10" s="224" t="s">
        <v>67</v>
      </c>
      <c r="C10" s="225">
        <f>ROUND(D10*E10/10000,0)</f>
        <v>270</v>
      </c>
      <c r="D10" s="842">
        <f>'数据-汇总表'!E6</f>
        <v>27041.94</v>
      </c>
      <c r="E10" s="225">
        <f>'数据-取费表'!B28</f>
        <v>100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135</v>
      </c>
      <c r="D19" s="846">
        <f>'数据-汇总表'!E3</f>
        <v>27041.94</v>
      </c>
      <c r="E19" s="211">
        <f>'数据-取费表'!B31</f>
        <v>50</v>
      </c>
      <c r="F19" s="231"/>
      <c r="G19" s="1" t="s">
        <v>436</v>
      </c>
    </row>
    <row r="20" spans="1:7" s="214" customFormat="1" ht="13.5" customHeight="1">
      <c r="A20" s="774" t="s">
        <v>419</v>
      </c>
      <c r="B20" s="210" t="s">
        <v>77</v>
      </c>
      <c r="C20" s="232">
        <f>ROUND((C5+C19)*F20,0)</f>
        <v>415</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137</v>
      </c>
      <c r="D22" s="235">
        <f ca="1">C26</f>
        <v>1E-4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135</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1</v>
      </c>
      <c r="D25" s="238"/>
      <c r="E25" s="241"/>
      <c r="F25" s="239"/>
      <c r="G25" s="242" t="s">
        <v>83</v>
      </c>
    </row>
    <row r="26" spans="1:7" s="214" customFormat="1">
      <c r="A26" s="777" t="s">
        <v>350</v>
      </c>
      <c r="B26" s="215" t="s">
        <v>422</v>
      </c>
      <c r="C26" s="238">
        <f ca="1">ROUND(IF('数据-取费表'!B22&lt;=1,F21*F22*'数据-取费表'!B23/2,F21*(POWER((1+F22),'数据-取费表'!B23/2)-1)),4)</f>
        <v>1E-4</v>
      </c>
      <c r="D26" s="238"/>
      <c r="E26" s="241"/>
      <c r="F26" s="239"/>
      <c r="G26" s="243"/>
    </row>
    <row r="27" spans="1:7" s="214" customFormat="1" ht="24.75">
      <c r="A27" s="774" t="s">
        <v>342</v>
      </c>
      <c r="B27" s="244" t="s">
        <v>85</v>
      </c>
      <c r="C27" s="245">
        <f>C28</f>
        <v>152</v>
      </c>
      <c r="D27" s="235">
        <f>C29</f>
        <v>1E-4</v>
      </c>
      <c r="E27" s="236" t="s">
        <v>99</v>
      </c>
      <c r="F27" s="246">
        <f>'数据-取费表'!Q16</f>
        <v>0.09</v>
      </c>
      <c r="G27" s="247" t="s">
        <v>431</v>
      </c>
    </row>
    <row r="28" spans="1:7" s="214" customFormat="1" ht="13.5" customHeight="1">
      <c r="A28" s="777" t="s">
        <v>349</v>
      </c>
      <c r="B28" s="248" t="s">
        <v>424</v>
      </c>
      <c r="C28" s="249">
        <f>ROUND((C5+C19+C20)*F27*'数据-取费表'!B21/'数据-取费表'!B20,0)</f>
        <v>152</v>
      </c>
      <c r="D28" s="235"/>
      <c r="E28" s="236"/>
      <c r="F28" s="246"/>
      <c r="G28" s="247"/>
    </row>
    <row r="29" spans="1:7" s="214" customFormat="1" ht="13.5" customHeight="1">
      <c r="A29" s="777" t="s">
        <v>347</v>
      </c>
      <c r="B29" s="248" t="s">
        <v>425</v>
      </c>
      <c r="C29" s="238">
        <f>ROUND(C21*F27*'数据-取费表'!B21/'数据-取费表'!B20,4)</f>
        <v>1E-4</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23128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866</v>
      </c>
      <c r="D34" s="217"/>
      <c r="E34" s="220"/>
      <c r="F34" s="257">
        <f>IF('数据-取费表'!B24=0,1,'数据-取费表'!N16)</f>
        <v>0.08</v>
      </c>
      <c r="G34" s="219" t="s">
        <v>89</v>
      </c>
    </row>
    <row r="35" spans="1:7" ht="13.5" customHeight="1">
      <c r="A35" s="777" t="s">
        <v>351</v>
      </c>
      <c r="B35" s="215" t="s">
        <v>33</v>
      </c>
      <c r="C35" s="220">
        <f>ROUND(C34*F35,0)</f>
        <v>26</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32</v>
      </c>
      <c r="D37" s="217">
        <f>'数据-汇总表'!E3</f>
        <v>27041.94</v>
      </c>
      <c r="E37" s="249">
        <f>'数据-取费表'!B35</f>
        <v>150</v>
      </c>
      <c r="F37" s="259"/>
      <c r="G37" s="261" t="s">
        <v>92</v>
      </c>
    </row>
    <row r="38" spans="1:7" ht="13.5" customHeight="1">
      <c r="A38" s="777" t="s">
        <v>354</v>
      </c>
      <c r="B38" s="215" t="s">
        <v>36</v>
      </c>
      <c r="C38" s="220">
        <f>ROUND(C34*F38,0)</f>
        <v>13</v>
      </c>
      <c r="D38" s="220"/>
      <c r="E38" s="220"/>
      <c r="F38" s="259">
        <f>'数据-取费表'!B36</f>
        <v>1.4999999999999999E-2</v>
      </c>
      <c r="G38" s="219" t="s">
        <v>90</v>
      </c>
    </row>
    <row r="39" spans="1:7" s="214" customFormat="1" ht="13.5" customHeight="1">
      <c r="A39" s="774" t="s">
        <v>338</v>
      </c>
      <c r="B39" s="210" t="s">
        <v>77</v>
      </c>
      <c r="C39" s="232">
        <f>ROUND(C33*F20,0)</f>
        <v>19</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1E-4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51" t="s">
        <v>94</v>
      </c>
    </row>
    <row r="43" spans="1:7" ht="13.5" customHeight="1">
      <c r="A43" s="777" t="s">
        <v>347</v>
      </c>
      <c r="B43" s="215" t="s">
        <v>426</v>
      </c>
      <c r="C43" s="238">
        <f ca="1">ROUND(IF('数据-取费表'!B22&lt;=1,C39*F22*'数据-取费表'!B21/2,C39*(POWER((1+F22),'数据-取费表'!B21/2)-1)),0)</f>
        <v>0</v>
      </c>
      <c r="D43" s="238"/>
      <c r="E43" s="238"/>
      <c r="F43" s="239"/>
      <c r="G43" s="3652"/>
    </row>
    <row r="44" spans="1:7" ht="13.5" customHeight="1">
      <c r="A44" s="777" t="s">
        <v>348</v>
      </c>
      <c r="B44" s="215" t="s">
        <v>428</v>
      </c>
      <c r="C44" s="238">
        <f ca="1">ROUND(IF('数据-取费表'!B22&lt;=1,C40*F22*'数据-取费表'!B21/2,C40*(POWER((1+F22),'数据-取费表'!B21/2)-1)),4)</f>
        <v>1E-4</v>
      </c>
      <c r="D44" s="238"/>
      <c r="E44" s="238"/>
      <c r="F44" s="239"/>
      <c r="G44" s="3653"/>
    </row>
    <row r="45" spans="1:7" s="214" customFormat="1" ht="13.5" customHeight="1">
      <c r="A45" s="774" t="s">
        <v>341</v>
      </c>
      <c r="B45" s="244" t="s">
        <v>85</v>
      </c>
      <c r="C45" s="245">
        <f>C46</f>
        <v>86</v>
      </c>
      <c r="D45" s="235">
        <f>C47</f>
        <v>1.8E-3</v>
      </c>
      <c r="E45" s="236" t="s">
        <v>102</v>
      </c>
      <c r="F45" s="246"/>
      <c r="G45" s="247" t="s">
        <v>434</v>
      </c>
    </row>
    <row r="46" spans="1:7" s="214" customFormat="1" ht="13.5" customHeight="1">
      <c r="A46" s="777" t="s">
        <v>349</v>
      </c>
      <c r="B46" s="248" t="s">
        <v>427</v>
      </c>
      <c r="C46" s="249">
        <f>ROUND((C33+C39)*F27,0)</f>
        <v>86</v>
      </c>
      <c r="D46" s="263"/>
      <c r="E46" s="236"/>
      <c r="F46" s="246"/>
      <c r="G46" s="247"/>
    </row>
    <row r="47" spans="1:7" s="214" customFormat="1" ht="13.5" customHeight="1">
      <c r="A47" s="777" t="s">
        <v>347</v>
      </c>
      <c r="B47" s="248" t="s">
        <v>429</v>
      </c>
      <c r="C47" s="238">
        <f>ROUND(C40*F27,4)</f>
        <v>1.8E-3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1129</v>
      </c>
      <c r="D49" s="232"/>
      <c r="E49" s="232"/>
      <c r="F49" s="264"/>
      <c r="G49" s="234" t="s">
        <v>435</v>
      </c>
    </row>
    <row r="50" spans="1:7" s="258" customFormat="1" ht="24">
      <c r="A50" s="774" t="s">
        <v>344</v>
      </c>
      <c r="B50" s="210" t="s">
        <v>97</v>
      </c>
      <c r="C50" s="232"/>
      <c r="D50" s="232"/>
      <c r="E50" s="232"/>
      <c r="F50" s="264">
        <f>IF('数据-取费表'!B24=0,'数据-取费表'!N16,1)</f>
        <v>1</v>
      </c>
      <c r="G50" s="247" t="s">
        <v>98</v>
      </c>
    </row>
    <row r="51" spans="1:7" ht="16.5" customHeight="1">
      <c r="A51" s="774" t="s">
        <v>345</v>
      </c>
      <c r="B51" s="210" t="s">
        <v>105</v>
      </c>
      <c r="C51" s="232">
        <f ca="1">ROUND(C49*F50,0)</f>
        <v>1129</v>
      </c>
      <c r="D51" s="232"/>
      <c r="E51" s="232"/>
      <c r="F51" s="264"/>
      <c r="G51" s="234" t="s">
        <v>37</v>
      </c>
    </row>
    <row r="52" spans="1:7" s="208" customFormat="1" ht="16.5" thickBot="1">
      <c r="A52" s="265" t="s">
        <v>38</v>
      </c>
      <c r="B52" s="266"/>
      <c r="C52" s="267">
        <f ca="1">C31+C51</f>
        <v>24257</v>
      </c>
      <c r="D52" s="266"/>
      <c r="E52" s="266"/>
      <c r="F52" s="266"/>
      <c r="G52" s="268"/>
    </row>
    <row r="55" spans="1:7" ht="15">
      <c r="B55" s="270" t="s">
        <v>39</v>
      </c>
      <c r="C55" s="271"/>
    </row>
    <row r="56" spans="1:7">
      <c r="B56" s="273" t="s">
        <v>40</v>
      </c>
      <c r="C56" s="274">
        <f ca="1">ROUND(C51/C52,3)</f>
        <v>4.7E-2</v>
      </c>
    </row>
    <row r="57" spans="1:7">
      <c r="B57" s="273" t="s">
        <v>41</v>
      </c>
      <c r="C57" s="275">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89" t="s">
        <v>2828</v>
      </c>
      <c r="B1" s="3789"/>
      <c r="C1" s="3789"/>
      <c r="D1" s="3789"/>
      <c r="E1" s="3789"/>
      <c r="F1" s="3789"/>
      <c r="G1" s="3790"/>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3787"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3788"/>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1" t="s">
        <v>3170</v>
      </c>
      <c r="B1" s="3791"/>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2" t="s">
        <v>3221</v>
      </c>
      <c r="B1" s="3792"/>
      <c r="C1" s="3792"/>
      <c r="D1" s="3792"/>
      <c r="E1" s="3792"/>
      <c r="F1" s="3793"/>
    </row>
    <row r="2" spans="1:6">
      <c r="A2" s="3282" t="s">
        <v>3222</v>
      </c>
      <c r="B2" s="3283"/>
      <c r="C2" s="3283"/>
      <c r="D2" s="3283"/>
      <c r="E2" s="3283"/>
      <c r="F2" s="3283"/>
    </row>
    <row r="3" spans="1:6">
      <c r="A3" s="3282" t="s">
        <v>3223</v>
      </c>
      <c r="B3" s="3283"/>
      <c r="C3" s="3283"/>
      <c r="D3" s="3283"/>
      <c r="E3" s="3283"/>
      <c r="F3" s="3284" t="s">
        <v>3224</v>
      </c>
    </row>
    <row r="4" spans="1:6">
      <c r="A4" s="3285" t="s">
        <v>672</v>
      </c>
      <c r="B4" s="3285" t="s">
        <v>673</v>
      </c>
      <c r="C4" s="3285" t="s">
        <v>21</v>
      </c>
      <c r="D4" s="3285" t="s">
        <v>674</v>
      </c>
      <c r="E4" s="3285" t="s">
        <v>3</v>
      </c>
      <c r="F4" s="3285" t="s">
        <v>3225</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45072</v>
      </c>
      <c r="B1" s="3201" t="s">
        <v>2827</v>
      </c>
      <c r="C1" s="3202"/>
      <c r="D1" s="3202"/>
      <c r="E1" s="3202"/>
      <c r="F1" s="3202"/>
      <c r="G1" s="3202"/>
      <c r="H1" s="3202"/>
      <c r="I1" s="3202"/>
      <c r="J1" s="3156"/>
      <c r="K1" s="3202" t="s">
        <v>454</v>
      </c>
      <c r="L1" s="3202"/>
      <c r="M1" s="3202"/>
      <c r="N1" s="3202"/>
      <c r="O1" s="3202"/>
      <c r="P1" s="3202"/>
      <c r="Q1" s="3156"/>
      <c r="R1" s="3794" t="s">
        <v>456</v>
      </c>
      <c r="S1" s="3795"/>
      <c r="T1" s="3795"/>
      <c r="U1" s="3795"/>
      <c r="V1" s="3795"/>
      <c r="W1" s="3795"/>
      <c r="X1" s="3156"/>
      <c r="Y1" s="3794" t="s">
        <v>457</v>
      </c>
      <c r="Z1" s="3795"/>
      <c r="AA1" s="3795"/>
      <c r="AB1" s="3795"/>
      <c r="AC1" s="3795"/>
      <c r="AD1" s="3795"/>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3357</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3358</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3356</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3359</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3360</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ROUND(IF([3]项目基本情况!B8="出让",SUMPRODUCT(PRODUCT(1+K9:K16)),SUMPRODUCT(PRODUCT(1+K9:K15))),4)</f>
        <v>1.0565</v>
      </c>
      <c r="S9" s="3174">
        <f>ROUND(IF([3]项目基本情况!B8="出让",SUMPRODUCT(PRODUCT(1+L9:L16)),SUMPRODUCT(PRODUCT(1+L9:L15))),4)</f>
        <v>1.0250999999999999</v>
      </c>
      <c r="T9" s="3174">
        <f>ROUND(IF([3]项目基本情况!B8="出让",SUMPRODUCT(PRODUCT(1+M9:M16)),SUMPRODUCT(PRODUCT(1+M9:M15))),4)</f>
        <v>1.0145</v>
      </c>
      <c r="U9" s="3174">
        <f>ROUND(IF([3]项目基本情况!B8="出让",SUMPRODUCT(PRODUCT(1+N9:N16)),SUMPRODUCT(PRODUCT(1+N9:N15))),4)</f>
        <v>1.0618000000000001</v>
      </c>
      <c r="V9" s="3174">
        <f>ROUND(IF([3]项目基本情况!B8="出让",SUMPRODUCT(PRODUCT(1+O9:O16)),SUMPRODUCT(PRODUCT(1+O9:O15))),4)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3352</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ROUND(IF([3]项目基本情况!B8="出让",SUMPRODUCT(PRODUCT(1+K10:K16)),SUMPRODUCT(PRODUCT(1+K10:K15))),4)</f>
        <v>1.05</v>
      </c>
      <c r="S10" s="3174">
        <f>ROUND(IF([3]项目基本情况!B8="出让",SUMPRODUCT(PRODUCT(1+L10:L16)),SUMPRODUCT(PRODUCT(1+L10:L15))),4)</f>
        <v>1.0229999999999999</v>
      </c>
      <c r="T10" s="3174">
        <f>ROUND(IF([3]项目基本情况!B8="出让",SUMPRODUCT(PRODUCT(1+M10:M16)),SUMPRODUCT(PRODUCT(1+M10:M15))),4)</f>
        <v>1.0134000000000001</v>
      </c>
      <c r="U10" s="3174">
        <f>ROUND(IF([3]项目基本情况!B8="出让",SUMPRODUCT(PRODUCT(1+N10:N16)),SUMPRODUCT(PRODUCT(1+N10:N15))),4)</f>
        <v>1.0545</v>
      </c>
      <c r="V10" s="3174">
        <f>ROUND(IF([3]项目基本情况!B8="出让",SUMPRODUCT(PRODUCT(1+O10:O16)),SUMPRODUCT(PRODUCT(1+O10:O15))),4)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3343</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ROUND(IF([3]项目基本情况!B8="出让",SUMPRODUCT(PRODUCT(1+K11:K16)),SUMPRODUCT(PRODUCT(1+K11:K15))),4)</f>
        <v>1.0430999999999999</v>
      </c>
      <c r="S11" s="3174">
        <f>ROUND(IF([3]项目基本情况!B8="出让",SUMPRODUCT(PRODUCT(1+L11:L16)),SUMPRODUCT(PRODUCT(1+L11:L15))),4)</f>
        <v>1.0197000000000001</v>
      </c>
      <c r="T11" s="3174">
        <f>ROUND(IF([3]项目基本情况!B8="出让",SUMPRODUCT(PRODUCT(1+M11:M16)),SUMPRODUCT(PRODUCT(1+M11:M15))),4)</f>
        <v>1.0109999999999999</v>
      </c>
      <c r="U11" s="3174">
        <f>ROUND(IF([3]项目基本情况!B8="出让",SUMPRODUCT(PRODUCT(1+N11:N16)),SUMPRODUCT(PRODUCT(1+N11:N15))),4)</f>
        <v>1.0468999999999999</v>
      </c>
      <c r="V11" s="3174">
        <f>ROUND(IF([3]项目基本情况!B8="出让",SUMPRODUCT(PRODUCT(1+O11:O16)),SUMPRODUCT(PRODUCT(1+O11:O15))),4)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ROUND(IF([3]项目基本情况!B8="出让",SUMPRODUCT(PRODUCT(1+K12:K16)),SUMPRODUCT(PRODUCT(1+K12:K15))),4)</f>
        <v>1.0335000000000001</v>
      </c>
      <c r="S12" s="3174">
        <f>ROUND(IF([3]项目基本情况!B8="出让",SUMPRODUCT(PRODUCT(1+L12:L16)),SUMPRODUCT(PRODUCT(1+L12:L15))),4)</f>
        <v>1.0182</v>
      </c>
      <c r="T12" s="3174">
        <f>ROUND(IF([3]项目基本情况!B8="出让",SUMPRODUCT(PRODUCT(1+M12:M16)),SUMPRODUCT(PRODUCT(1+M12:M15))),4)</f>
        <v>1.0108999999999999</v>
      </c>
      <c r="U12" s="3174">
        <f>ROUND(IF([3]项目基本情况!B8="出让",SUMPRODUCT(PRODUCT(1+N12:N16)),SUMPRODUCT(PRODUCT(1+N12:N15))),4)</f>
        <v>1.0361</v>
      </c>
      <c r="V12" s="3174">
        <f>ROUND(IF([3]项目基本情况!B8="出让",SUMPRODUCT(PRODUCT(1+O12:O16)),SUMPRODUCT(PRODUCT(1+O12:O15))),4)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ROUND(IF([3]项目基本情况!B8="出让",SUMPRODUCT(PRODUCT(1+K13:K16)),SUMPRODUCT(PRODUCT(1+K13:K15))),4)</f>
        <v>1.0244</v>
      </c>
      <c r="S13" s="3174">
        <f>ROUND(IF([3]项目基本情况!B8="出让",SUMPRODUCT(PRODUCT(1+L13:L16)),SUMPRODUCT(PRODUCT(1+L13:L15))),4)</f>
        <v>1.0138</v>
      </c>
      <c r="T13" s="3174">
        <f>ROUND(IF([3]项目基本情况!B8="出让",SUMPRODUCT(PRODUCT(1+M13:M16)),SUMPRODUCT(PRODUCT(1+M13:M15))),4)</f>
        <v>1.0072000000000001</v>
      </c>
      <c r="U13" s="3174">
        <f>ROUND(IF([3]项目基本情况!B8="出让",SUMPRODUCT(PRODUCT(1+N13:N16)),SUMPRODUCT(PRODUCT(1+N13:N15))),4)</f>
        <v>1.0262</v>
      </c>
      <c r="V13" s="3174">
        <f>ROUND(IF([3]项目基本情况!B8="出让",SUMPRODUCT(PRODUCT(1+O13:O16)),SUMPRODUCT(PRODUCT(1+O13:O15))),4)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ROUND(IF([3]项目基本情况!B8="出让",SUMPRODUCT(PRODUCT(1+K14:K16)),SUMPRODUCT(PRODUCT(1+K14:K15))),4)</f>
        <v>1.0139</v>
      </c>
      <c r="S14" s="3174">
        <f>ROUND(IF([3]项目基本情况!B8="出让",SUMPRODUCT(PRODUCT(1+L14:L16)),SUMPRODUCT(PRODUCT(1+L14:L15))),4)</f>
        <v>1.0113000000000001</v>
      </c>
      <c r="T14" s="3174">
        <f>ROUND(IF([3]项目基本情况!B8="出让",SUMPRODUCT(PRODUCT(1+M14:M16)),SUMPRODUCT(PRODUCT(1+M14:M15))),4)</f>
        <v>1.0065</v>
      </c>
      <c r="U14" s="3174">
        <f>ROUND(IF([3]项目基本情况!B8="出让",SUMPRODUCT(PRODUCT(1+N14:N16)),SUMPRODUCT(PRODUCT(1+N14:N15))),4)</f>
        <v>1.0143</v>
      </c>
      <c r="V14" s="3174">
        <f>ROUND(IF([3]项目基本情况!B8="出让",SUMPRODUCT(PRODUCT(1+O14:O16)),SUMPRODUCT(PRODUCT(1+O14:O15))),4)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ROUND(IF([3]项目基本情况!B8="出让",SUMPRODUCT(PRODUCT(1+K15:K16)),SUMPRODUCT(PRODUCT(1+K15:K15))),4)</f>
        <v>1.0092000000000001</v>
      </c>
      <c r="S15" s="3174">
        <f>ROUND(IF([3]项目基本情况!B8="出让",SUMPRODUCT(PRODUCT(1+L15:L16)),SUMPRODUCT(PRODUCT(1+L15:L15))),4)</f>
        <v>1.0072000000000001</v>
      </c>
      <c r="T15" s="3174">
        <f>ROUND(IF([3]项目基本情况!B8="出让",SUMPRODUCT(PRODUCT(1+M15:M16)),SUMPRODUCT(PRODUCT(1+M15:M15))),4)</f>
        <v>1.0041</v>
      </c>
      <c r="U15" s="3174">
        <f>ROUND(IF([3]项目基本情况!B8="出让",SUMPRODUCT(PRODUCT(1+N15:N16)),SUMPRODUCT(PRODUCT(1+N15:N15))),4)</f>
        <v>1.0095000000000001</v>
      </c>
      <c r="V15" s="3174">
        <f>ROUND(IF([3]项目基本情况!B8="出让",SUMPRODUCT(PRODUCT(1+O15:O16)),SUMPRODUCT(PRODUCT(1+O15:O15))),4)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3354</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3794" t="s">
        <v>2815</v>
      </c>
      <c r="S21" s="3795"/>
      <c r="T21" s="3795"/>
      <c r="U21" s="3795"/>
      <c r="V21" s="3795"/>
      <c r="W21" s="3795"/>
      <c r="X21" s="3156"/>
      <c r="Y21" s="3794" t="s">
        <v>2816</v>
      </c>
      <c r="Z21" s="3795"/>
      <c r="AA21" s="3795"/>
      <c r="AB21" s="3795"/>
      <c r="AC21" s="3795"/>
      <c r="AD21" s="3795"/>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3357</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ROUND(IF([3]项目基本情况!$B$8="出让",SUMPRODUCT(PRODUCT(1+L25:L$36)),SUMPRODUCT(PRODUCT(1+L25:L$35))),4)</f>
        <v>1.0344</v>
      </c>
      <c r="T25" s="3174">
        <f>ROUND(IF([3]项目基本情况!$B$8="出让",SUMPRODUCT(PRODUCT(1+M25:M$36)),SUMPRODUCT(PRODUCT(1+M25:M$35))),4)</f>
        <v>1.0224</v>
      </c>
      <c r="U25" s="3174">
        <f>ROUND(IF([3]项目基本情况!$B$8="出让",SUMPRODUCT(PRODUCT(1+N25:N$36)),SUMPRODUCT(PRODUCT(1+N25:N$35))),4)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3358</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ROUND(IF([3]项目基本情况!$B$8="出让",SUMPRODUCT(PRODUCT(1+L26:L$36)),SUMPRODUCT(PRODUCT(1+L26:L$35))),4)</f>
        <v>1.0344</v>
      </c>
      <c r="T26" s="3174">
        <f>ROUND(IF([3]项目基本情况!$B$8="出让",SUMPRODUCT(PRODUCT(1+M26:M$36)),SUMPRODUCT(PRODUCT(1+M26:M$35))),4)</f>
        <v>1.0224</v>
      </c>
      <c r="U26" s="3174">
        <f>ROUND(IF([3]项目基本情况!$B$8="出让",SUMPRODUCT(PRODUCT(1+N26:N$36)),SUMPRODUCT(PRODUCT(1+N26:N$35))),4)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3356</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ROUND(IF([3]项目基本情况!$B$8="出让",SUMPRODUCT(PRODUCT(1+L27:L$36)),SUMPRODUCT(PRODUCT(1+L27:L$35))),4)</f>
        <v>1.0344</v>
      </c>
      <c r="T27" s="3174">
        <f>ROUND(IF([3]项目基本情况!$B$8="出让",SUMPRODUCT(PRODUCT(1+M27:M$36)),SUMPRODUCT(PRODUCT(1+M27:M$35))),4)</f>
        <v>1.0224</v>
      </c>
      <c r="U27" s="3174">
        <f>ROUND(IF([3]项目基本情况!$B$8="出让",SUMPRODUCT(PRODUCT(1+N27:N$36)),SUMPRODUCT(PRODUCT(1+N27:N$35))),4)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3359</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3360</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ROUND(IF([3]项目基本情况!$B$8="出让",SUMPRODUCT(PRODUCT(1+L29:L$36)),SUMPRODUCT(PRODUCT(1+L29:L$35))),4)</f>
        <v>1.0286999999999999</v>
      </c>
      <c r="T29" s="3174">
        <f>ROUND(IF([3]项目基本情况!$B$8="出让",SUMPRODUCT(PRODUCT(1+M29:M$36)),SUMPRODUCT(PRODUCT(1+M29:M$35))),4)</f>
        <v>1.0164</v>
      </c>
      <c r="U29" s="3174">
        <f>ROUND(IF([3]项目基本情况!$B$8="出让",SUMPRODUCT(PRODUCT(1+N29:N$36)),SUMPRODUCT(PRODUCT(1+N29:N$35))),4)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3353</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ROUND(IF([3]项目基本情况!$B$8="出让",SUMPRODUCT(PRODUCT(1+L30:L$36)),SUMPRODUCT(PRODUCT(1+L30:L$35))),4)</f>
        <v>1.0241</v>
      </c>
      <c r="T30" s="3174">
        <f>ROUND(IF([3]项目基本情况!$B$8="出让",SUMPRODUCT(PRODUCT(1+M30:M$36)),SUMPRODUCT(PRODUCT(1+M30:M$35))),4)</f>
        <v>1.0144</v>
      </c>
      <c r="U30" s="3174">
        <f>ROUND(IF([3]项目基本情况!$B$8="出让",SUMPRODUCT(PRODUCT(1+N30:N$36)),SUMPRODUCT(PRODUCT(1+N30:N$35))),4)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3343</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ROUND(IF([3]项目基本情况!$B$8="出让",SUMPRODUCT(PRODUCT(1+L31:L$36)),SUMPRODUCT(PRODUCT(1+L31:L$35))),4)</f>
        <v>1.0210999999999999</v>
      </c>
      <c r="T31" s="3174">
        <f>ROUND(IF([3]项目基本情况!$B$8="出让",SUMPRODUCT(PRODUCT(1+M31:M$36)),SUMPRODUCT(PRODUCT(1+M31:M$35))),4)</f>
        <v>1.0114000000000001</v>
      </c>
      <c r="U31" s="3174">
        <f>ROUND(IF([3]项目基本情况!$B$8="出让",SUMPRODUCT(PRODUCT(1+N31:N$36)),SUMPRODUCT(PRODUCT(1+N31:N$35))),4)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ROUND(IF([3]项目基本情况!$B$8="出让",SUMPRODUCT(PRODUCT(1+L32:L$36)),SUMPRODUCT(PRODUCT(1+L32:L$35))),4)</f>
        <v>1.0222</v>
      </c>
      <c r="T32" s="3174">
        <f>ROUND(IF([3]项目基本情况!$B$8="出让",SUMPRODUCT(PRODUCT(1+M32:M$36)),SUMPRODUCT(PRODUCT(1+M32:M$35))),4)</f>
        <v>1.0127999999999999</v>
      </c>
      <c r="U32" s="3174">
        <f>ROUND(IF([3]项目基本情况!$B$8="出让",SUMPRODUCT(PRODUCT(1+N32:N$36)),SUMPRODUCT(PRODUCT(1+N32:N$35))),4)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ROUND(IF([3]项目基本情况!$B$8="出让",SUMPRODUCT(PRODUCT(1+L33:L$36)),SUMPRODUCT(PRODUCT(1+L33:L$35))),4)</f>
        <v>1.0161</v>
      </c>
      <c r="T33" s="3174">
        <f>ROUND(IF([3]项目基本情况!$B$8="出让",SUMPRODUCT(PRODUCT(1+M33:M$36)),SUMPRODUCT(PRODUCT(1+M33:M$35))),4)</f>
        <v>1.0082</v>
      </c>
      <c r="U33" s="3174">
        <f>ROUND(IF([3]项目基本情况!$B$8="出让",SUMPRODUCT(PRODUCT(1+N33:N$36)),SUMPRODUCT(PRODUCT(1+N33:N$35))),4)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ROUND(IF([3]项目基本情况!$B$8="出让",SUMPRODUCT(PRODUCT(1+L34:L$36)),SUMPRODUCT(PRODUCT(1+L34:L$35))),4)</f>
        <v>1.0102</v>
      </c>
      <c r="T34" s="3174">
        <f>ROUND(IF([3]项目基本情况!$B$8="出让",SUMPRODUCT(PRODUCT(1+M34:M$36)),SUMPRODUCT(PRODUCT(1+M34:M$35))),4)</f>
        <v>1.0074000000000001</v>
      </c>
      <c r="U34" s="3174">
        <f>ROUND(IF([3]项目基本情况!$B$8="出让",SUMPRODUCT(PRODUCT(1+N34:N$36)),SUMPRODUCT(PRODUCT(1+N34:N$35))),4)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ROUND(IF([3]项目基本情况!$B$8="出让",SUMPRODUCT(PRODUCT(1+L35:L$36)),SUMPRODUCT(PRODUCT(1+L35:L$35))),4)</f>
        <v>1.0055000000000001</v>
      </c>
      <c r="T35" s="3174">
        <f>ROUND(IF([3]项目基本情况!$B$8="出让",SUMPRODUCT(PRODUCT(1+M35:M$36)),SUMPRODUCT(PRODUCT(1+M35:M$35))),4)</f>
        <v>1.0045999999999999</v>
      </c>
      <c r="U35" s="3174">
        <f>ROUND(IF([3]项目基本情况!$B$8="出让",SUMPRODUCT(PRODUCT(1+N35:N$36)),SUMPRODUCT(PRODUCT(1+N35:N$35))),4)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2299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0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45072</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2297</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1" t="s">
        <v>925</v>
      </c>
      <c r="E3" s="851" t="s">
        <v>931</v>
      </c>
      <c r="F3" s="851" t="s">
        <v>925</v>
      </c>
      <c r="G3" s="851" t="s">
        <v>926</v>
      </c>
      <c r="H3" s="851" t="s">
        <v>925</v>
      </c>
      <c r="I3" s="851" t="s">
        <v>926</v>
      </c>
    </row>
    <row r="4" spans="1:9" ht="30">
      <c r="A4" s="1502" t="str">
        <f>项目基本情况!S2</f>
        <v>北京市出让国有建设用地使用权及在建建筑物房地产</v>
      </c>
      <c r="B4" s="851">
        <f>项目基本情况!C17</f>
        <v>27041.94</v>
      </c>
      <c r="C4" s="851">
        <f>项目基本情况!C18</f>
        <v>17315.580000000002</v>
      </c>
      <c r="D4" s="851">
        <f ca="1">结果表!D118</f>
        <v>3657</v>
      </c>
      <c r="E4" s="851">
        <f ca="1">结果表!E118</f>
        <v>1353</v>
      </c>
      <c r="F4" s="851">
        <f ca="1">结果表!F118</f>
        <v>931</v>
      </c>
      <c r="G4" s="851">
        <f ca="1">结果表!G118</f>
        <v>344</v>
      </c>
      <c r="H4" s="851">
        <f ca="1">结果表!H118</f>
        <v>4588</v>
      </c>
      <c r="I4" s="851">
        <f ca="1">结果表!I118</f>
        <v>1697</v>
      </c>
    </row>
    <row r="5" spans="1:9" ht="30" customHeight="1">
      <c r="A5" s="3481" t="s">
        <v>927</v>
      </c>
      <c r="B5" s="3481"/>
      <c r="C5" s="3481"/>
      <c r="D5" s="3481" t="str">
        <f ca="1">结果表!D119</f>
        <v>叁仟陆佰伍拾柒万元整</v>
      </c>
      <c r="E5" s="3481"/>
      <c r="F5" s="3481" t="str">
        <f ca="1">结果表!F119</f>
        <v>玖佰叁拾壹万元整</v>
      </c>
      <c r="G5" s="3481"/>
      <c r="H5" s="3481" t="str">
        <f ca="1">结果表!H119</f>
        <v>肆仟伍佰捌拾捌万元整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4588</v>
      </c>
      <c r="E8" s="3482"/>
      <c r="F8" s="3482"/>
      <c r="G8" s="3482"/>
      <c r="H8" s="3482"/>
      <c r="I8" s="3482"/>
    </row>
    <row r="9" spans="1:9" ht="15">
      <c r="A9" s="3481" t="s">
        <v>927</v>
      </c>
      <c r="B9" s="3481"/>
      <c r="C9" s="3481"/>
      <c r="D9" s="3481" t="str">
        <f ca="1">结果表!D123</f>
        <v>肆仟伍佰捌拾捌万元整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8" t="s">
        <v>949</v>
      </c>
      <c r="B1" s="3488"/>
      <c r="C1" s="3488"/>
      <c r="D1" s="3488"/>
    </row>
    <row r="2" spans="1:4" ht="18">
      <c r="A2" s="3489" t="s">
        <v>933</v>
      </c>
      <c r="B2" s="3489"/>
      <c r="C2" s="3489"/>
      <c r="D2" s="3489"/>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9" t="s">
        <v>939</v>
      </c>
      <c r="B6" s="3489"/>
      <c r="C6" s="3489"/>
      <c r="D6" s="3489"/>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2" t="s">
        <v>956</v>
      </c>
      <c r="B15" s="3497" t="s">
        <v>109</v>
      </c>
      <c r="C15" s="3498"/>
    </row>
    <row r="16" spans="1:7" ht="13.5">
      <c r="A16" s="3503"/>
      <c r="B16" s="3497" t="s">
        <v>42</v>
      </c>
      <c r="C16" s="3498"/>
    </row>
    <row r="17" spans="1:3" ht="13.5">
      <c r="A17" s="3503"/>
      <c r="B17" s="3500" t="s">
        <v>957</v>
      </c>
      <c r="C17" s="1529" t="s">
        <v>956</v>
      </c>
    </row>
    <row r="18" spans="1:3" ht="13.5">
      <c r="A18" s="3503"/>
      <c r="B18" s="3500"/>
      <c r="C18" s="1529" t="s">
        <v>958</v>
      </c>
    </row>
    <row r="19" spans="1:3" ht="13.5">
      <c r="A19" s="3503"/>
      <c r="B19" s="3500"/>
      <c r="C19" s="1529" t="s">
        <v>959</v>
      </c>
    </row>
    <row r="20" spans="1:3" ht="13.5">
      <c r="A20" s="3504"/>
      <c r="B20" s="3499" t="s">
        <v>960</v>
      </c>
      <c r="C20" s="3498"/>
    </row>
    <row r="21" spans="1:3" ht="13.5">
      <c r="A21" s="1530" t="s">
        <v>961</v>
      </c>
      <c r="B21" s="1531"/>
      <c r="C21" s="1532"/>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29" t="s">
        <v>967</v>
      </c>
    </row>
    <row r="26" spans="1:3" ht="13.5">
      <c r="A26" s="3501"/>
      <c r="B26" s="3500"/>
      <c r="C26" s="1529" t="s">
        <v>968</v>
      </c>
    </row>
    <row r="27" spans="1:3" ht="13.5">
      <c r="A27" s="3501"/>
      <c r="B27" s="3500"/>
      <c r="C27" s="1529" t="s">
        <v>969</v>
      </c>
    </row>
    <row r="28" spans="1:3" ht="13.5">
      <c r="A28" s="3501"/>
      <c r="B28" s="3500"/>
      <c r="C28" s="1529" t="s">
        <v>970</v>
      </c>
    </row>
    <row r="29" spans="1:3" ht="13.5">
      <c r="A29" s="3501"/>
      <c r="B29" s="3500"/>
      <c r="C29" s="1529" t="s">
        <v>971</v>
      </c>
    </row>
    <row r="30" spans="1:3" ht="13.5">
      <c r="A30" s="3501"/>
      <c r="B30" s="3500"/>
      <c r="C30" s="1529" t="s">
        <v>972</v>
      </c>
    </row>
    <row r="31" spans="1:3" ht="13.5">
      <c r="A31" s="3501"/>
      <c r="B31" s="3500"/>
      <c r="C31" s="1529" t="s">
        <v>973</v>
      </c>
    </row>
    <row r="32" spans="1:3" ht="13.5">
      <c r="A32" s="3501"/>
      <c r="B32" s="3500"/>
      <c r="C32" s="1529" t="s">
        <v>974</v>
      </c>
    </row>
    <row r="33" spans="1:3" ht="13.5">
      <c r="A33" s="3501"/>
      <c r="B33" s="350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45075</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2424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5" t="s">
        <v>2157</v>
      </c>
      <c r="B17" s="3505"/>
      <c r="C17" s="3505"/>
      <c r="D17" s="3505"/>
      <c r="E17" s="3505"/>
      <c r="F17" s="3505"/>
      <c r="G17" s="3505"/>
      <c r="H17" s="3505"/>
    </row>
    <row r="18" spans="1:8" ht="24" customHeight="1">
      <c r="A18" s="3506" t="s">
        <v>2158</v>
      </c>
      <c r="B18" s="3506"/>
      <c r="C18" s="3506"/>
      <c r="D18" s="2339"/>
      <c r="E18" s="3507" t="s">
        <v>2159</v>
      </c>
      <c r="F18" s="3506"/>
      <c r="G18" s="3506"/>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基准地价修正</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2023-05-29T07:47:00Z</dcterms:modified>
</cp:coreProperties>
</file>