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9060" windowHeight="8685" activeTab="2"/>
  </bookViews>
  <sheets>
    <sheet name="系统读取表" sheetId="4" r:id="rId1"/>
    <sheet name="结果表" sheetId="5" r:id="rId2"/>
    <sheet name="面积表" sheetId="6" r:id="rId3"/>
    <sheet name="Sheet1" sheetId="1" r:id="rId4"/>
    <sheet name="Sheet2" sheetId="2" r:id="rId5"/>
    <sheet name="Sheet3" sheetId="3" r:id="rId6"/>
  </sheets>
  <externalReferences>
    <externalReference r:id="rId7"/>
  </externalReferences>
  <definedNames>
    <definedName name="办公层高">'[1]不动产比较法-办公'!$B$119:$M$119</definedName>
    <definedName name="办公朝向">'[1]不动产比较法-办公'!$B$91:$M$91</definedName>
    <definedName name="办公道路级别">'[1]不动产比较法-办公'!$B$87:$M$87</definedName>
    <definedName name="办公公共部分装修">'[1]不动产比较法-办公'!$B$108:$M$108</definedName>
    <definedName name="办公基础设施水平">'[1]不动产比较法-办公'!$B$117:$M$117</definedName>
    <definedName name="办公集聚程度">[1]定义!$M$1:$M$6</definedName>
    <definedName name="办公建筑结构">'[1]不动产比较法-办公'!$B$106:$M$106</definedName>
    <definedName name="办公建筑类型">'[1]不动产比较法-办公'!$B$101:$M$101</definedName>
    <definedName name="办公交易情况">'[1]不动产比较法-办公'!$A$62:$M$62</definedName>
    <definedName name="办公楼层">'[1]不动产比较法-办公'!$B$89:$M$89</definedName>
    <definedName name="办公内部装修">'[1]不动产比较法-办公'!$B$123:$M$123</definedName>
    <definedName name="办公物业管理">'[1]不动产比较法-办公'!$B$115:$M$115</definedName>
    <definedName name="办公用途">'[1]不动产比较法-办公'!$B$64:$M$64</definedName>
    <definedName name="仓储公共部分装修">'[1]不动产比较法-仓储'!$B$77:$M$77</definedName>
    <definedName name="仓储交易情况">'[1]不动产比较法-仓储'!$A$49:$M$49</definedName>
    <definedName name="仓储楼层">'[1]不动产比较法-仓储'!$B$69:$M$69</definedName>
    <definedName name="仓储物业等级">'[1]不动产比较法-仓储'!$B$82:$M$82</definedName>
    <definedName name="仓储用途">'[1]不动产比较法-仓储'!$B$51:$M$51</definedName>
    <definedName name="产业集聚程度">[1]定义!$N$1:$N$6</definedName>
    <definedName name="车位公共部分装修">'[1]不动产比较法-车位'!$B$83:$M$83</definedName>
    <definedName name="车位交易情况">'[1]不动产比较法-车位'!$A$51:$M$51</definedName>
    <definedName name="车位类型">'[1]不动产比较法-车位'!$B$93:$M$93</definedName>
    <definedName name="车位楼层">'[1]不动产比较法-车位'!$B$71:$M$71</definedName>
    <definedName name="车位配套类型">'[1]不动产比较法-车位'!$B$79:$M$79</definedName>
    <definedName name="车位物业等级">'[1]不动产比较法-车位'!$B$88:$M$88</definedName>
    <definedName name="车位用途">'[1]不动产比较法-车位'!$B$53:$M$53</definedName>
    <definedName name="城镇土地纳税等级分级范围">'[1]数据-取费表'!$A$53:$A$63</definedName>
    <definedName name="单价内涵">[1]定义!$V$1:$V$3</definedName>
    <definedName name="地类判定">[1]定义!$H$1:$H$9</definedName>
    <definedName name="二级分类">[1]修正!$C$17:$C$39</definedName>
    <definedName name="法定最高年限">[1]定义!$G$2:$G$4</definedName>
    <definedName name="工业公共部分装修">'[1]不动产比较法-工业'!$B$95:$M$95</definedName>
    <definedName name="工业基础设施水平">'[1]不动产比较法-工业'!$B$102:$M$102</definedName>
    <definedName name="工业建筑结构">'[1]不动产比较法-工业'!$B$93:$M$93</definedName>
    <definedName name="工业建筑类型">'[1]不动产比较法-工业'!$B$88:$M$88</definedName>
    <definedName name="工业交易情况">'[1]不动产比较法-工业'!$A$55:$M$55</definedName>
    <definedName name="工业内部装修">'[1]不动产比较法-工业'!$B$104:$M$104</definedName>
    <definedName name="工业物业管理">'[1]不动产比较法-工业'!$B$100:$M$100</definedName>
    <definedName name="工业用途">'[1]不动产比较法-工业'!$B$57:$M$57</definedName>
    <definedName name="公共配套设施">[1]定义!$Q$1:$Q$6</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居住社区成熟度">[1]定义!$K$1:$K$6</definedName>
    <definedName name="类别">[1]定义!$J$1:$J$3</definedName>
    <definedName name="临街状况">[1]定义!$T$1:$T$5</definedName>
    <definedName name="内部装修维护情况">[1]定义!$U$1:$U$6</definedName>
    <definedName name="判定">[1]定义!$D$1:$D$4</definedName>
    <definedName name="七通一平">[1]修正!$A$6:$A$14</definedName>
    <definedName name="区域土地利用方向">[1]定义!$P$1:$P$6</definedName>
    <definedName name="商业层高">'[1]不动产比较法-商业'!$B$116:$M$116</definedName>
    <definedName name="商业繁华度">[1]定义!$L$1:$L$6</definedName>
    <definedName name="商业公共部分装修">'[1]不动产比较法-商业'!$B$107:$M$107</definedName>
    <definedName name="商业基础设施水平">'[1]不动产比较法-商业'!$B$112:$M$112</definedName>
    <definedName name="商业建筑结构">'[1]不动产比较法-商业'!$B$105:$M$105</definedName>
    <definedName name="商业交易情况">'[1]不动产比较法-商业'!$A$61:$M$61</definedName>
    <definedName name="商业街名称">[1]修正!$C$59:$C$119</definedName>
    <definedName name="商业进深比">'[1]不动产比较法-商业'!$B$120:$M$120</definedName>
    <definedName name="商业类型">'[1]不动产比较法-商业'!$B$100:$M$100</definedName>
    <definedName name="商业临街状况">'[1]不动产比较法-商业'!$B$86:$M$86</definedName>
    <definedName name="商业楼层">'[1]不动产比较法-商业'!$B$92:$M$92</definedName>
    <definedName name="商业内部装修">'[1]不动产比较法-商业'!$B$122:$M$122</definedName>
    <definedName name="商业人流量">'[1]不动产比较法-商业'!$B$90:$M$90</definedName>
    <definedName name="商业业态">'[1]不动产比较法-商业'!$B$114:$M$114</definedName>
    <definedName name="商业用途">'[1]不动产比较法-商业'!$B$63:$M$63</definedName>
    <definedName name="是否封闭">'[1]不动产比较法-仓储'!$B$89:$M$89</definedName>
    <definedName name="是否直接入户">'[1]不动产比较法-车位'!$B$95:$M$95</definedName>
    <definedName name="套工工程地质条件">'[1]比较法-工业'!$B$116:$M$116</definedName>
    <definedName name="套工交易情况">'[1]比较法-住宅、综合'!$A$75:$M$75</definedName>
    <definedName name="套工开发程度">'[1]比较法-工业'!$B$114:$M$114</definedName>
    <definedName name="套工临街等级">'[1]比较法-工业'!$B$99:$M$99</definedName>
    <definedName name="套工土地级别">'[1]比较法-工业'!$B$101:$M$101</definedName>
    <definedName name="套工用途">'[1]比较法-工业'!$B$72:$M$72</definedName>
    <definedName name="套工宗地形状">'[1]比较法-工业'!$B$112:$M$112</definedName>
    <definedName name="套综道路等级">'[1]比较法-住宅、综合'!$B$108:$M$108</definedName>
    <definedName name="套综工程地质条件">'[1]比较法-住宅、综合'!$B$127:$M$127</definedName>
    <definedName name="套综交易情况">'[1]比较法-住宅、综合'!$A$75:$M$75</definedName>
    <definedName name="套综临街宽度及深度">'[1]比较法-住宅、综合'!$B$123:$M$123</definedName>
    <definedName name="套综土地级别">'[1]比较法-住宅、综合'!$B$110:$M$110</definedName>
    <definedName name="套综用途">'[1]比较法-住宅、综合'!$B$77:$M$77</definedName>
    <definedName name="套综宗地内开发程度">'[1]比较法-住宅、综合'!$B$125:$M$125</definedName>
    <definedName name="套综宗地形状">'[1]比较法-住宅、综合'!$B$121:$M$121</definedName>
    <definedName name="土地估价师">[1]估价师及机构信息!$D$3:$D$24</definedName>
    <definedName name="土地级别">[1]定义!$C$1:$C$14</definedName>
    <definedName name="土地年限区间">[1]定义!$I$1:$I$8</definedName>
    <definedName name="位置">[1]定义!$E$2:$E$4</definedName>
    <definedName name="五等判定">[1]定义!$W$1:$W$6</definedName>
    <definedName name="项目类型">'[1]数据-汇总表'!$C$17:$C$26</definedName>
    <definedName name="写字楼等级">'[1]不动产比较法-办公'!$B$113:$M$113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类型">[1]定义!$A$1:$A$50</definedName>
    <definedName name="有无电梯">'[1]不动产比较法-仓储'!$B$84:$M$84</definedName>
    <definedName name="主用途">[1]定义!$F$1:$F$10</definedName>
    <definedName name="住宅朝向">'[1]不动产比较法-住宅'!$B$88:$M$88</definedName>
    <definedName name="住宅房型">'[1]不动产比较法-住宅'!$B$118:$M$118</definedName>
    <definedName name="住宅公共部分装修">'[1]不动产比较法-住宅'!$B$109:$M$109</definedName>
    <definedName name="住宅基础设施水平">'[1]不动产比较法-住宅'!$B$116:$M$116</definedName>
    <definedName name="住宅建筑结构">'[1]不动产比较法-住宅'!$B$105:$M$105</definedName>
    <definedName name="住宅建筑类型">'[1]不动产比较法-住宅'!$B$100:$M$100</definedName>
    <definedName name="住宅建筑品质">'[1]不动产比较法-住宅'!$B$107:$M$107</definedName>
    <definedName name="住宅交易情况">'[1]不动产比较法-住宅'!$A$61:$M$61</definedName>
    <definedName name="住宅楼层">'[1]不动产比较法-住宅'!$B$86:$M$86</definedName>
    <definedName name="住宅内部装修">'[1]不动产比较法-住宅'!$B$122:$M$122</definedName>
    <definedName name="住宅物业管理">'[1]不动产比较法-住宅'!$B$114:$M$114</definedName>
    <definedName name="住宅用途">'[1]不动产比较法-住宅'!$B$63:$M$63</definedName>
  </definedNames>
  <calcPr calcId="162913"/>
</workbook>
</file>

<file path=xl/calcChain.xml><?xml version="1.0" encoding="utf-8"?>
<calcChain xmlns="http://schemas.openxmlformats.org/spreadsheetml/2006/main">
  <c r="Q11" i="6" l="1"/>
  <c r="N11" i="6"/>
  <c r="Q10" i="6"/>
  <c r="Q8" i="6"/>
  <c r="Q6" i="6"/>
  <c r="Q4" i="6"/>
  <c r="Q2" i="6"/>
  <c r="N10" i="6"/>
  <c r="N8" i="6"/>
  <c r="N6" i="6"/>
  <c r="N4" i="6"/>
  <c r="N2" i="6"/>
  <c r="P10" i="6"/>
  <c r="P8" i="6"/>
  <c r="P6" i="6"/>
  <c r="P4" i="6"/>
  <c r="P2" i="6"/>
  <c r="P11" i="6"/>
  <c r="G19" i="5"/>
  <c r="J82" i="6" l="1"/>
  <c r="K76" i="6"/>
  <c r="K77" i="6" s="1"/>
  <c r="K80" i="6" s="1"/>
  <c r="H55" i="6"/>
  <c r="H54" i="6"/>
  <c r="H56" i="6" s="1"/>
  <c r="H52" i="6"/>
  <c r="H51" i="6"/>
  <c r="H50" i="6"/>
  <c r="H49" i="6"/>
  <c r="H53" i="6" s="1"/>
  <c r="H57" i="6" s="1"/>
  <c r="E49" i="6" s="1"/>
  <c r="C49" i="6"/>
  <c r="H46" i="6"/>
  <c r="H45" i="6"/>
  <c r="H43" i="6"/>
  <c r="H42" i="6"/>
  <c r="H41" i="6"/>
  <c r="H40" i="6"/>
  <c r="C40" i="6"/>
  <c r="K46" i="6" s="1"/>
  <c r="H37" i="6"/>
  <c r="H36" i="6"/>
  <c r="H38" i="6" s="1"/>
  <c r="H34" i="6"/>
  <c r="H33" i="6"/>
  <c r="H32" i="6"/>
  <c r="H31" i="6"/>
  <c r="H35" i="6" s="1"/>
  <c r="H39" i="6" s="1"/>
  <c r="C31" i="6"/>
  <c r="H18" i="6"/>
  <c r="H17" i="6"/>
  <c r="H15" i="6"/>
  <c r="H14" i="6"/>
  <c r="H13" i="6"/>
  <c r="H12" i="6"/>
  <c r="H11" i="6"/>
  <c r="C11" i="6"/>
  <c r="K27" i="6" s="1"/>
  <c r="O10" i="6"/>
  <c r="O8" i="6"/>
  <c r="H8" i="6"/>
  <c r="H7" i="6"/>
  <c r="O6" i="6"/>
  <c r="H5" i="6"/>
  <c r="O4" i="6"/>
  <c r="H4" i="6"/>
  <c r="H3" i="6"/>
  <c r="H2" i="6"/>
  <c r="H6" i="6" s="1"/>
  <c r="C2" i="6"/>
  <c r="C112" i="5"/>
  <c r="D111" i="5"/>
  <c r="C109" i="5"/>
  <c r="E108" i="5"/>
  <c r="D107" i="5"/>
  <c r="C107" i="5" s="1"/>
  <c r="C105" i="5" s="1"/>
  <c r="D96" i="5"/>
  <c r="H95" i="5"/>
  <c r="D95" i="5"/>
  <c r="C95" i="5" s="1"/>
  <c r="C94" i="5"/>
  <c r="D86" i="5"/>
  <c r="F77" i="5"/>
  <c r="E77" i="5"/>
  <c r="O76" i="5"/>
  <c r="N76" i="5"/>
  <c r="L76" i="5"/>
  <c r="K76" i="5"/>
  <c r="P75" i="5"/>
  <c r="O75" i="5"/>
  <c r="L75" i="5"/>
  <c r="K75" i="5"/>
  <c r="K77" i="5" s="1"/>
  <c r="K79" i="5" s="1"/>
  <c r="K81" i="5" s="1"/>
  <c r="O74" i="5"/>
  <c r="F74" i="5"/>
  <c r="P74" i="5" s="1"/>
  <c r="O73" i="5"/>
  <c r="I73" i="5"/>
  <c r="F73" i="5"/>
  <c r="P73" i="5" s="1"/>
  <c r="D73" i="5"/>
  <c r="N73" i="5" s="1"/>
  <c r="F72" i="5"/>
  <c r="F71" i="5"/>
  <c r="F70" i="5"/>
  <c r="N67" i="5"/>
  <c r="F66" i="5"/>
  <c r="P72" i="5" s="1"/>
  <c r="E66" i="5"/>
  <c r="O72" i="5" s="1"/>
  <c r="C46" i="5"/>
  <c r="E46" i="5" s="1"/>
  <c r="A46" i="5"/>
  <c r="A45" i="5"/>
  <c r="C45" i="5" s="1"/>
  <c r="K44" i="5"/>
  <c r="A44" i="5"/>
  <c r="K39" i="5" s="1"/>
  <c r="K43" i="5"/>
  <c r="C43" i="5"/>
  <c r="K47" i="5" s="1"/>
  <c r="K41" i="5"/>
  <c r="K40" i="5"/>
  <c r="L38" i="5"/>
  <c r="K38" i="5"/>
  <c r="K33" i="5"/>
  <c r="K34" i="5" s="1"/>
  <c r="K31" i="5"/>
  <c r="K32" i="5" s="1"/>
  <c r="C25" i="5"/>
  <c r="C24" i="5"/>
  <c r="D17" i="5"/>
  <c r="C17" i="5"/>
  <c r="M4" i="5"/>
  <c r="L4" i="5"/>
  <c r="A2" i="5"/>
  <c r="F23" i="4"/>
  <c r="E23" i="4"/>
  <c r="F22" i="4"/>
  <c r="E22" i="4"/>
  <c r="F21" i="4"/>
  <c r="E21" i="4"/>
  <c r="F20" i="4"/>
  <c r="E19" i="4"/>
  <c r="F19" i="4"/>
  <c r="F18" i="4"/>
  <c r="E17" i="4"/>
  <c r="F17" i="4"/>
  <c r="F16" i="4"/>
  <c r="E15" i="4"/>
  <c r="F15" i="4"/>
  <c r="I14" i="4"/>
  <c r="H14" i="4"/>
  <c r="B8" i="4"/>
  <c r="B7" i="4"/>
  <c r="B3" i="4"/>
  <c r="C21" i="5"/>
  <c r="C19" i="5"/>
  <c r="D19" i="5"/>
  <c r="C20" i="5"/>
  <c r="D20" i="5"/>
  <c r="D21" i="5"/>
  <c r="C18" i="5" l="1"/>
  <c r="K8" i="6"/>
  <c r="H9" i="6"/>
  <c r="H16" i="6"/>
  <c r="H20" i="6" s="1"/>
  <c r="H19" i="6"/>
  <c r="K36" i="6"/>
  <c r="H44" i="6"/>
  <c r="H47" i="6"/>
  <c r="K72" i="6"/>
  <c r="K74" i="6"/>
  <c r="H10" i="6"/>
  <c r="K11" i="6"/>
  <c r="K21" i="6"/>
  <c r="K23" i="6"/>
  <c r="K25" i="6"/>
  <c r="K32" i="6"/>
  <c r="K33" i="6"/>
  <c r="K37" i="6"/>
  <c r="K38" i="6" s="1"/>
  <c r="K2" i="6"/>
  <c r="K3" i="6"/>
  <c r="K4" i="6"/>
  <c r="K5" i="6"/>
  <c r="K7" i="6"/>
  <c r="K12" i="6"/>
  <c r="K13" i="6"/>
  <c r="K14" i="6"/>
  <c r="K15" i="6"/>
  <c r="K17" i="6"/>
  <c r="K19" i="6" s="1"/>
  <c r="K18" i="6"/>
  <c r="K22" i="6"/>
  <c r="K24" i="6"/>
  <c r="K28" i="6"/>
  <c r="K29" i="6" s="1"/>
  <c r="K40" i="6"/>
  <c r="K41" i="6"/>
  <c r="K42" i="6"/>
  <c r="K43" i="6"/>
  <c r="K45" i="6"/>
  <c r="K47" i="6" s="1"/>
  <c r="K49" i="6"/>
  <c r="K50" i="6"/>
  <c r="K51" i="6"/>
  <c r="K52" i="6"/>
  <c r="K54" i="6"/>
  <c r="K56" i="6" s="1"/>
  <c r="K55" i="6"/>
  <c r="K59" i="6"/>
  <c r="K61" i="6"/>
  <c r="K63" i="6"/>
  <c r="K67" i="6"/>
  <c r="K69" i="6"/>
  <c r="K73" i="6"/>
  <c r="K31" i="6"/>
  <c r="K35" i="6" s="1"/>
  <c r="K34" i="6"/>
  <c r="K58" i="6"/>
  <c r="K62" i="6" s="1"/>
  <c r="K60" i="6"/>
  <c r="K64" i="6"/>
  <c r="K68" i="6"/>
  <c r="K70" i="6"/>
  <c r="L44" i="5"/>
  <c r="L43" i="5"/>
  <c r="D22" i="5"/>
  <c r="F45" i="5"/>
  <c r="D45" i="5"/>
  <c r="E45" i="5"/>
  <c r="O40" i="5"/>
  <c r="M43" i="5"/>
  <c r="D18" i="5"/>
  <c r="M44" i="5" s="1"/>
  <c r="C92" i="5"/>
  <c r="C110" i="5"/>
  <c r="O41" i="5"/>
  <c r="D46" i="5"/>
  <c r="F46" i="5"/>
  <c r="E16" i="4"/>
  <c r="E18" i="4"/>
  <c r="E20" i="4"/>
  <c r="K9" i="6" l="1"/>
  <c r="H48" i="6"/>
  <c r="C14" i="4"/>
  <c r="B2" i="4" s="1"/>
  <c r="K39" i="6"/>
  <c r="K65" i="6"/>
  <c r="K71" i="6"/>
  <c r="K75" i="6" s="1"/>
  <c r="K44" i="6"/>
  <c r="K48" i="6" s="1"/>
  <c r="K6" i="6"/>
  <c r="K10" i="6" s="1"/>
  <c r="K26" i="6"/>
  <c r="K30" i="6" s="1"/>
  <c r="K66" i="6"/>
  <c r="K53" i="6"/>
  <c r="K57" i="6" s="1"/>
  <c r="K16" i="6"/>
  <c r="K20" i="6" s="1"/>
  <c r="G20" i="5"/>
  <c r="G21" i="5"/>
  <c r="B14" i="4" l="1"/>
  <c r="B1" i="4" s="1"/>
  <c r="D7" i="4"/>
  <c r="D8" i="4"/>
  <c r="K81" i="6"/>
  <c r="C7" i="4" l="1"/>
  <c r="C8" i="4"/>
  <c r="G14" i="4"/>
  <c r="B6" i="4" s="1"/>
  <c r="C6" i="4" s="1"/>
  <c r="D6" i="4" l="1"/>
  <c r="O2" i="6"/>
  <c r="D14" i="4" s="1"/>
  <c r="F14" i="4" l="1"/>
  <c r="E14" i="4"/>
  <c r="B5" i="4"/>
  <c r="N43" i="5"/>
  <c r="C32" i="5"/>
  <c r="G22" i="5"/>
  <c r="A27" i="5"/>
  <c r="C5" i="4" l="1"/>
  <c r="D5" i="4"/>
  <c r="C33" i="5"/>
  <c r="O38" i="5"/>
  <c r="C34" i="5"/>
  <c r="C42" i="5"/>
  <c r="O43" i="5"/>
  <c r="C35" i="5"/>
  <c r="F42" i="5" s="1"/>
  <c r="D63" i="5" l="1"/>
  <c r="N68" i="5"/>
  <c r="C44" i="5"/>
  <c r="K25" i="5"/>
  <c r="K26" i="5"/>
  <c r="E42" i="5"/>
  <c r="M38" i="5"/>
  <c r="K27" i="5" s="1"/>
  <c r="D42" i="5"/>
  <c r="N38" i="5"/>
  <c r="K28" i="5" s="1"/>
  <c r="D44" i="5" l="1"/>
  <c r="E44" i="5"/>
  <c r="F44" i="5"/>
  <c r="N69" i="5"/>
  <c r="O39" i="5"/>
  <c r="K29" i="5" s="1"/>
  <c r="K30" i="5" s="1"/>
  <c r="C96" i="5"/>
  <c r="C91" i="5" s="1"/>
  <c r="D71" i="5"/>
  <c r="D66" i="5" s="1"/>
  <c r="N72" i="5" s="1"/>
  <c r="C111" i="5"/>
  <c r="C104" i="5" s="1"/>
  <c r="C90" i="5"/>
  <c r="D77" i="5"/>
  <c r="N75" i="5" s="1"/>
  <c r="D70" i="5"/>
  <c r="C103" i="5"/>
  <c r="C113" i="5" s="1"/>
  <c r="C82" i="5"/>
  <c r="C81" i="5" s="1"/>
  <c r="C85" i="5" s="1"/>
  <c r="C86" i="5" s="1"/>
  <c r="D72" i="5" s="1"/>
  <c r="C97" i="5" l="1"/>
  <c r="C114" i="5"/>
  <c r="E114" i="5" s="1"/>
  <c r="E115" i="5" s="1"/>
  <c r="M83" i="5"/>
  <c r="N83" i="5" s="1"/>
  <c r="M87" i="5"/>
  <c r="N87" i="5" s="1"/>
  <c r="M85" i="5"/>
  <c r="N85" i="5" s="1"/>
  <c r="M84" i="5"/>
  <c r="N84" i="5" s="1"/>
  <c r="M88" i="5"/>
  <c r="N88" i="5" s="1"/>
  <c r="M86" i="5"/>
  <c r="N86" i="5" s="1"/>
  <c r="C98" i="5"/>
  <c r="E98" i="5" s="1"/>
  <c r="E99" i="5" s="1"/>
  <c r="N89" i="5" l="1"/>
  <c r="O89" i="5" s="1"/>
  <c r="C99" i="5"/>
  <c r="C115" i="5"/>
  <c r="D76" i="5" s="1"/>
  <c r="D74" i="5" s="1"/>
  <c r="N74" i="5" s="1"/>
  <c r="O77" i="5" s="1"/>
  <c r="O79" i="5" l="1"/>
  <c r="Q77" i="5"/>
  <c r="O78" i="5"/>
  <c r="O80" i="5" l="1"/>
  <c r="O81" i="5"/>
</calcChain>
</file>

<file path=xl/comments1.xml><?xml version="1.0" encoding="utf-8"?>
<comments xmlns="http://schemas.openxmlformats.org/spreadsheetml/2006/main">
  <authors>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93" authorId="0"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sharedStrings.xml><?xml version="1.0" encoding="utf-8"?>
<sst xmlns="http://schemas.openxmlformats.org/spreadsheetml/2006/main" count="508" uniqueCount="297">
  <si>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</si>
  <si>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</si>
  <si>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</si>
  <si>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</si>
  <si>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</si>
  <si>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</si>
  <si>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</si>
  <si>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</si>
  <si>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</si>
  <si>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</si>
  <si>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</si>
  <si>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</si>
  <si>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</si>
  <si>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phoneticPr fontId="3" type="noConversion"/>
  </si>
  <si>
    <t>项目名称</t>
    <phoneticPr fontId="3" type="noConversion"/>
  </si>
  <si>
    <t>市场价值（万元）</t>
  </si>
  <si>
    <t>楼面单价（元/平方米）</t>
    <phoneticPr fontId="3" type="noConversion"/>
  </si>
  <si>
    <t>抵押价值（万元）</t>
  </si>
  <si>
    <t>抵押价值-已注销（万元）</t>
  </si>
  <si>
    <t>抵押净值（万元）</t>
  </si>
  <si>
    <t>估价对象1（本表）</t>
    <phoneticPr fontId="3" type="noConversion"/>
  </si>
  <si>
    <t>估价对象2</t>
  </si>
  <si>
    <t>估价对象3</t>
  </si>
  <si>
    <t>估价对象4</t>
  </si>
  <si>
    <t>估价对象5</t>
  </si>
  <si>
    <t>估价对象6</t>
  </si>
  <si>
    <t>估价对象7</t>
  </si>
  <si>
    <t>估价对象8</t>
  </si>
  <si>
    <t>估价对象9</t>
  </si>
  <si>
    <t>估价对象10</t>
  </si>
  <si>
    <t>估价结果（过程）</t>
    <phoneticPr fontId="8" type="noConversion"/>
  </si>
  <si>
    <t>估价对象范围</t>
    <phoneticPr fontId="8" type="noConversion"/>
  </si>
  <si>
    <t>项目全部</t>
  </si>
  <si>
    <t>估价对象状态</t>
    <phoneticPr fontId="8" type="noConversion"/>
  </si>
  <si>
    <r>
      <rPr>
        <sz val="10"/>
        <color indexed="8"/>
        <rFont val="仿宋_GB2312"/>
        <family val="3"/>
        <charset val="134"/>
      </rPr>
      <t>权重确定打分评价体系</t>
    </r>
  </si>
  <si>
    <r>
      <rPr>
        <sz val="11"/>
        <color indexed="8"/>
        <rFont val="仿宋_GB2312"/>
        <family val="3"/>
        <charset val="134"/>
      </rPr>
      <t>评价因素</t>
    </r>
  </si>
  <si>
    <r>
      <rPr>
        <sz val="11"/>
        <color indexed="8"/>
        <rFont val="仿宋_GB2312"/>
        <family val="3"/>
        <charset val="134"/>
      </rPr>
      <t>标准分值</t>
    </r>
  </si>
  <si>
    <t>剩余法-待开发</t>
  </si>
  <si>
    <t>比较法-住宅、综合</t>
  </si>
  <si>
    <r>
      <rPr>
        <sz val="10"/>
        <color indexed="8"/>
        <rFont val="仿宋_GB2312"/>
        <family val="3"/>
        <charset val="134"/>
      </rPr>
      <t>打分考虑因素</t>
    </r>
    <phoneticPr fontId="8" type="noConversion"/>
  </si>
  <si>
    <r>
      <rPr>
        <sz val="11"/>
        <color indexed="8"/>
        <rFont val="仿宋_GB2312"/>
        <family val="3"/>
        <charset val="134"/>
      </rPr>
      <t>估价方法的代表性</t>
    </r>
  </si>
  <si>
    <r>
      <t>1.</t>
    </r>
    <r>
      <rPr>
        <sz val="10"/>
        <color indexed="8"/>
        <rFont val="仿宋_GB2312"/>
        <family val="3"/>
        <charset val="134"/>
      </rPr>
      <t>估价方法选取分析</t>
    </r>
    <r>
      <rPr>
        <b/>
        <sz val="10"/>
        <color indexed="8"/>
        <rFont val="仿宋_GB2312"/>
        <family val="3"/>
        <charset val="134"/>
      </rPr>
      <t>充分、合理</t>
    </r>
    <r>
      <rPr>
        <sz val="10"/>
        <color indexed="8"/>
        <rFont val="仿宋_GB2312"/>
        <family val="3"/>
        <charset val="134"/>
      </rPr>
      <t>，取</t>
    </r>
    <r>
      <rPr>
        <sz val="10"/>
        <color indexed="8"/>
        <rFont val="Arial"/>
        <family val="2"/>
      </rPr>
      <t>20</t>
    </r>
    <r>
      <rPr>
        <sz val="10"/>
        <color indexed="8"/>
        <rFont val="仿宋_GB2312"/>
        <family val="3"/>
        <charset val="134"/>
      </rPr>
      <t>～</t>
    </r>
    <r>
      <rPr>
        <sz val="10"/>
        <color indexed="8"/>
        <rFont val="Arial"/>
        <family val="2"/>
      </rPr>
      <t>25</t>
    </r>
    <r>
      <rPr>
        <sz val="10"/>
        <color indexed="8"/>
        <rFont val="仿宋_GB2312"/>
        <family val="3"/>
        <charset val="134"/>
      </rPr>
      <t>分；</t>
    </r>
    <phoneticPr fontId="8" type="noConversion"/>
  </si>
  <si>
    <r>
      <t>2.</t>
    </r>
    <r>
      <rPr>
        <sz val="10"/>
        <color indexed="8"/>
        <rFont val="仿宋_GB2312"/>
        <family val="3"/>
        <charset val="134"/>
      </rPr>
      <t>估价方法选取分析</t>
    </r>
    <r>
      <rPr>
        <b/>
        <sz val="10"/>
        <color indexed="8"/>
        <rFont val="仿宋_GB2312"/>
        <family val="3"/>
        <charset val="134"/>
      </rPr>
      <t>较充分、合理</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</si>
  <si>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估价方法选取分析</t>
    </r>
    <r>
      <rPr>
        <b/>
        <sz val="10"/>
        <color indexed="8"/>
        <rFont val="仿宋_GB2312"/>
        <family val="3"/>
        <charset val="134"/>
      </rPr>
      <t>较不充分</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</si>
  <si>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估价方法所要求的估价资料的完整性</t>
    </r>
  </si>
  <si>
    <r>
      <t>1.</t>
    </r>
    <r>
      <rPr>
        <sz val="10"/>
        <color indexed="8"/>
        <rFont val="仿宋_GB2312"/>
        <family val="3"/>
        <charset val="134"/>
      </rPr>
      <t>估价资料</t>
    </r>
    <r>
      <rPr>
        <b/>
        <sz val="10"/>
        <color indexed="8"/>
        <rFont val="仿宋_GB2312"/>
        <family val="3"/>
        <charset val="134"/>
      </rPr>
      <t>完整</t>
    </r>
    <r>
      <rPr>
        <sz val="10"/>
        <color indexed="8"/>
        <rFont val="仿宋_GB2312"/>
        <family val="3"/>
        <charset val="134"/>
      </rPr>
      <t>，来源依据充分，取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</si>
  <si>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估价资料有</t>
    </r>
    <r>
      <rPr>
        <b/>
        <sz val="10"/>
        <color indexed="8"/>
        <rFont val="仿宋_GB2312"/>
        <family val="3"/>
        <charset val="134"/>
      </rPr>
      <t>欠缺</t>
    </r>
    <r>
      <rPr>
        <sz val="10"/>
        <color indexed="8"/>
        <rFont val="仿宋_GB2312"/>
        <family val="3"/>
        <charset val="134"/>
      </rPr>
      <t>，来源依据较不充分，取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</si>
  <si>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参数选取的客观性</t>
    </r>
  </si>
  <si>
    <r>
      <t>1.</t>
    </r>
    <r>
      <rPr>
        <sz val="10"/>
        <color indexed="8"/>
        <rFont val="仿宋_GB2312"/>
        <family val="3"/>
        <charset val="134"/>
      </rPr>
      <t>参数从</t>
    </r>
    <r>
      <rPr>
        <b/>
        <sz val="10"/>
        <color indexed="8"/>
        <rFont val="仿宋_GB2312"/>
        <family val="3"/>
        <charset val="134"/>
      </rPr>
      <t>市场上获取</t>
    </r>
    <r>
      <rPr>
        <sz val="10"/>
        <color indexed="8"/>
        <rFont val="仿宋_GB2312"/>
        <family val="3"/>
        <charset val="134"/>
      </rPr>
      <t>，或从权威机构发布的信息上获取，取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</si>
  <si>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部分参数为</t>
    </r>
    <r>
      <rPr>
        <b/>
        <sz val="10"/>
        <color indexed="8"/>
        <rFont val="仿宋_GB2312"/>
        <family val="3"/>
        <charset val="134"/>
      </rPr>
      <t>自行分析</t>
    </r>
    <r>
      <rPr>
        <sz val="10"/>
        <color indexed="8"/>
        <rFont val="仿宋_GB2312"/>
        <family val="3"/>
        <charset val="134"/>
      </rPr>
      <t>取得，理由较充分，取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</si>
  <si>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参数确定的时效性</t>
    </r>
  </si>
  <si>
    <r>
      <t>1.</t>
    </r>
    <r>
      <rPr>
        <sz val="10"/>
        <color indexed="8"/>
        <rFont val="仿宋_GB2312"/>
        <family val="3"/>
        <charset val="134"/>
      </rPr>
      <t>参数在规定的时效范围内，且距估价期日</t>
    </r>
    <r>
      <rPr>
        <b/>
        <sz val="10"/>
        <color indexed="8"/>
        <rFont val="仿宋_GB2312"/>
        <family val="3"/>
        <charset val="134"/>
      </rPr>
      <t>未超过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</si>
  <si>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参数在规定的时效范围内，但距估价期日</t>
    </r>
    <r>
      <rPr>
        <b/>
        <sz val="10"/>
        <color indexed="8"/>
        <rFont val="仿宋_GB2312"/>
        <family val="3"/>
        <charset val="134"/>
      </rPr>
      <t>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</si>
  <si>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估价结果的现势性</t>
    </r>
  </si>
  <si>
    <r>
      <t>1.</t>
    </r>
    <r>
      <rPr>
        <sz val="10"/>
        <color indexed="8"/>
        <rFont val="仿宋_GB2312"/>
        <family val="3"/>
        <charset val="134"/>
      </rPr>
      <t>估价结果与同类用途房地产市场</t>
    </r>
    <r>
      <rPr>
        <b/>
        <sz val="10"/>
        <color indexed="8"/>
        <rFont val="仿宋_GB2312"/>
        <family val="3"/>
        <charset val="134"/>
      </rPr>
      <t>价格水平一致</t>
    </r>
    <r>
      <rPr>
        <sz val="10"/>
        <color indexed="8"/>
        <rFont val="仿宋_GB2312"/>
        <family val="3"/>
        <charset val="134"/>
      </rPr>
      <t>，且考虑了房地产市场发展趋势，取</t>
    </r>
    <r>
      <rPr>
        <sz val="10"/>
        <color indexed="8"/>
        <rFont val="Arial"/>
        <family val="2"/>
      </rPr>
      <t>20</t>
    </r>
    <r>
      <rPr>
        <sz val="10"/>
        <color indexed="8"/>
        <rFont val="仿宋_GB2312"/>
        <family val="3"/>
        <charset val="134"/>
      </rPr>
      <t>～</t>
    </r>
    <r>
      <rPr>
        <sz val="10"/>
        <color indexed="8"/>
        <rFont val="Arial"/>
        <family val="2"/>
      </rPr>
      <t>30</t>
    </r>
    <r>
      <rPr>
        <sz val="10"/>
        <color indexed="8"/>
        <rFont val="仿宋_GB2312"/>
        <family val="3"/>
        <charset val="134"/>
      </rPr>
      <t>分；</t>
    </r>
    <phoneticPr fontId="8" type="noConversion"/>
  </si>
  <si>
    <r>
      <t>2.</t>
    </r>
    <r>
      <rPr>
        <sz val="10"/>
        <color indexed="8"/>
        <rFont val="仿宋_GB2312"/>
        <family val="3"/>
        <charset val="134"/>
      </rPr>
      <t>估价结果与同类用途房地产价格</t>
    </r>
    <r>
      <rPr>
        <b/>
        <sz val="10"/>
        <color indexed="8"/>
        <rFont val="仿宋_GB2312"/>
        <family val="3"/>
        <charset val="134"/>
      </rPr>
      <t>水平基本一致</t>
    </r>
    <r>
      <rPr>
        <sz val="10"/>
        <color indexed="8"/>
        <rFont val="仿宋_GB2312"/>
        <family val="3"/>
        <charset val="134"/>
      </rPr>
      <t>，且适当考虑了房地产市场发展趋势，取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</si>
  <si>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估价结果与同类用途房地产</t>
    </r>
    <r>
      <rPr>
        <b/>
        <sz val="10"/>
        <color indexed="8"/>
        <rFont val="仿宋_GB2312"/>
        <family val="3"/>
        <charset val="134"/>
      </rPr>
      <t>价格水平有一定差距</t>
    </r>
    <r>
      <rPr>
        <sz val="10"/>
        <color indexed="8"/>
        <rFont val="仿宋_GB2312"/>
        <family val="3"/>
        <charset val="134"/>
      </rPr>
      <t>，且适当考虑房地产市场发展趋势，取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</si>
  <si>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b/>
        <sz val="11"/>
        <color indexed="8"/>
        <rFont val="仿宋_GB2312"/>
        <family val="3"/>
        <charset val="134"/>
      </rPr>
      <t>分值</t>
    </r>
  </si>
  <si>
    <r>
      <rPr>
        <b/>
        <sz val="11"/>
        <color indexed="8"/>
        <rFont val="仿宋_GB2312"/>
        <family val="3"/>
        <charset val="134"/>
      </rPr>
      <t>权重</t>
    </r>
  </si>
  <si>
    <r>
      <rPr>
        <b/>
        <sz val="11"/>
        <color indexed="8"/>
        <rFont val="仿宋_GB2312"/>
        <family val="3"/>
        <charset val="134"/>
      </rPr>
      <t>各方法结果</t>
    </r>
    <phoneticPr fontId="8" type="noConversion"/>
  </si>
  <si>
    <r>
      <rPr>
        <sz val="11"/>
        <color indexed="8"/>
        <rFont val="仿宋_GB2312"/>
        <family val="3"/>
        <charset val="134"/>
      </rPr>
      <t>总价</t>
    </r>
    <phoneticPr fontId="8" type="noConversion"/>
  </si>
  <si>
    <r>
      <rPr>
        <b/>
        <sz val="11"/>
        <color indexed="8"/>
        <rFont val="仿宋_GB2312"/>
        <family val="3"/>
        <charset val="134"/>
      </rPr>
      <t>权重结果</t>
    </r>
    <phoneticPr fontId="8" type="noConversion"/>
  </si>
  <si>
    <r>
      <rPr>
        <sz val="10"/>
        <color indexed="8"/>
        <rFont val="仿宋_GB2312"/>
        <family val="3"/>
        <charset val="134"/>
      </rPr>
      <t>万元</t>
    </r>
    <phoneticPr fontId="8" type="noConversion"/>
  </si>
  <si>
    <r>
      <rPr>
        <sz val="11"/>
        <color indexed="8"/>
        <rFont val="仿宋_GB2312"/>
        <family val="3"/>
        <charset val="134"/>
      </rPr>
      <t>楼面地价</t>
    </r>
    <phoneticPr fontId="8" type="noConversion"/>
  </si>
  <si>
    <r>
      <rPr>
        <sz val="10"/>
        <color indexed="8"/>
        <rFont val="仿宋_GB2312"/>
        <family val="3"/>
        <charset val="134"/>
      </rPr>
      <t>元</t>
    </r>
    <r>
      <rPr>
        <sz val="10"/>
        <color indexed="8"/>
        <rFont val="Arial"/>
        <family val="2"/>
      </rPr>
      <t>/</t>
    </r>
    <r>
      <rPr>
        <sz val="10"/>
        <color indexed="8"/>
        <rFont val="仿宋_GB2312"/>
        <family val="3"/>
        <charset val="134"/>
      </rPr>
      <t>平方米</t>
    </r>
    <phoneticPr fontId="8" type="noConversion"/>
  </si>
  <si>
    <r>
      <rPr>
        <sz val="11"/>
        <color indexed="8"/>
        <rFont val="仿宋_GB2312"/>
        <family val="3"/>
        <charset val="134"/>
      </rPr>
      <t>单位面积地价</t>
    </r>
    <phoneticPr fontId="8" type="noConversion"/>
  </si>
  <si>
    <r>
      <rPr>
        <b/>
        <sz val="11"/>
        <color indexed="8"/>
        <rFont val="仿宋_GB2312"/>
        <family val="3"/>
        <charset val="134"/>
      </rPr>
      <t>各方法结果差值</t>
    </r>
    <phoneticPr fontId="8" type="noConversion"/>
  </si>
  <si>
    <r>
      <rPr>
        <sz val="10"/>
        <color indexed="8"/>
        <rFont val="仿宋_GB2312"/>
        <family val="3"/>
        <charset val="134"/>
      </rPr>
      <t>万元</t>
    </r>
    <r>
      <rPr>
        <sz val="10"/>
        <color indexed="8"/>
        <rFont val="Arial"/>
        <family val="2"/>
      </rPr>
      <t>/</t>
    </r>
    <r>
      <rPr>
        <sz val="10"/>
        <color indexed="8"/>
        <rFont val="仿宋_GB2312"/>
        <family val="3"/>
        <charset val="134"/>
      </rPr>
      <t>亩</t>
    </r>
    <phoneticPr fontId="8" type="noConversion"/>
  </si>
  <si>
    <r>
      <rPr>
        <b/>
        <sz val="11"/>
        <color indexed="8"/>
        <rFont val="仿宋_GB2312"/>
        <family val="3"/>
        <charset val="134"/>
      </rPr>
      <t>扣减项</t>
    </r>
    <r>
      <rPr>
        <b/>
        <sz val="11"/>
        <color indexed="8"/>
        <rFont val="Arial"/>
        <family val="2"/>
      </rPr>
      <t>(</t>
    </r>
    <r>
      <rPr>
        <b/>
        <sz val="11"/>
        <color indexed="8"/>
        <rFont val="仿宋_GB2312"/>
        <family val="3"/>
        <charset val="134"/>
      </rPr>
      <t>出让金、平整费用等</t>
    </r>
    <r>
      <rPr>
        <b/>
        <sz val="11"/>
        <color indexed="8"/>
        <rFont val="Arial"/>
        <family val="2"/>
      </rPr>
      <t>)</t>
    </r>
    <phoneticPr fontId="8" type="noConversion"/>
  </si>
  <si>
    <r>
      <rPr>
        <sz val="11"/>
        <color indexed="8"/>
        <rFont val="仿宋_GB2312"/>
        <family val="3"/>
        <charset val="134"/>
      </rPr>
      <t>楼面地价</t>
    </r>
  </si>
  <si>
    <r>
      <rPr>
        <sz val="11"/>
        <color indexed="10"/>
        <rFont val="仿宋_GB2312"/>
        <family val="3"/>
        <charset val="134"/>
      </rPr>
      <t>扣减项</t>
    </r>
    <phoneticPr fontId="8" type="noConversion"/>
  </si>
  <si>
    <r>
      <rPr>
        <sz val="11"/>
        <color indexed="10"/>
        <rFont val="仿宋_GB2312"/>
        <family val="3"/>
        <charset val="134"/>
      </rPr>
      <t>面积</t>
    </r>
    <phoneticPr fontId="8" type="noConversion"/>
  </si>
  <si>
    <r>
      <rPr>
        <sz val="11"/>
        <color indexed="10"/>
        <rFont val="仿宋_GB2312"/>
        <family val="3"/>
        <charset val="134"/>
      </rPr>
      <t>单价</t>
    </r>
    <phoneticPr fontId="8" type="noConversion"/>
  </si>
  <si>
    <r>
      <rPr>
        <sz val="11"/>
        <color indexed="10"/>
        <rFont val="仿宋_GB2312"/>
        <family val="3"/>
        <charset val="134"/>
      </rPr>
      <t>总值</t>
    </r>
    <phoneticPr fontId="8" type="noConversion"/>
  </si>
  <si>
    <r>
      <rPr>
        <sz val="11"/>
        <color indexed="10"/>
        <rFont val="仿宋_GB2312"/>
        <family val="3"/>
        <charset val="134"/>
      </rPr>
      <t>合计</t>
    </r>
    <phoneticPr fontId="8"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</si>
  <si>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</si>
  <si>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r>
      <rPr>
        <b/>
        <sz val="11"/>
        <color indexed="8"/>
        <rFont val="仿宋_GB2312"/>
        <family val="3"/>
        <charset val="134"/>
      </rPr>
      <t>土地价格</t>
    </r>
    <phoneticPr fontId="8" type="noConversion"/>
  </si>
  <si>
    <r>
      <rPr>
        <b/>
        <sz val="11"/>
        <color indexed="8"/>
        <rFont val="仿宋_GB2312"/>
        <family val="3"/>
        <charset val="134"/>
      </rPr>
      <t>总价</t>
    </r>
    <phoneticPr fontId="8" type="noConversion"/>
  </si>
  <si>
    <r>
      <rPr>
        <b/>
        <sz val="10"/>
        <color indexed="8"/>
        <rFont val="仿宋_GB2312"/>
        <family val="3"/>
        <charset val="134"/>
      </rPr>
      <t>万元</t>
    </r>
    <phoneticPr fontId="8" type="noConversion"/>
  </si>
  <si>
    <r>
      <rPr>
        <b/>
        <sz val="8"/>
        <color indexed="8"/>
        <rFont val="仿宋_GB2312"/>
        <family val="3"/>
        <charset val="134"/>
      </rPr>
      <t>权重结果</t>
    </r>
    <r>
      <rPr>
        <b/>
        <sz val="8"/>
        <color indexed="8"/>
        <rFont val="Arial"/>
        <family val="2"/>
      </rPr>
      <t>-</t>
    </r>
    <r>
      <rPr>
        <b/>
        <sz val="8"/>
        <color indexed="8"/>
        <rFont val="仿宋_GB2312"/>
        <family val="3"/>
        <charset val="134"/>
      </rPr>
      <t>扣减项</t>
    </r>
    <phoneticPr fontId="8" type="noConversion"/>
  </si>
  <si>
    <r>
      <rPr>
        <b/>
        <sz val="11"/>
        <color indexed="8"/>
        <rFont val="仿宋_GB2312"/>
        <family val="3"/>
        <charset val="134"/>
      </rPr>
      <t>楼面地价</t>
    </r>
    <phoneticPr fontId="8" type="noConversion"/>
  </si>
  <si>
    <r>
      <rPr>
        <b/>
        <sz val="10"/>
        <color indexed="8"/>
        <rFont val="仿宋_GB2312"/>
        <family val="3"/>
        <charset val="134"/>
      </rPr>
      <t>元</t>
    </r>
    <r>
      <rPr>
        <b/>
        <sz val="10"/>
        <color indexed="8"/>
        <rFont val="Arial"/>
        <family val="2"/>
      </rPr>
      <t>/</t>
    </r>
    <r>
      <rPr>
        <b/>
        <sz val="10"/>
        <color indexed="8"/>
        <rFont val="仿宋_GB2312"/>
        <family val="3"/>
        <charset val="134"/>
      </rPr>
      <t>平方米</t>
    </r>
    <phoneticPr fontId="8" type="noConversion"/>
  </si>
  <si>
    <r>
      <rPr>
        <b/>
        <sz val="11"/>
        <color indexed="8"/>
        <rFont val="仿宋_GB2312"/>
        <family val="3"/>
        <charset val="134"/>
      </rPr>
      <t>优先受偿情况</t>
    </r>
    <phoneticPr fontId="8" type="noConversion"/>
  </si>
  <si>
    <r>
      <rPr>
        <sz val="11"/>
        <color indexed="8"/>
        <rFont val="仿宋_GB2312"/>
        <family val="3"/>
        <charset val="134"/>
      </rPr>
      <t>已抵押担保数额</t>
    </r>
    <phoneticPr fontId="8" type="noConversion"/>
  </si>
  <si>
    <r>
      <rPr>
        <b/>
        <sz val="11"/>
        <color indexed="8"/>
        <rFont val="仿宋_GB2312"/>
        <family val="3"/>
        <charset val="134"/>
      </rPr>
      <t>单位面积地价</t>
    </r>
    <phoneticPr fontId="8" type="noConversion"/>
  </si>
  <si>
    <r>
      <rPr>
        <sz val="11"/>
        <color indexed="8"/>
        <rFont val="仿宋_GB2312"/>
        <family val="3"/>
        <charset val="134"/>
      </rPr>
      <t>拖欠工程款</t>
    </r>
    <phoneticPr fontId="8" type="noConversion"/>
  </si>
  <si>
    <r>
      <rPr>
        <b/>
        <sz val="10"/>
        <color indexed="8"/>
        <rFont val="仿宋_GB2312"/>
        <family val="3"/>
        <charset val="134"/>
      </rPr>
      <t>万元</t>
    </r>
    <r>
      <rPr>
        <b/>
        <sz val="10"/>
        <color indexed="8"/>
        <rFont val="Arial"/>
        <family val="2"/>
      </rPr>
      <t>/</t>
    </r>
    <r>
      <rPr>
        <b/>
        <sz val="10"/>
        <color indexed="8"/>
        <rFont val="仿宋_GB2312"/>
        <family val="3"/>
        <charset val="134"/>
      </rPr>
      <t>亩</t>
    </r>
    <phoneticPr fontId="8" type="noConversion"/>
  </si>
  <si>
    <r>
      <rPr>
        <sz val="11"/>
        <color indexed="8"/>
        <rFont val="仿宋_GB2312"/>
        <family val="3"/>
        <charset val="134"/>
      </rPr>
      <t>其他</t>
    </r>
    <phoneticPr fontId="8" type="noConversion"/>
  </si>
  <si>
    <r>
      <rPr>
        <sz val="11"/>
        <color indexed="8"/>
        <rFont val="仿宋_GB2312"/>
        <family val="3"/>
        <charset val="134"/>
      </rPr>
      <t>补交地价款</t>
    </r>
    <phoneticPr fontId="8" type="noConversion"/>
  </si>
  <si>
    <r>
      <rPr>
        <sz val="9"/>
        <color indexed="8"/>
        <rFont val="仿宋_GB2312"/>
        <family val="3"/>
        <charset val="134"/>
      </rPr>
      <t>土地面积</t>
    </r>
    <r>
      <rPr>
        <sz val="9"/>
        <color indexed="8"/>
        <rFont val="Arial"/>
        <family val="2"/>
      </rPr>
      <t>/</t>
    </r>
    <r>
      <rPr>
        <sz val="9"/>
        <color indexed="8"/>
        <rFont val="仿宋_GB2312"/>
        <family val="3"/>
        <charset val="134"/>
      </rPr>
      <t>㎡</t>
    </r>
  </si>
  <si>
    <r>
      <rPr>
        <sz val="9"/>
        <color indexed="8"/>
        <rFont val="仿宋_GB2312"/>
        <family val="3"/>
        <charset val="134"/>
      </rPr>
      <t>规划建筑面积</t>
    </r>
    <r>
      <rPr>
        <sz val="9"/>
        <color indexed="8"/>
        <rFont val="Arial"/>
        <family val="2"/>
      </rPr>
      <t>/</t>
    </r>
    <r>
      <rPr>
        <sz val="9"/>
        <color indexed="8"/>
        <rFont val="仿宋_GB2312"/>
        <family val="3"/>
        <charset val="134"/>
      </rPr>
      <t>㎡</t>
    </r>
  </si>
  <si>
    <r>
      <rPr>
        <sz val="9"/>
        <color indexed="8"/>
        <rFont val="仿宋_GB2312"/>
        <family val="3"/>
        <charset val="134"/>
      </rPr>
      <t>单位面积地价</t>
    </r>
    <r>
      <rPr>
        <sz val="9"/>
        <color indexed="8"/>
        <rFont val="Arial"/>
        <family val="2"/>
      </rPr>
      <t>/</t>
    </r>
  </si>
  <si>
    <r>
      <rPr>
        <sz val="9"/>
        <color indexed="8"/>
        <rFont val="仿宋_GB2312"/>
        <family val="3"/>
        <charset val="134"/>
      </rPr>
      <t>楼面地价</t>
    </r>
    <r>
      <rPr>
        <sz val="9"/>
        <color indexed="8"/>
        <rFont val="Arial"/>
        <family val="2"/>
      </rPr>
      <t>/</t>
    </r>
    <r>
      <rPr>
        <sz val="9"/>
        <color indexed="8"/>
        <rFont val="仿宋_GB2312"/>
        <family val="3"/>
        <charset val="134"/>
      </rPr>
      <t>元</t>
    </r>
    <r>
      <rPr>
        <sz val="9"/>
        <color indexed="8"/>
        <rFont val="Arial"/>
        <family val="2"/>
      </rPr>
      <t>/</t>
    </r>
    <r>
      <rPr>
        <sz val="9"/>
        <color indexed="8"/>
        <rFont val="仿宋_GB2312"/>
        <family val="3"/>
        <charset val="134"/>
      </rPr>
      <t>㎡</t>
    </r>
  </si>
  <si>
    <r>
      <rPr>
        <sz val="9"/>
        <color indexed="8"/>
        <rFont val="仿宋_GB2312"/>
        <family val="3"/>
        <charset val="134"/>
      </rPr>
      <t>总地价</t>
    </r>
    <r>
      <rPr>
        <sz val="9"/>
        <color indexed="8"/>
        <rFont val="Arial"/>
        <family val="2"/>
      </rPr>
      <t>/</t>
    </r>
    <r>
      <rPr>
        <sz val="9"/>
        <color indexed="8"/>
        <rFont val="仿宋_GB2312"/>
        <family val="3"/>
        <charset val="134"/>
      </rPr>
      <t>万元</t>
    </r>
  </si>
  <si>
    <r>
      <rPr>
        <b/>
        <sz val="11"/>
        <color indexed="8"/>
        <rFont val="仿宋_GB2312"/>
        <family val="3"/>
        <charset val="134"/>
      </rPr>
      <t>补交地价款</t>
    </r>
    <phoneticPr fontId="8" type="noConversion"/>
  </si>
  <si>
    <r>
      <rPr>
        <sz val="11"/>
        <color indexed="10"/>
        <rFont val="仿宋_GB2312"/>
        <family val="3"/>
        <charset val="134"/>
      </rPr>
      <t>税费</t>
    </r>
    <phoneticPr fontId="8" type="noConversion"/>
  </si>
  <si>
    <r>
      <rPr>
        <sz val="9"/>
        <color indexed="8"/>
        <rFont val="仿宋_GB2312"/>
        <family val="3"/>
        <charset val="134"/>
      </rPr>
      <t>元</t>
    </r>
    <r>
      <rPr>
        <sz val="9"/>
        <color indexed="8"/>
        <rFont val="Arial"/>
        <family val="2"/>
      </rPr>
      <t>/</t>
    </r>
    <r>
      <rPr>
        <sz val="9"/>
        <color indexed="8"/>
        <rFont val="仿宋_GB2312"/>
        <family val="3"/>
        <charset val="134"/>
      </rPr>
      <t>㎡</t>
    </r>
  </si>
  <si>
    <r>
      <t>(</t>
    </r>
    <r>
      <rPr>
        <sz val="10"/>
        <color indexed="8"/>
        <rFont val="仿宋_GB2312"/>
        <family val="3"/>
        <charset val="134"/>
      </rPr>
      <t>列示计算过程</t>
    </r>
    <r>
      <rPr>
        <sz val="10"/>
        <color indexed="8"/>
        <rFont val="Arial"/>
        <family val="2"/>
      </rPr>
      <t>,</t>
    </r>
    <phoneticPr fontId="8" type="noConversion"/>
  </si>
  <si>
    <r>
      <rPr>
        <sz val="10"/>
        <color indexed="8"/>
        <rFont val="仿宋_GB2312"/>
        <family val="3"/>
        <charset val="134"/>
      </rPr>
      <t>不固定格式</t>
    </r>
    <r>
      <rPr>
        <sz val="10"/>
        <color indexed="8"/>
        <rFont val="Arial"/>
        <family val="2"/>
      </rPr>
      <t>)</t>
    </r>
    <phoneticPr fontId="8" type="noConversion"/>
  </si>
  <si>
    <r>
      <rPr>
        <b/>
        <sz val="14"/>
        <color indexed="10"/>
        <rFont val="仿宋_GB2312"/>
        <family val="3"/>
        <charset val="134"/>
      </rPr>
      <t>最终结果</t>
    </r>
    <phoneticPr fontId="8" type="noConversion"/>
  </si>
  <si>
    <r>
      <rPr>
        <b/>
        <sz val="12"/>
        <color indexed="8"/>
        <rFont val="仿宋_GB2312"/>
        <family val="3"/>
        <charset val="134"/>
      </rPr>
      <t>项目</t>
    </r>
    <phoneticPr fontId="8" type="noConversion"/>
  </si>
  <si>
    <r>
      <rPr>
        <b/>
        <sz val="12"/>
        <color indexed="8"/>
        <rFont val="仿宋_GB2312"/>
        <family val="3"/>
        <charset val="134"/>
      </rPr>
      <t>总额</t>
    </r>
    <phoneticPr fontId="8" type="noConversion"/>
  </si>
  <si>
    <r>
      <rPr>
        <b/>
        <sz val="12"/>
        <color indexed="8"/>
        <rFont val="仿宋_GB2312"/>
        <family val="3"/>
        <charset val="134"/>
      </rPr>
      <t>楼面地价</t>
    </r>
    <phoneticPr fontId="8" type="noConversion"/>
  </si>
  <si>
    <r>
      <rPr>
        <b/>
        <sz val="12"/>
        <color indexed="8"/>
        <rFont val="仿宋_GB2312"/>
        <family val="3"/>
        <charset val="134"/>
      </rPr>
      <t>单位面积地价</t>
    </r>
    <phoneticPr fontId="8" type="noConversion"/>
  </si>
  <si>
    <r>
      <rPr>
        <b/>
        <sz val="12"/>
        <color indexed="8"/>
        <rFont val="仿宋_GB2312"/>
        <family val="3"/>
        <charset val="134"/>
      </rPr>
      <t>每亩价格</t>
    </r>
    <phoneticPr fontId="8" type="noConversion"/>
  </si>
  <si>
    <r>
      <t>1.</t>
    </r>
    <r>
      <rPr>
        <b/>
        <sz val="11"/>
        <color indexed="8"/>
        <rFont val="仿宋_GB2312"/>
        <family val="3"/>
        <charset val="134"/>
      </rPr>
      <t>土地价格</t>
    </r>
    <phoneticPr fontId="8" type="noConversion"/>
  </si>
  <si>
    <r>
      <rPr>
        <sz val="12"/>
        <color indexed="8"/>
        <rFont val="仿宋_GB2312"/>
        <family val="3"/>
        <charset val="134"/>
      </rPr>
      <t>估价方法</t>
    </r>
  </si>
  <si>
    <r>
      <rPr>
        <sz val="12"/>
        <color indexed="8"/>
        <rFont val="仿宋_GB2312"/>
        <family val="3"/>
        <charset val="134"/>
      </rPr>
      <t>估价结果</t>
    </r>
    <r>
      <rPr>
        <sz val="12"/>
        <color indexed="8"/>
        <rFont val="Arial"/>
        <family val="2"/>
      </rPr>
      <t>/</t>
    </r>
    <r>
      <rPr>
        <sz val="12"/>
        <color indexed="8"/>
        <rFont val="仿宋_GB2312"/>
        <family val="3"/>
        <charset val="134"/>
      </rPr>
      <t>万元</t>
    </r>
  </si>
  <si>
    <r>
      <rPr>
        <sz val="12"/>
        <color indexed="8"/>
        <rFont val="仿宋_GB2312"/>
        <family val="3"/>
        <charset val="134"/>
      </rPr>
      <t>权重</t>
    </r>
  </si>
  <si>
    <r>
      <rPr>
        <sz val="12"/>
        <color indexed="8"/>
        <rFont val="仿宋_GB2312"/>
        <family val="3"/>
        <charset val="134"/>
      </rPr>
      <t>测算结果</t>
    </r>
    <r>
      <rPr>
        <sz val="12"/>
        <color indexed="8"/>
        <rFont val="Arial"/>
        <family val="2"/>
      </rPr>
      <t>/</t>
    </r>
    <r>
      <rPr>
        <sz val="12"/>
        <color indexed="8"/>
        <rFont val="仿宋_GB2312"/>
        <family val="3"/>
        <charset val="134"/>
      </rPr>
      <t>万元</t>
    </r>
  </si>
  <si>
    <r>
      <rPr>
        <sz val="12"/>
        <color indexed="8"/>
        <rFont val="仿宋_GB2312"/>
        <family val="3"/>
        <charset val="134"/>
      </rPr>
      <t>最终结果</t>
    </r>
    <r>
      <rPr>
        <sz val="12"/>
        <color indexed="8"/>
        <rFont val="Arial"/>
        <family val="2"/>
      </rPr>
      <t>/</t>
    </r>
    <r>
      <rPr>
        <sz val="12"/>
        <color indexed="8"/>
        <rFont val="仿宋_GB2312"/>
        <family val="3"/>
        <charset val="134"/>
      </rPr>
      <t>万元</t>
    </r>
  </si>
  <si>
    <t>2.估价师知悉的法定优先受偿款</t>
  </si>
  <si>
    <t>——</t>
    <phoneticPr fontId="8" type="noConversion"/>
  </si>
  <si>
    <t>——</t>
  </si>
  <si>
    <r>
      <rPr>
        <b/>
        <u/>
        <sz val="12"/>
        <color indexed="8"/>
        <rFont val="仿宋_GB2312"/>
        <family val="3"/>
        <charset val="134"/>
      </rPr>
      <t>测算中的特殊事项处理：</t>
    </r>
    <phoneticPr fontId="8" type="noConversion"/>
  </si>
  <si>
    <r>
      <rPr>
        <b/>
        <u/>
        <sz val="12"/>
        <color indexed="8"/>
        <rFont val="仿宋_GB2312"/>
        <family val="3"/>
        <charset val="134"/>
      </rPr>
      <t>无</t>
    </r>
  </si>
  <si>
    <r>
      <rPr>
        <b/>
        <sz val="10"/>
        <color indexed="8"/>
        <rFont val="仿宋_GB2312"/>
        <family val="3"/>
        <charset val="134"/>
      </rPr>
      <t>测算人员：</t>
    </r>
    <r>
      <rPr>
        <b/>
        <sz val="10"/>
        <color indexed="8"/>
        <rFont val="Arial"/>
        <family val="2"/>
      </rPr>
      <t xml:space="preserve">      </t>
    </r>
    <phoneticPr fontId="8" type="noConversion"/>
  </si>
  <si>
    <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</si>
  <si>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初审意见：</t>
    </r>
    <r>
      <rPr>
        <b/>
        <sz val="10"/>
        <color indexed="8"/>
        <rFont val="Arial"/>
        <family val="2"/>
      </rPr>
      <t xml:space="preserve">      </t>
    </r>
    <phoneticPr fontId="8" type="noConversion"/>
  </si>
  <si>
    <r>
      <rPr>
        <sz val="10"/>
        <color indexed="8"/>
        <rFont val="仿宋_GB2312"/>
        <family val="3"/>
        <charset val="134"/>
      </rPr>
      <t>签字：</t>
    </r>
    <r>
      <rPr>
        <sz val="10"/>
        <color indexed="8"/>
        <rFont val="Arial"/>
        <family val="2"/>
      </rP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</si>
  <si>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终审意见：</t>
    </r>
    <r>
      <rPr>
        <b/>
        <sz val="10"/>
        <color indexed="8"/>
        <rFont val="Arial"/>
        <family val="2"/>
      </rPr>
      <t xml:space="preserve">      </t>
    </r>
    <phoneticPr fontId="8" type="noConversion"/>
  </si>
  <si>
    <r>
      <rPr>
        <b/>
        <sz val="14"/>
        <color indexed="10"/>
        <rFont val="仿宋_GB2312"/>
        <family val="3"/>
        <charset val="134"/>
      </rPr>
      <t>抵押净值计算</t>
    </r>
    <phoneticPr fontId="8" type="noConversion"/>
  </si>
  <si>
    <r>
      <rPr>
        <b/>
        <sz val="10"/>
        <color indexed="8"/>
        <rFont val="仿宋_GB2312"/>
        <family val="3"/>
        <charset val="134"/>
      </rPr>
      <t>净值计算基数</t>
    </r>
    <r>
      <rPr>
        <b/>
        <sz val="10"/>
        <color indexed="8"/>
        <rFont val="Arial"/>
        <family val="2"/>
      </rPr>
      <t>“</t>
    </r>
    <r>
      <rPr>
        <b/>
        <sz val="10"/>
        <color indexed="8"/>
        <rFont val="仿宋_GB2312"/>
        <family val="3"/>
        <charset val="134"/>
      </rPr>
      <t>房地产销售收入</t>
    </r>
    <r>
      <rPr>
        <b/>
        <sz val="10"/>
        <color indexed="8"/>
        <rFont val="Arial"/>
        <family val="2"/>
      </rPr>
      <t>”</t>
    </r>
    <phoneticPr fontId="8" type="noConversion"/>
  </si>
  <si>
    <r>
      <rPr>
        <sz val="10"/>
        <color indexed="8"/>
        <rFont val="仿宋_GB2312"/>
        <family val="3"/>
        <charset val="134"/>
      </rPr>
      <t>按评估值的</t>
    </r>
    <phoneticPr fontId="8" type="noConversion"/>
  </si>
  <si>
    <r>
      <rPr>
        <sz val="10"/>
        <color indexed="8"/>
        <rFont val="仿宋_GB2312"/>
        <family val="3"/>
        <charset val="134"/>
      </rPr>
      <t>计算</t>
    </r>
    <phoneticPr fontId="8" type="noConversion"/>
  </si>
  <si>
    <r>
      <rPr>
        <b/>
        <sz val="10"/>
        <color indexed="8"/>
        <rFont val="仿宋_GB2312"/>
        <family val="3"/>
        <charset val="134"/>
      </rPr>
      <t>处置时需缴纳的相关税费</t>
    </r>
    <phoneticPr fontId="8" type="noConversion"/>
  </si>
  <si>
    <r>
      <rPr>
        <b/>
        <sz val="10"/>
        <color indexed="8"/>
        <rFont val="仿宋_GB2312"/>
        <family val="3"/>
        <charset val="134"/>
      </rPr>
      <t>预计处置时需缴纳的各项地价、税费清单计算明细表</t>
    </r>
  </si>
  <si>
    <r>
      <rPr>
        <b/>
        <sz val="10"/>
        <color indexed="8"/>
        <rFont val="仿宋_GB2312"/>
        <family val="3"/>
        <charset val="134"/>
      </rPr>
      <t>税（费）种</t>
    </r>
    <phoneticPr fontId="8" type="noConversion"/>
  </si>
  <si>
    <r>
      <rPr>
        <sz val="10"/>
        <color indexed="8"/>
        <rFont val="仿宋_GB2312"/>
        <family val="3"/>
        <charset val="134"/>
      </rPr>
      <t>金额</t>
    </r>
    <phoneticPr fontId="8" type="noConversion"/>
  </si>
  <si>
    <r>
      <rPr>
        <sz val="10"/>
        <color indexed="8"/>
        <rFont val="仿宋_GB2312"/>
        <family val="3"/>
        <charset val="134"/>
      </rPr>
      <t>计算方法</t>
    </r>
    <phoneticPr fontId="8" type="noConversion"/>
  </si>
  <si>
    <r>
      <rPr>
        <b/>
        <sz val="10"/>
        <color indexed="8"/>
        <rFont val="仿宋_GB2312"/>
        <family val="3"/>
        <charset val="134"/>
      </rPr>
      <t>税（费）率</t>
    </r>
    <phoneticPr fontId="8" type="noConversion"/>
  </si>
  <si>
    <r>
      <rPr>
        <sz val="10"/>
        <color indexed="8"/>
        <rFont val="仿宋_GB2312"/>
        <family val="3"/>
        <charset val="134"/>
      </rPr>
      <t>备注</t>
    </r>
    <phoneticPr fontId="8" type="noConversion"/>
  </si>
  <si>
    <r>
      <rPr>
        <b/>
        <sz val="10"/>
        <color indexed="8"/>
        <rFont val="仿宋_GB2312"/>
        <family val="3"/>
        <charset val="134"/>
      </rPr>
      <t>估价对象基本情况</t>
    </r>
    <phoneticPr fontId="8" type="noConversion"/>
  </si>
  <si>
    <r>
      <t>1.</t>
    </r>
    <r>
      <rPr>
        <sz val="10"/>
        <color indexed="8"/>
        <rFont val="仿宋_GB2312"/>
        <family val="3"/>
        <charset val="134"/>
      </rPr>
      <t>增值税及附加</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</si>
  <si>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</si>
  <si>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3</t>
    </r>
  </si>
  <si>
    <r>
      <rPr>
        <b/>
        <sz val="10"/>
        <color indexed="8"/>
        <rFont val="仿宋_GB2312"/>
        <family val="3"/>
        <charset val="134"/>
      </rPr>
      <t>估价对象</t>
    </r>
  </si>
  <si>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</si>
  <si>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年以上的普通住宅（北上广深）</t>
    </r>
    <phoneticPr fontId="8" type="noConversion"/>
  </si>
  <si>
    <r>
      <rPr>
        <sz val="10"/>
        <color indexed="8"/>
        <rFont val="仿宋_GB2312"/>
        <family val="3"/>
        <charset val="134"/>
      </rPr>
      <t>免征</t>
    </r>
    <phoneticPr fontId="8" type="noConversion"/>
  </si>
  <si>
    <r>
      <rPr>
        <b/>
        <sz val="10"/>
        <color indexed="8"/>
        <rFont val="仿宋_GB2312"/>
        <family val="3"/>
        <charset val="134"/>
      </rPr>
      <t>价值时点</t>
    </r>
  </si>
  <si>
    <r>
      <rPr>
        <sz val="10"/>
        <color indexed="8"/>
        <rFont val="仿宋_GB2312"/>
        <family val="3"/>
        <charset val="134"/>
      </rPr>
      <t>个人购买的</t>
    </r>
    <r>
      <rPr>
        <sz val="10"/>
        <color indexed="8"/>
        <rFont val="Arial"/>
        <family val="2"/>
      </rPr>
      <t>2</t>
    </r>
    <r>
      <rPr>
        <sz val="10"/>
        <color indexed="8"/>
        <rFont val="仿宋_GB2312"/>
        <family val="3"/>
        <charset val="134"/>
      </rPr>
      <t>年以上的住宅（非北上广深）</t>
    </r>
    <phoneticPr fontId="8" type="noConversion"/>
  </si>
  <si>
    <r>
      <rPr>
        <b/>
        <sz val="10"/>
        <color indexed="8"/>
        <rFont val="仿宋_GB2312"/>
        <family val="3"/>
        <charset val="134"/>
      </rPr>
      <t>评估总值</t>
    </r>
    <phoneticPr fontId="8" type="noConversion"/>
  </si>
  <si>
    <r>
      <rPr>
        <sz val="10"/>
        <color indexed="8"/>
        <rFont val="仿宋_GB2312"/>
        <family val="3"/>
        <charset val="134"/>
      </rPr>
      <t>个体工商户购买的住宅</t>
    </r>
    <phoneticPr fontId="8" type="noConversion"/>
  </si>
  <si>
    <t>土地抵押价格</t>
    <phoneticPr fontId="8" type="noConversion"/>
  </si>
  <si>
    <r>
      <rPr>
        <sz val="10"/>
        <color indexed="8"/>
        <rFont val="仿宋_GB2312"/>
        <family val="3"/>
        <charset val="134"/>
      </rPr>
      <t>情况</t>
    </r>
    <r>
      <rPr>
        <sz val="10"/>
        <color indexed="8"/>
        <rFont val="Arial"/>
        <family val="2"/>
      </rPr>
      <t>2</t>
    </r>
    <r>
      <rPr>
        <sz val="10"/>
        <color indexed="8"/>
        <rFont val="仿宋_GB2312"/>
        <family val="3"/>
        <charset val="134"/>
      </rPr>
      <t>：</t>
    </r>
    <phoneticPr fontId="8" type="noConversion"/>
  </si>
  <si>
    <r>
      <rPr>
        <sz val="10"/>
        <color indexed="8"/>
        <rFont val="仿宋_GB2312"/>
        <family val="3"/>
        <charset val="134"/>
      </rPr>
      <t>个人购买的不足</t>
    </r>
    <r>
      <rPr>
        <sz val="10"/>
        <color indexed="8"/>
        <rFont val="Arial"/>
        <family val="2"/>
      </rPr>
      <t>2</t>
    </r>
    <r>
      <rPr>
        <sz val="10"/>
        <color indexed="8"/>
        <rFont val="仿宋_GB2312"/>
        <family val="3"/>
        <charset val="134"/>
      </rPr>
      <t>年的住宅</t>
    </r>
    <phoneticPr fontId="8" type="noConversion"/>
  </si>
  <si>
    <r>
      <rPr>
        <sz val="10"/>
        <color indexed="8"/>
        <rFont val="仿宋_GB2312"/>
        <family val="3"/>
        <charset val="134"/>
      </rPr>
      <t>全额计税</t>
    </r>
    <phoneticPr fontId="8" type="noConversion"/>
  </si>
  <si>
    <r>
      <rPr>
        <sz val="10"/>
        <color indexed="8"/>
        <rFont val="仿宋_GB2312"/>
        <family val="3"/>
        <charset val="134"/>
      </rPr>
      <t>情况</t>
    </r>
    <r>
      <rPr>
        <sz val="10"/>
        <color indexed="8"/>
        <rFont val="Arial"/>
        <family val="2"/>
      </rPr>
      <t>3</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</si>
  <si>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2</t>
    </r>
    <r>
      <rPr>
        <sz val="10"/>
        <color indexed="8"/>
        <rFont val="仿宋_GB2312"/>
        <family val="3"/>
        <charset val="134"/>
      </rPr>
      <t>意外的自建房</t>
    </r>
    <phoneticPr fontId="8" type="noConversion"/>
  </si>
  <si>
    <r>
      <rPr>
        <b/>
        <sz val="10"/>
        <color indexed="8"/>
        <rFont val="仿宋_GB2312"/>
        <family val="3"/>
        <charset val="134"/>
      </rPr>
      <t>序号</t>
    </r>
  </si>
  <si>
    <r>
      <rPr>
        <b/>
        <sz val="10"/>
        <color indexed="8"/>
        <rFont val="仿宋_GB2312"/>
        <family val="3"/>
        <charset val="134"/>
      </rPr>
      <t>税（费）种</t>
    </r>
  </si>
  <si>
    <r>
      <rPr>
        <b/>
        <sz val="10"/>
        <color indexed="8"/>
        <rFont val="仿宋_GB2312"/>
        <family val="3"/>
        <charset val="134"/>
      </rPr>
      <t>金额（元）</t>
    </r>
  </si>
  <si>
    <r>
      <rPr>
        <b/>
        <sz val="10"/>
        <color indexed="8"/>
        <rFont val="仿宋_GB2312"/>
        <family val="3"/>
        <charset val="134"/>
      </rPr>
      <t>计算方法</t>
    </r>
  </si>
  <si>
    <r>
      <rPr>
        <b/>
        <sz val="10"/>
        <color indexed="8"/>
        <rFont val="仿宋_GB2312"/>
        <family val="3"/>
        <charset val="134"/>
      </rPr>
      <t>税（费）率</t>
    </r>
  </si>
  <si>
    <r>
      <rPr>
        <sz val="10"/>
        <color indexed="8"/>
        <rFont val="仿宋_GB2312"/>
        <family val="3"/>
        <charset val="134"/>
      </rPr>
      <t>情况</t>
    </r>
    <r>
      <rPr>
        <sz val="10"/>
        <color indexed="8"/>
        <rFont val="Arial"/>
        <family val="2"/>
      </rPr>
      <t>4</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</si>
  <si>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3</t>
    </r>
    <r>
      <rPr>
        <sz val="10"/>
        <color indexed="8"/>
        <rFont val="仿宋_GB2312"/>
        <family val="3"/>
        <charset val="134"/>
      </rPr>
      <t>意外的非自建房</t>
    </r>
    <phoneticPr fontId="8" type="noConversion"/>
  </si>
  <si>
    <r>
      <rPr>
        <sz val="10"/>
        <color indexed="8"/>
        <rFont val="仿宋_GB2312"/>
        <family val="3"/>
        <charset val="134"/>
      </rPr>
      <t>差额计税</t>
    </r>
    <phoneticPr fontId="8" type="noConversion"/>
  </si>
  <si>
    <r>
      <rPr>
        <sz val="10"/>
        <color indexed="8"/>
        <rFont val="仿宋_GB2312"/>
        <family val="3"/>
        <charset val="134"/>
      </rPr>
      <t>增值税及附加</t>
    </r>
    <phoneticPr fontId="8" type="noConversion"/>
  </si>
  <si>
    <r>
      <t>2.</t>
    </r>
    <r>
      <rPr>
        <sz val="10"/>
        <color indexed="8"/>
        <rFont val="仿宋_GB2312"/>
        <family val="3"/>
        <charset val="134"/>
      </rPr>
      <t>印花税</t>
    </r>
    <phoneticPr fontId="8" type="noConversion"/>
  </si>
  <si>
    <r>
      <rPr>
        <sz val="10"/>
        <color indexed="8"/>
        <rFont val="仿宋_GB2312"/>
        <family val="3"/>
        <charset val="134"/>
      </rPr>
      <t>销售额</t>
    </r>
    <r>
      <rPr>
        <sz val="10"/>
        <color indexed="8"/>
        <rFont val="Arial"/>
        <family val="2"/>
      </rPr>
      <t>×</t>
    </r>
    <r>
      <rPr>
        <sz val="10"/>
        <color indexed="8"/>
        <rFont val="仿宋_GB2312"/>
        <family val="3"/>
        <charset val="134"/>
      </rPr>
      <t>税（费）率</t>
    </r>
    <phoneticPr fontId="8" type="noConversion"/>
  </si>
  <si>
    <t>个人住宅</t>
  </si>
  <si>
    <r>
      <rPr>
        <sz val="10"/>
        <color indexed="8"/>
        <rFont val="仿宋_GB2312"/>
        <family val="3"/>
        <charset val="134"/>
      </rPr>
      <t>印花税</t>
    </r>
    <phoneticPr fontId="8" type="noConversion"/>
  </si>
  <si>
    <r>
      <t>3.</t>
    </r>
    <r>
      <rPr>
        <sz val="10"/>
        <color indexed="8"/>
        <rFont val="仿宋_GB2312"/>
        <family val="3"/>
        <charset val="134"/>
      </rPr>
      <t>土地增值税</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</si>
  <si>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</si>
  <si>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正常</t>
    </r>
  </si>
  <si>
    <r>
      <rPr>
        <sz val="10"/>
        <color indexed="8"/>
        <rFont val="仿宋_GB2312"/>
        <family val="3"/>
        <charset val="134"/>
      </rPr>
      <t>土地增值税</t>
    </r>
    <phoneticPr fontId="8" type="noConversion"/>
  </si>
  <si>
    <r>
      <rPr>
        <sz val="10"/>
        <color indexed="8"/>
        <rFont val="仿宋_GB2312"/>
        <family val="3"/>
        <charset val="134"/>
      </rPr>
      <t>个人住宅</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</si>
  <si>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以外的其他情形</t>
    </r>
    <phoneticPr fontId="8" type="noConversion"/>
  </si>
  <si>
    <r>
      <rPr>
        <sz val="10"/>
        <color indexed="8"/>
        <rFont val="仿宋_GB2312"/>
        <family val="3"/>
        <charset val="134"/>
      </rPr>
      <t>自行开发建设</t>
    </r>
  </si>
  <si>
    <r>
      <t>4.</t>
    </r>
    <r>
      <rPr>
        <sz val="10"/>
        <color indexed="8"/>
        <rFont val="仿宋_GB2312"/>
        <family val="3"/>
        <charset val="134"/>
      </rPr>
      <t>个人所得税</t>
    </r>
    <phoneticPr fontId="8" type="noConversion"/>
  </si>
  <si>
    <t>个人非住宅</t>
  </si>
  <si>
    <r>
      <rPr>
        <sz val="10"/>
        <color indexed="8"/>
        <rFont val="仿宋_GB2312"/>
        <family val="3"/>
        <charset val="134"/>
      </rPr>
      <t>合计</t>
    </r>
    <phoneticPr fontId="8" type="noConversion"/>
  </si>
  <si>
    <r>
      <rPr>
        <sz val="10"/>
        <color indexed="8"/>
        <rFont val="仿宋_GB2312"/>
        <family val="3"/>
        <charset val="134"/>
      </rPr>
      <t>小写</t>
    </r>
  </si>
  <si>
    <r>
      <rPr>
        <sz val="10"/>
        <color indexed="8"/>
        <rFont val="仿宋_GB2312"/>
        <family val="3"/>
        <charset val="134"/>
      </rPr>
      <t>大写</t>
    </r>
  </si>
  <si>
    <r>
      <rPr>
        <b/>
        <sz val="10"/>
        <color indexed="8"/>
        <rFont val="仿宋_GB2312"/>
        <family val="3"/>
        <charset val="134"/>
      </rPr>
      <t>销售不动产增值税及附加计算</t>
    </r>
    <phoneticPr fontId="8" type="noConversion"/>
  </si>
  <si>
    <r>
      <rPr>
        <sz val="10"/>
        <color indexed="8"/>
        <rFont val="仿宋_GB2312"/>
        <family val="3"/>
        <charset val="134"/>
      </rPr>
      <t>抵押净值</t>
    </r>
    <phoneticPr fontId="8" type="noConversion"/>
  </si>
  <si>
    <r>
      <rPr>
        <b/>
        <sz val="10"/>
        <rFont val="仿宋_GB2312"/>
        <family val="3"/>
        <charset val="134"/>
      </rPr>
      <t>项目</t>
    </r>
    <phoneticPr fontId="8" type="noConversion"/>
  </si>
  <si>
    <r>
      <rPr>
        <b/>
        <sz val="10"/>
        <rFont val="仿宋_GB2312"/>
        <family val="3"/>
        <charset val="134"/>
      </rPr>
      <t>系数</t>
    </r>
    <phoneticPr fontId="8" type="noConversion"/>
  </si>
  <si>
    <t>1.</t>
    <phoneticPr fontId="8" type="noConversion"/>
  </si>
  <si>
    <r>
      <rPr>
        <b/>
        <sz val="10"/>
        <rFont val="仿宋_GB2312"/>
        <family val="3"/>
        <charset val="134"/>
      </rPr>
      <t>销售额</t>
    </r>
    <phoneticPr fontId="8" type="noConversion"/>
  </si>
  <si>
    <r>
      <rPr>
        <sz val="10"/>
        <color indexed="8"/>
        <rFont val="仿宋_GB2312"/>
        <family val="3"/>
        <charset val="134"/>
      </rPr>
      <t>抵押净值单价</t>
    </r>
    <phoneticPr fontId="8" type="noConversion"/>
  </si>
  <si>
    <r>
      <rPr>
        <sz val="10"/>
        <color indexed="8"/>
        <rFont val="宋体"/>
        <family val="3"/>
        <charset val="134"/>
      </rPr>
      <t>（</t>
    </r>
    <r>
      <rPr>
        <sz val="10"/>
        <color indexed="8"/>
        <rFont val="Arial"/>
        <family val="2"/>
      </rPr>
      <t>1</t>
    </r>
    <r>
      <rPr>
        <sz val="10"/>
        <color indexed="8"/>
        <rFont val="宋体"/>
        <family val="3"/>
        <charset val="134"/>
      </rPr>
      <t>）</t>
    </r>
    <phoneticPr fontId="8" type="noConversion"/>
  </si>
  <si>
    <r>
      <rPr>
        <sz val="10"/>
        <rFont val="仿宋_GB2312"/>
        <family val="3"/>
        <charset val="134"/>
      </rPr>
      <t>全部价款</t>
    </r>
    <phoneticPr fontId="8" type="noConversion"/>
  </si>
  <si>
    <r>
      <rPr>
        <sz val="10"/>
        <color indexed="8"/>
        <rFont val="宋体"/>
        <family val="3"/>
        <charset val="134"/>
      </rPr>
      <t>（</t>
    </r>
    <r>
      <rPr>
        <sz val="10"/>
        <color indexed="8"/>
        <rFont val="Arial"/>
        <family val="2"/>
      </rPr>
      <t>2</t>
    </r>
    <r>
      <rPr>
        <sz val="10"/>
        <color indexed="8"/>
        <rFont val="宋体"/>
        <family val="3"/>
        <charset val="134"/>
      </rPr>
      <t>）</t>
    </r>
    <phoneticPr fontId="8" type="noConversion"/>
  </si>
  <si>
    <r>
      <rPr>
        <sz val="10"/>
        <rFont val="仿宋_GB2312"/>
        <family val="3"/>
        <charset val="134"/>
      </rPr>
      <t>价外费用</t>
    </r>
    <phoneticPr fontId="8" type="noConversion"/>
  </si>
  <si>
    <t>其他处置费用</t>
  </si>
  <si>
    <t>律师费</t>
  </si>
  <si>
    <t>2.</t>
    <phoneticPr fontId="8" type="noConversion"/>
  </si>
  <si>
    <r>
      <rPr>
        <b/>
        <sz val="10"/>
        <rFont val="仿宋_GB2312"/>
        <family val="3"/>
        <charset val="134"/>
      </rPr>
      <t>原购房价</t>
    </r>
    <r>
      <rPr>
        <b/>
        <sz val="10"/>
        <rFont val="Arial"/>
        <family val="2"/>
      </rPr>
      <t>/</t>
    </r>
    <r>
      <rPr>
        <b/>
        <sz val="10"/>
        <rFont val="仿宋_GB2312"/>
        <family val="3"/>
        <charset val="134"/>
      </rPr>
      <t>作价</t>
    </r>
    <phoneticPr fontId="8"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</si>
  <si>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</si>
  <si>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</si>
  <si>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</si>
  <si>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t>3.</t>
    <phoneticPr fontId="8" type="noConversion"/>
  </si>
  <si>
    <r>
      <rPr>
        <b/>
        <sz val="10"/>
        <rFont val="仿宋_GB2312"/>
        <family val="3"/>
        <charset val="134"/>
      </rPr>
      <t>纳税基数</t>
    </r>
    <phoneticPr fontId="8" type="noConversion"/>
  </si>
  <si>
    <t>执行费</t>
  </si>
  <si>
    <t>4.</t>
    <phoneticPr fontId="8" type="noConversion"/>
  </si>
  <si>
    <r>
      <rPr>
        <b/>
        <sz val="10"/>
        <rFont val="仿宋_GB2312"/>
        <family val="3"/>
        <charset val="134"/>
      </rPr>
      <t>纳税额</t>
    </r>
    <phoneticPr fontId="8" type="noConversion"/>
  </si>
  <si>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</si>
  <si>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</si>
  <si>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t>评估费</t>
  </si>
  <si>
    <r>
      <rPr>
        <b/>
        <sz val="10"/>
        <rFont val="仿宋_GB2312"/>
        <family val="3"/>
        <charset val="134"/>
      </rPr>
      <t>土地增值税（转让取得）</t>
    </r>
    <phoneticPr fontId="8" type="noConversion"/>
  </si>
  <si>
    <t>拍卖费</t>
  </si>
  <si>
    <t>小计</t>
  </si>
  <si>
    <r>
      <rPr>
        <b/>
        <sz val="10"/>
        <rFont val="仿宋_GB2312"/>
        <family val="3"/>
        <charset val="134"/>
      </rPr>
      <t>转让收入</t>
    </r>
    <phoneticPr fontId="8" type="noConversion"/>
  </si>
  <si>
    <r>
      <rPr>
        <b/>
        <sz val="10"/>
        <color indexed="8"/>
        <rFont val="仿宋_GB2312"/>
        <family val="3"/>
        <charset val="134"/>
      </rPr>
      <t>扣除项合计</t>
    </r>
    <phoneticPr fontId="8" type="noConversion"/>
  </si>
  <si>
    <r>
      <rPr>
        <sz val="10"/>
        <rFont val="仿宋_GB2312"/>
        <family val="3"/>
        <charset val="134"/>
      </rPr>
      <t>原购房价及相关税费</t>
    </r>
    <phoneticPr fontId="8" type="noConversion"/>
  </si>
  <si>
    <r>
      <t>1</t>
    </r>
    <r>
      <rPr>
        <sz val="10"/>
        <color indexed="8"/>
        <rFont val="宋体"/>
        <family val="3"/>
        <charset val="134"/>
      </rPr>
      <t>）</t>
    </r>
    <phoneticPr fontId="8" type="noConversion"/>
  </si>
  <si>
    <r>
      <rPr>
        <sz val="10"/>
        <rFont val="仿宋_GB2312"/>
        <family val="3"/>
        <charset val="134"/>
      </rPr>
      <t>原购房价</t>
    </r>
    <phoneticPr fontId="8" type="noConversion"/>
  </si>
  <si>
    <r>
      <rPr>
        <sz val="11"/>
        <color indexed="8"/>
        <rFont val="仿宋_GB2312"/>
        <family val="3"/>
        <charset val="134"/>
      </rPr>
      <t>原购房价依据</t>
    </r>
    <phoneticPr fontId="8" type="noConversion"/>
  </si>
  <si>
    <r>
      <rPr>
        <sz val="11"/>
        <color indexed="8"/>
        <rFont val="仿宋_GB2312"/>
        <family val="3"/>
        <charset val="134"/>
      </rPr>
      <t>购房发票</t>
    </r>
  </si>
  <si>
    <r>
      <rPr>
        <sz val="11"/>
        <color indexed="8"/>
        <rFont val="仿宋_GB2312"/>
        <family val="3"/>
        <charset val="134"/>
      </rPr>
      <t>已购年限</t>
    </r>
    <phoneticPr fontId="8" type="noConversion"/>
  </si>
  <si>
    <r>
      <t>2</t>
    </r>
    <r>
      <rPr>
        <sz val="10"/>
        <color indexed="8"/>
        <rFont val="宋体"/>
        <family val="3"/>
        <charset val="134"/>
      </rPr>
      <t>）</t>
    </r>
    <phoneticPr fontId="8" type="noConversion"/>
  </si>
  <si>
    <r>
      <rPr>
        <sz val="10"/>
        <rFont val="仿宋_GB2312"/>
        <family val="3"/>
        <charset val="134"/>
      </rPr>
      <t>加计扣减项</t>
    </r>
    <phoneticPr fontId="8" type="noConversion"/>
  </si>
  <si>
    <r>
      <rPr>
        <sz val="10"/>
        <color indexed="8"/>
        <rFont val="仿宋_GB2312"/>
        <family val="3"/>
        <charset val="134"/>
      </rPr>
      <t>有购房发票的可按发票所载金额并</t>
    </r>
    <r>
      <rPr>
        <b/>
        <sz val="10"/>
        <color indexed="8"/>
        <rFont val="仿宋_GB2312"/>
        <family val="3"/>
        <charset val="134"/>
      </rPr>
      <t>从购买年度起至转让年度止</t>
    </r>
    <r>
      <rPr>
        <sz val="10"/>
        <color indexed="8"/>
        <rFont val="仿宋_GB2312"/>
        <family val="3"/>
        <charset val="134"/>
      </rPr>
      <t>每年加计</t>
    </r>
    <r>
      <rPr>
        <sz val="10"/>
        <color indexed="8"/>
        <rFont val="Arial"/>
        <family val="2"/>
      </rPr>
      <t>5%</t>
    </r>
    <r>
      <rPr>
        <sz val="10"/>
        <color indexed="8"/>
        <rFont val="仿宋_GB2312"/>
        <family val="3"/>
        <charset val="134"/>
      </rPr>
      <t>计算</t>
    </r>
    <phoneticPr fontId="8" type="noConversion"/>
  </si>
  <si>
    <r>
      <t>3</t>
    </r>
    <r>
      <rPr>
        <sz val="10"/>
        <color indexed="8"/>
        <rFont val="宋体"/>
        <family val="3"/>
        <charset val="134"/>
      </rPr>
      <t>）</t>
    </r>
    <phoneticPr fontId="8" type="noConversion"/>
  </si>
  <si>
    <r>
      <rPr>
        <sz val="10"/>
        <rFont val="仿宋_GB2312"/>
        <family val="3"/>
        <charset val="134"/>
      </rPr>
      <t>相关税费</t>
    </r>
    <phoneticPr fontId="8" type="noConversion"/>
  </si>
  <si>
    <r>
      <rPr>
        <sz val="10"/>
        <color indexed="8"/>
        <rFont val="仿宋_GB2312"/>
        <family val="3"/>
        <charset val="134"/>
      </rPr>
      <t>含契税及印花税</t>
    </r>
    <phoneticPr fontId="8" type="noConversion"/>
  </si>
  <si>
    <t>2016年5月1日前购买</t>
  </si>
  <si>
    <r>
      <rPr>
        <sz val="10"/>
        <rFont val="仿宋_GB2312"/>
        <family val="3"/>
        <charset val="134"/>
      </rPr>
      <t>转让税金支出</t>
    </r>
    <phoneticPr fontId="8" type="noConversion"/>
  </si>
  <si>
    <t>不含增值税，仅附加税</t>
    <phoneticPr fontId="8" type="noConversion"/>
  </si>
  <si>
    <r>
      <rPr>
        <b/>
        <sz val="10"/>
        <rFont val="仿宋_GB2312"/>
        <family val="3"/>
        <charset val="134"/>
      </rPr>
      <t>增值额</t>
    </r>
    <phoneticPr fontId="8" type="noConversion"/>
  </si>
  <si>
    <r>
      <rPr>
        <b/>
        <sz val="10"/>
        <rFont val="仿宋_GB2312"/>
        <family val="3"/>
        <charset val="134"/>
      </rPr>
      <t>增值额与扣除项比率</t>
    </r>
    <phoneticPr fontId="8" type="noConversion"/>
  </si>
  <si>
    <t>5.</t>
    <phoneticPr fontId="8" type="noConversion"/>
  </si>
  <si>
    <r>
      <rPr>
        <b/>
        <sz val="10"/>
        <rFont val="仿宋_GB2312"/>
        <family val="3"/>
        <charset val="134"/>
      </rPr>
      <t>应纳增值税税额</t>
    </r>
    <phoneticPr fontId="8" type="noConversion"/>
  </si>
  <si>
    <r>
      <rPr>
        <b/>
        <sz val="10"/>
        <rFont val="仿宋_GB2312"/>
        <family val="3"/>
        <charset val="134"/>
      </rPr>
      <t>土地增值税（自行开发建设）</t>
    </r>
    <phoneticPr fontId="8" type="noConversion"/>
  </si>
  <si>
    <r>
      <rPr>
        <sz val="10"/>
        <rFont val="仿宋_GB2312"/>
        <family val="3"/>
        <charset val="134"/>
      </rPr>
      <t>土地取得成本</t>
    </r>
    <phoneticPr fontId="8" type="noConversion"/>
  </si>
  <si>
    <r>
      <rPr>
        <sz val="10"/>
        <rFont val="仿宋_GB2312"/>
        <family val="3"/>
        <charset val="134"/>
      </rPr>
      <t>土地取得费用</t>
    </r>
    <phoneticPr fontId="8" type="noConversion"/>
  </si>
  <si>
    <r>
      <rPr>
        <sz val="10"/>
        <color indexed="8"/>
        <rFont val="仿宋_GB2312"/>
        <family val="3"/>
        <charset val="134"/>
      </rPr>
      <t>依据出让合同</t>
    </r>
    <phoneticPr fontId="8" type="noConversion"/>
  </si>
  <si>
    <r>
      <rPr>
        <sz val="9"/>
        <color indexed="8"/>
        <rFont val="仿宋_GB2312"/>
        <family val="3"/>
        <charset val="134"/>
      </rPr>
      <t>出让价款内涵：</t>
    </r>
    <phoneticPr fontId="8" type="noConversion"/>
  </si>
  <si>
    <t>出让金+开发费</t>
  </si>
  <si>
    <r>
      <rPr>
        <sz val="10"/>
        <color indexed="8"/>
        <rFont val="仿宋_GB2312"/>
        <family val="3"/>
        <charset val="134"/>
      </rPr>
      <t>契税及印花税</t>
    </r>
    <phoneticPr fontId="8" type="noConversion"/>
  </si>
  <si>
    <r>
      <rPr>
        <sz val="10"/>
        <rFont val="仿宋_GB2312"/>
        <family val="3"/>
        <charset val="134"/>
      </rPr>
      <t>土地开发费</t>
    </r>
    <phoneticPr fontId="8" type="noConversion"/>
  </si>
  <si>
    <t>（3）</t>
    <phoneticPr fontId="8" type="noConversion"/>
  </si>
  <si>
    <r>
      <rPr>
        <sz val="10"/>
        <rFont val="仿宋_GB2312"/>
        <family val="3"/>
        <charset val="134"/>
      </rPr>
      <t>建造成本</t>
    </r>
    <phoneticPr fontId="8" type="noConversion"/>
  </si>
  <si>
    <r>
      <rPr>
        <sz val="10"/>
        <color indexed="8"/>
        <rFont val="仿宋_GB2312"/>
        <family val="3"/>
        <charset val="134"/>
      </rPr>
      <t>包括前期工程费、建筑安装工程费、基础设施费和公共配套费等</t>
    </r>
    <phoneticPr fontId="8" type="noConversion"/>
  </si>
  <si>
    <t>企业提供(在右侧录入)</t>
  </si>
  <si>
    <t>（4）</t>
    <phoneticPr fontId="8" type="noConversion"/>
  </si>
  <si>
    <r>
      <rPr>
        <sz val="10"/>
        <rFont val="仿宋_GB2312"/>
        <family val="3"/>
        <charset val="134"/>
      </rPr>
      <t>开发费用扣除</t>
    </r>
    <phoneticPr fontId="8" type="noConversion"/>
  </si>
  <si>
    <r>
      <rPr>
        <sz val="10"/>
        <color indexed="8"/>
        <rFont val="仿宋_GB2312"/>
        <family val="3"/>
        <charset val="134"/>
      </rPr>
      <t>凡不能按转让房地产项目计算分摊利息支出或不能提供金融机构证明的，按土地及建筑总投的</t>
    </r>
    <r>
      <rPr>
        <sz val="10"/>
        <color indexed="8"/>
        <rFont val="Arial"/>
        <family val="2"/>
      </rPr>
      <t>10%</t>
    </r>
    <r>
      <rPr>
        <sz val="10"/>
        <color indexed="8"/>
        <rFont val="仿宋_GB2312"/>
        <family val="3"/>
        <charset val="134"/>
      </rPr>
      <t>以内；含销售、管理、财务费用</t>
    </r>
    <phoneticPr fontId="8" type="noConversion"/>
  </si>
  <si>
    <t>（5）</t>
    <phoneticPr fontId="8" type="noConversion"/>
  </si>
  <si>
    <t>（6）</t>
    <phoneticPr fontId="8" type="noConversion"/>
  </si>
  <si>
    <r>
      <rPr>
        <sz val="10"/>
        <rFont val="仿宋_GB2312"/>
        <family val="3"/>
        <charset val="134"/>
      </rPr>
      <t>加计扣除金额</t>
    </r>
    <phoneticPr fontId="8" type="noConversion"/>
  </si>
  <si>
    <r>
      <rPr>
        <sz val="10"/>
        <color indexed="8"/>
        <rFont val="仿宋_GB2312"/>
        <family val="3"/>
        <charset val="134"/>
      </rPr>
      <t>对专门从事房地产开发的企业可以按</t>
    </r>
    <r>
      <rPr>
        <sz val="10"/>
        <color indexed="8"/>
        <rFont val="Arial"/>
        <family val="2"/>
      </rPr>
      <t>20</t>
    </r>
    <r>
      <rPr>
        <sz val="10"/>
        <color indexed="8"/>
        <rFont val="仿宋_GB2312"/>
        <family val="3"/>
        <charset val="134"/>
      </rPr>
      <t>％计算扣除；如为土地，则</t>
    </r>
    <r>
      <rPr>
        <sz val="10"/>
        <color rgb="FFFF0000"/>
        <rFont val="仿宋_GB2312"/>
        <family val="3"/>
        <charset val="134"/>
      </rPr>
      <t>仅将土地开发费加计</t>
    </r>
    <r>
      <rPr>
        <sz val="10"/>
        <color rgb="FFFF0000"/>
        <rFont val="Arial"/>
        <family val="2"/>
      </rPr>
      <t>20%</t>
    </r>
    <r>
      <rPr>
        <sz val="10"/>
        <color rgb="FFFF0000"/>
        <rFont val="仿宋_GB2312"/>
        <family val="3"/>
        <charset val="134"/>
      </rPr>
      <t>扣减</t>
    </r>
    <phoneticPr fontId="8" type="noConversion"/>
  </si>
  <si>
    <r>
      <rPr>
        <sz val="10"/>
        <color theme="1"/>
        <rFont val="华文细黑"/>
        <family val="3"/>
        <charset val="134"/>
      </rPr>
      <t>证号</t>
    </r>
    <phoneticPr fontId="3" type="noConversion"/>
  </si>
  <si>
    <r>
      <rPr>
        <sz val="10"/>
        <color theme="1"/>
        <rFont val="华文细黑"/>
        <family val="3"/>
        <charset val="134"/>
      </rPr>
      <t>位于地块</t>
    </r>
    <phoneticPr fontId="3" type="noConversion"/>
  </si>
  <si>
    <r>
      <rPr>
        <sz val="10"/>
        <color theme="1"/>
        <rFont val="华文细黑"/>
        <family val="3"/>
        <charset val="134"/>
      </rPr>
      <t>地块总土地面积</t>
    </r>
    <phoneticPr fontId="3" type="noConversion"/>
  </si>
  <si>
    <r>
      <rPr>
        <sz val="10"/>
        <color theme="1"/>
        <rFont val="华文细黑"/>
        <family val="3"/>
        <charset val="134"/>
      </rPr>
      <t>估价对象于该地块上的土地面积</t>
    </r>
    <phoneticPr fontId="3" type="noConversion"/>
  </si>
  <si>
    <r>
      <rPr>
        <sz val="10"/>
        <color theme="1"/>
        <rFont val="华文细黑"/>
        <family val="3"/>
        <charset val="134"/>
      </rPr>
      <t>规划容积率</t>
    </r>
    <phoneticPr fontId="3" type="noConversion"/>
  </si>
  <si>
    <r>
      <rPr>
        <sz val="10"/>
        <color theme="1"/>
        <rFont val="华文细黑"/>
        <family val="3"/>
        <charset val="134"/>
      </rPr>
      <t>地块总规划面积</t>
    </r>
    <phoneticPr fontId="3" type="noConversion"/>
  </si>
  <si>
    <r>
      <rPr>
        <sz val="10"/>
        <color theme="1"/>
        <rFont val="华文细黑"/>
        <family val="3"/>
        <charset val="134"/>
      </rPr>
      <t>估价对象规划面积</t>
    </r>
    <phoneticPr fontId="3" type="noConversion"/>
  </si>
  <si>
    <r>
      <t>A3</t>
    </r>
    <r>
      <rPr>
        <sz val="10"/>
        <color theme="1"/>
        <rFont val="宋体"/>
        <family val="3"/>
        <charset val="134"/>
      </rPr>
      <t>剩余土地面积</t>
    </r>
    <phoneticPr fontId="3" type="noConversion"/>
  </si>
  <si>
    <t>地面单价</t>
    <phoneticPr fontId="3" type="noConversion"/>
  </si>
  <si>
    <t>总价</t>
    <phoneticPr fontId="3" type="noConversion"/>
  </si>
  <si>
    <t>建筑面积</t>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</si>
  <si>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00466</t>
    </r>
    <r>
      <rPr>
        <sz val="10"/>
        <color theme="1"/>
        <rFont val="华文细黑"/>
        <family val="3"/>
        <charset val="134"/>
      </rPr>
      <t>号</t>
    </r>
    <phoneticPr fontId="3" type="noConversion"/>
  </si>
  <si>
    <t>A3</t>
    <phoneticPr fontId="3" type="noConversion"/>
  </si>
  <si>
    <r>
      <rPr>
        <sz val="10"/>
        <color theme="1"/>
        <rFont val="华文细黑"/>
        <family val="3"/>
        <charset val="134"/>
      </rPr>
      <t>地上</t>
    </r>
    <phoneticPr fontId="3" type="noConversion"/>
  </si>
  <si>
    <r>
      <rPr>
        <sz val="10"/>
        <color theme="1"/>
        <rFont val="华文细黑"/>
        <family val="3"/>
        <charset val="134"/>
      </rPr>
      <t>住宅</t>
    </r>
    <phoneticPr fontId="3" type="noConversion"/>
  </si>
  <si>
    <r>
      <rPr>
        <sz val="10"/>
        <color theme="1"/>
        <rFont val="华文细黑"/>
        <family val="3"/>
        <charset val="134"/>
      </rPr>
      <t>公共配套</t>
    </r>
    <phoneticPr fontId="3" type="noConversion"/>
  </si>
  <si>
    <r>
      <t>F</t>
    </r>
    <r>
      <rPr>
        <sz val="10"/>
        <color theme="1"/>
        <rFont val="宋体"/>
        <family val="3"/>
        <charset val="134"/>
      </rPr>
      <t>剩余</t>
    </r>
    <phoneticPr fontId="3" type="noConversion"/>
  </si>
  <si>
    <r>
      <rPr>
        <sz val="10"/>
        <color theme="1"/>
        <rFont val="华文细黑"/>
        <family val="3"/>
        <charset val="134"/>
      </rPr>
      <t>物业用房</t>
    </r>
    <phoneticPr fontId="3" type="noConversion"/>
  </si>
  <si>
    <r>
      <rPr>
        <sz val="10"/>
        <color theme="1"/>
        <rFont val="华文细黑"/>
        <family val="3"/>
        <charset val="134"/>
      </rPr>
      <t>设备</t>
    </r>
    <phoneticPr fontId="3" type="noConversion"/>
  </si>
  <si>
    <r>
      <t>C</t>
    </r>
    <r>
      <rPr>
        <sz val="10"/>
        <color theme="1"/>
        <rFont val="宋体"/>
        <family val="3"/>
        <charset val="134"/>
      </rPr>
      <t>剩余</t>
    </r>
    <phoneticPr fontId="3" type="noConversion"/>
  </si>
  <si>
    <r>
      <rPr>
        <b/>
        <sz val="10"/>
        <color theme="1"/>
        <rFont val="华文细黑"/>
        <family val="3"/>
        <charset val="134"/>
      </rPr>
      <t>小计</t>
    </r>
    <phoneticPr fontId="3" type="noConversion"/>
  </si>
  <si>
    <r>
      <rPr>
        <sz val="10"/>
        <color theme="1"/>
        <rFont val="华文细黑"/>
        <family val="3"/>
        <charset val="134"/>
      </rPr>
      <t>地下</t>
    </r>
    <phoneticPr fontId="3" type="noConversion"/>
  </si>
  <si>
    <r>
      <rPr>
        <sz val="10"/>
        <color theme="1"/>
        <rFont val="华文细黑"/>
        <family val="3"/>
        <charset val="134"/>
      </rPr>
      <t>车库</t>
    </r>
    <phoneticPr fontId="3" type="noConversion"/>
  </si>
  <si>
    <r>
      <t>E2</t>
    </r>
    <r>
      <rPr>
        <sz val="10"/>
        <color theme="1"/>
        <rFont val="宋体"/>
        <family val="3"/>
        <charset val="134"/>
      </rPr>
      <t>剩余</t>
    </r>
    <phoneticPr fontId="3" type="noConversion"/>
  </si>
  <si>
    <t>慈云寺剩余</t>
    <phoneticPr fontId="3" type="noConversion"/>
  </si>
  <si>
    <r>
      <rPr>
        <b/>
        <sz val="10"/>
        <color theme="1"/>
        <rFont val="华文细黑"/>
        <family val="3"/>
        <charset val="134"/>
      </rPr>
      <t>合计</t>
    </r>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</si>
  <si>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00463</t>
    </r>
    <r>
      <rPr>
        <sz val="10"/>
        <color theme="1"/>
        <rFont val="华文细黑"/>
        <family val="3"/>
        <charset val="134"/>
      </rPr>
      <t>号</t>
    </r>
    <phoneticPr fontId="3" type="noConversion"/>
  </si>
  <si>
    <t>F</t>
    <phoneticPr fontId="3" type="noConversion"/>
  </si>
  <si>
    <r>
      <rPr>
        <sz val="10"/>
        <color theme="1"/>
        <rFont val="华文细黑"/>
        <family val="3"/>
        <charset val="134"/>
      </rPr>
      <t>地上</t>
    </r>
    <phoneticPr fontId="3" type="noConversion"/>
  </si>
  <si>
    <r>
      <rPr>
        <sz val="10"/>
        <color theme="1"/>
        <rFont val="华文细黑"/>
        <family val="3"/>
        <charset val="134"/>
      </rPr>
      <t>住宅</t>
    </r>
    <phoneticPr fontId="3" type="noConversion"/>
  </si>
  <si>
    <r>
      <rPr>
        <sz val="10"/>
        <color theme="1"/>
        <rFont val="华文细黑"/>
        <family val="3"/>
        <charset val="134"/>
      </rPr>
      <t>商业</t>
    </r>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</si>
  <si>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00464</t>
    </r>
    <r>
      <rPr>
        <sz val="10"/>
        <color theme="1"/>
        <rFont val="华文细黑"/>
        <family val="3"/>
        <charset val="134"/>
      </rPr>
      <t>号</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</si>
  <si>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001114507</t>
    </r>
    <r>
      <rPr>
        <sz val="10"/>
        <color theme="1"/>
        <rFont val="华文细黑"/>
        <family val="3"/>
        <charset val="134"/>
      </rPr>
      <t>号</t>
    </r>
    <phoneticPr fontId="3" type="noConversion"/>
  </si>
  <si>
    <t>C</t>
    <phoneticPr fontId="3" type="noConversion"/>
  </si>
  <si>
    <r>
      <rPr>
        <sz val="10"/>
        <color theme="1"/>
        <rFont val="华文细黑"/>
        <family val="3"/>
        <charset val="134"/>
      </rPr>
      <t>设备</t>
    </r>
    <phoneticPr fontId="3" type="noConversion"/>
  </si>
  <si>
    <r>
      <rPr>
        <b/>
        <sz val="10"/>
        <color theme="1"/>
        <rFont val="华文细黑"/>
        <family val="3"/>
        <charset val="134"/>
      </rPr>
      <t>小计</t>
    </r>
    <phoneticPr fontId="3" type="noConversion"/>
  </si>
  <si>
    <r>
      <rPr>
        <sz val="10"/>
        <color theme="1"/>
        <rFont val="华文细黑"/>
        <family val="3"/>
        <charset val="134"/>
      </rPr>
      <t>小计</t>
    </r>
    <phoneticPr fontId="3" type="noConversion"/>
  </si>
  <si>
    <r>
      <rPr>
        <sz val="10"/>
        <color theme="1"/>
        <rFont val="华文细黑"/>
        <family val="3"/>
        <charset val="134"/>
      </rPr>
      <t>地下</t>
    </r>
    <phoneticPr fontId="3" type="noConversion"/>
  </si>
  <si>
    <r>
      <rPr>
        <sz val="10"/>
        <color theme="1"/>
        <rFont val="华文细黑"/>
        <family val="3"/>
        <charset val="134"/>
      </rPr>
      <t>车库</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</si>
  <si>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000175651</t>
    </r>
    <r>
      <rPr>
        <sz val="10"/>
        <color theme="1"/>
        <rFont val="华文细黑"/>
        <family val="3"/>
        <charset val="134"/>
      </rPr>
      <t>号</t>
    </r>
    <phoneticPr fontId="3" type="noConversion"/>
  </si>
  <si>
    <t>E2</t>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</si>
  <si>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00462</t>
    </r>
    <r>
      <rPr>
        <sz val="10"/>
        <color theme="1"/>
        <rFont val="华文细黑"/>
        <family val="3"/>
        <charset val="134"/>
      </rPr>
      <t>号</t>
    </r>
    <phoneticPr fontId="3" type="noConversion"/>
  </si>
  <si>
    <r>
      <t>B</t>
    </r>
    <r>
      <rPr>
        <sz val="10"/>
        <color theme="1"/>
        <rFont val="华文细黑"/>
        <family val="3"/>
        <charset val="134"/>
      </rPr>
      <t>、</t>
    </r>
    <r>
      <rPr>
        <sz val="10"/>
        <color theme="1"/>
        <rFont val="Arial"/>
        <family val="2"/>
      </rPr>
      <t>G</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</si>
  <si>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000175436</t>
    </r>
    <r>
      <rPr>
        <sz val="10"/>
        <color theme="1"/>
        <rFont val="华文细黑"/>
        <family val="3"/>
        <charset val="134"/>
      </rPr>
      <t>号</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</si>
  <si>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000722446</t>
    </r>
    <r>
      <rPr>
        <sz val="10"/>
        <color theme="1"/>
        <rFont val="华文细黑"/>
        <family val="3"/>
        <charset val="134"/>
      </rPr>
      <t>号</t>
    </r>
    <phoneticPr fontId="3" type="noConversion"/>
  </si>
  <si>
    <t>渝（2017）南岸区不动产权第000794174号</t>
    <phoneticPr fontId="3" type="noConversion"/>
  </si>
  <si>
    <r>
      <rPr>
        <sz val="10"/>
        <color theme="1"/>
        <rFont val="华文细黑"/>
        <family val="3"/>
        <charset val="134"/>
      </rPr>
      <t>慈云寺老街</t>
    </r>
    <phoneticPr fontId="3" type="noConversion"/>
  </si>
  <si>
    <t>——</t>
    <phoneticPr fontId="3" type="noConversion"/>
  </si>
  <si>
    <r>
      <rPr>
        <sz val="10"/>
        <color theme="1"/>
        <rFont val="华文细黑"/>
        <family val="3"/>
        <charset val="134"/>
      </rPr>
      <t>开发完成后售价</t>
    </r>
    <phoneticPr fontId="3" type="noConversion"/>
  </si>
  <si>
    <r>
      <rPr>
        <sz val="10"/>
        <color theme="1"/>
        <rFont val="华文细黑"/>
        <family val="3"/>
        <charset val="134"/>
      </rPr>
      <t>约</t>
    </r>
    <r>
      <rPr>
        <sz val="10"/>
        <color theme="1"/>
        <rFont val="Arial"/>
        <family val="2"/>
      </rPr>
      <t>23000</t>
    </r>
    <r>
      <rPr>
        <sz val="10"/>
        <color theme="1"/>
        <rFont val="华文细黑"/>
        <family val="3"/>
        <charset val="134"/>
      </rPr>
      <t>元</t>
    </r>
    <r>
      <rPr>
        <sz val="10"/>
        <color theme="1"/>
        <rFont val="Arial"/>
        <family val="2"/>
      </rPr>
      <t>/</t>
    </r>
    <r>
      <rPr>
        <sz val="10"/>
        <color theme="1"/>
        <rFont val="华文细黑"/>
        <family val="3"/>
        <charset val="134"/>
      </rPr>
      <t>平方米</t>
    </r>
    <phoneticPr fontId="3" type="noConversion"/>
  </si>
  <si>
    <r>
      <t>1</t>
    </r>
    <r>
      <rPr>
        <sz val="10"/>
        <color theme="1"/>
        <rFont val="华文细黑"/>
        <family val="3"/>
        <charset val="134"/>
      </rPr>
      <t>层约</t>
    </r>
    <r>
      <rPr>
        <sz val="10"/>
        <color theme="1"/>
        <rFont val="Arial"/>
        <family val="2"/>
      </rPr>
      <t>27000-30000</t>
    </r>
    <r>
      <rPr>
        <sz val="10"/>
        <color theme="1"/>
        <rFont val="华文细黑"/>
        <family val="3"/>
        <charset val="134"/>
      </rPr>
      <t>元</t>
    </r>
    <r>
      <rPr>
        <sz val="10"/>
        <color theme="1"/>
        <rFont val="Arial"/>
        <family val="2"/>
      </rPr>
      <t>/</t>
    </r>
    <r>
      <rPr>
        <sz val="10"/>
        <color theme="1"/>
        <rFont val="华文细黑"/>
        <family val="3"/>
        <charset val="134"/>
      </rPr>
      <t>平方米</t>
    </r>
    <phoneticPr fontId="3" type="noConversion"/>
  </si>
  <si>
    <r>
      <rPr>
        <sz val="10"/>
        <color theme="1"/>
        <rFont val="华文细黑"/>
        <family val="3"/>
        <charset val="134"/>
      </rPr>
      <t>车位</t>
    </r>
    <phoneticPr fontId="3" type="noConversion"/>
  </si>
  <si>
    <r>
      <rPr>
        <sz val="10"/>
        <color theme="1"/>
        <rFont val="华文细黑"/>
        <family val="3"/>
        <charset val="134"/>
      </rPr>
      <t>约</t>
    </r>
    <r>
      <rPr>
        <sz val="10"/>
        <color theme="1"/>
        <rFont val="Arial"/>
        <family val="2"/>
      </rPr>
      <t>150000-180000/</t>
    </r>
    <r>
      <rPr>
        <sz val="10"/>
        <color theme="1"/>
        <rFont val="华文细黑"/>
        <family val="3"/>
        <charset val="134"/>
      </rPr>
      <t>个</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</si>
</sst>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0%"/>
    <numFmt numFmtId="178" formatCode="[$-F800]dddd\,\ mmmm\ dd\,\ yyyy"/>
    <numFmt numFmtId="179" formatCode="0_ "/>
    <numFmt numFmtId="180" formatCode="0;_쐀"/>
  </numFmts>
  <fonts count="75">
    <font>
      <sz val="11"/>
      <color theme="1"/>
      <name val="宋体"/>
      <family val="2"/>
      <scheme val="minor"/>
    </font>
    <font>
      <sz val="11"/>
      <color theme="1"/>
      <name val="宋体"/>
      <family val="2"/>
      <scheme val="minor"/>
    </font>
    <font>
      <sz val="11"/>
      <color rgb="FF666666"/>
      <name val="微软雅黑"/>
      <family val="2"/>
      <charset val="134"/>
    </font>
    <font>
      <sz val="9"/>
      <name val="宋体"/>
      <family val="3"/>
      <charset val="134"/>
      <scheme val="minor"/>
    </font>
    <font>
      <sz val="11"/>
      <color theme="1"/>
      <name val="宋体"/>
      <family val="3"/>
      <charset val="134"/>
      <scheme val="minor"/>
    </font>
    <font>
      <sz val="12"/>
      <name val="宋体"/>
      <family val="3"/>
      <charset val="134"/>
    </font>
    <font>
      <sz val="12"/>
      <color theme="1"/>
      <name val="楷体_GB2312"/>
      <family val="2"/>
      <charset val="134"/>
    </font>
    <font>
      <b/>
      <sz val="14"/>
      <color rgb="FFFF0000"/>
      <name val="楷体_GB2312"/>
      <family val="3"/>
      <charset val="134"/>
    </font>
    <font>
      <sz val="9"/>
      <name val="宋体"/>
      <family val="3"/>
      <charset val="134"/>
    </font>
    <font>
      <sz val="10"/>
      <color indexed="8"/>
      <name val="楷体_GB2312"/>
      <family val="3"/>
      <charset val="134"/>
    </font>
    <font>
      <sz val="12"/>
      <color indexed="8"/>
      <name val="楷体_GB2312"/>
      <family val="3"/>
      <charset val="134"/>
    </font>
    <font>
      <sz val="10"/>
      <color indexed="8"/>
      <name val="Arial"/>
      <family val="2"/>
    </font>
    <font>
      <sz val="11"/>
      <color rgb="FFFF0000"/>
      <name val="Arial"/>
      <family val="2"/>
    </font>
    <font>
      <sz val="10"/>
      <color indexed="8"/>
      <name val="仿宋_GB2312"/>
      <family val="3"/>
      <charset val="134"/>
    </font>
    <font>
      <sz val="11"/>
      <color indexed="8"/>
      <name val="Arial"/>
      <family val="2"/>
    </font>
    <font>
      <sz val="11"/>
      <color indexed="8"/>
      <name val="仿宋_GB2312"/>
      <family val="3"/>
      <charset val="134"/>
    </font>
    <font>
      <sz val="11"/>
      <color theme="1"/>
      <name val="Arial"/>
      <family val="2"/>
    </font>
    <font>
      <b/>
      <sz val="10"/>
      <color indexed="8"/>
      <name val="仿宋_GB2312"/>
      <family val="3"/>
      <charset val="134"/>
    </font>
    <font>
      <b/>
      <sz val="10"/>
      <color indexed="8"/>
      <name val="Arial"/>
      <family val="2"/>
    </font>
    <font>
      <b/>
      <sz val="11"/>
      <color indexed="8"/>
      <name val="Arial"/>
      <family val="2"/>
    </font>
    <font>
      <b/>
      <sz val="11"/>
      <color indexed="8"/>
      <name val="仿宋_GB2312"/>
      <family val="3"/>
      <charset val="134"/>
    </font>
    <font>
      <u/>
      <sz val="10"/>
      <color indexed="8"/>
      <name val="Arial"/>
      <family val="2"/>
    </font>
    <font>
      <sz val="14"/>
      <color theme="1"/>
      <name val="Arial"/>
      <family val="2"/>
    </font>
    <font>
      <sz val="11"/>
      <color indexed="10"/>
      <name val="仿宋_GB2312"/>
      <family val="3"/>
      <charset val="134"/>
    </font>
    <font>
      <sz val="10"/>
      <color rgb="FFFF0000"/>
      <name val="Arial"/>
      <family val="2"/>
    </font>
    <font>
      <sz val="10"/>
      <color rgb="FFFF0000"/>
      <name val="宋体"/>
      <family val="3"/>
      <charset val="134"/>
    </font>
    <font>
      <sz val="14"/>
      <color indexed="8"/>
      <name val="Arial"/>
      <family val="2"/>
    </font>
    <font>
      <b/>
      <sz val="8"/>
      <color indexed="8"/>
      <name val="Arial"/>
      <family val="2"/>
    </font>
    <font>
      <b/>
      <sz val="8"/>
      <color indexed="8"/>
      <name val="仿宋_GB2312"/>
      <family val="3"/>
      <charset val="134"/>
    </font>
    <font>
      <b/>
      <sz val="9"/>
      <color indexed="8"/>
      <name val="Arial"/>
      <family val="2"/>
    </font>
    <font>
      <sz val="9"/>
      <color theme="1"/>
      <name val="Arial"/>
      <family val="2"/>
    </font>
    <font>
      <sz val="9"/>
      <color indexed="8"/>
      <name val="仿宋_GB2312"/>
      <family val="3"/>
      <charset val="134"/>
    </font>
    <font>
      <sz val="9"/>
      <color indexed="8"/>
      <name val="Arial"/>
      <family val="2"/>
    </font>
    <font>
      <sz val="9"/>
      <color rgb="FFE36C0A"/>
      <name val="Arial"/>
      <family val="2"/>
    </font>
    <font>
      <b/>
      <sz val="9"/>
      <color theme="1"/>
      <name val="Arial"/>
      <family val="2"/>
    </font>
    <font>
      <b/>
      <u/>
      <sz val="9"/>
      <color rgb="FFE36C0A"/>
      <name val="Arial"/>
      <family val="2"/>
    </font>
    <font>
      <b/>
      <sz val="14"/>
      <color rgb="FFFF0000"/>
      <name val="Arial"/>
      <family val="2"/>
    </font>
    <font>
      <b/>
      <sz val="14"/>
      <color indexed="10"/>
      <name val="仿宋_GB2312"/>
      <family val="3"/>
      <charset val="134"/>
    </font>
    <font>
      <b/>
      <sz val="12"/>
      <color indexed="8"/>
      <name val="Arial"/>
      <family val="2"/>
    </font>
    <font>
      <b/>
      <sz val="12"/>
      <color indexed="8"/>
      <name val="仿宋_GB2312"/>
      <family val="3"/>
      <charset val="134"/>
    </font>
    <font>
      <b/>
      <sz val="12"/>
      <color theme="1"/>
      <name val="Arial"/>
      <family val="2"/>
    </font>
    <font>
      <sz val="12"/>
      <color theme="1"/>
      <name val="Arial"/>
      <family val="2"/>
    </font>
    <font>
      <sz val="12"/>
      <color indexed="8"/>
      <name val="仿宋_GB2312"/>
      <family val="3"/>
      <charset val="134"/>
    </font>
    <font>
      <sz val="12"/>
      <color indexed="8"/>
      <name val="Arial"/>
      <family val="2"/>
    </font>
    <font>
      <sz val="12"/>
      <color rgb="FF000000"/>
      <name val="Arial"/>
      <family val="2"/>
    </font>
    <font>
      <b/>
      <u/>
      <sz val="12"/>
      <color theme="1"/>
      <name val="Arial"/>
      <family val="2"/>
    </font>
    <font>
      <b/>
      <u/>
      <sz val="12"/>
      <color indexed="8"/>
      <name val="仿宋_GB2312"/>
      <family val="3"/>
      <charset val="134"/>
    </font>
    <font>
      <u/>
      <sz val="12"/>
      <color indexed="8"/>
      <name val="Arial"/>
      <family val="2"/>
    </font>
    <font>
      <b/>
      <u/>
      <sz val="12"/>
      <color indexed="8"/>
      <name val="Arial"/>
      <family val="2"/>
    </font>
    <font>
      <b/>
      <sz val="14"/>
      <color indexed="8"/>
      <name val="Arial"/>
      <family val="2"/>
    </font>
    <font>
      <b/>
      <sz val="10"/>
      <color theme="1"/>
      <name val="Arial"/>
      <family val="2"/>
    </font>
    <font>
      <sz val="10"/>
      <color indexed="10"/>
      <name val="Arial"/>
      <family val="2"/>
    </font>
    <font>
      <sz val="10"/>
      <color indexed="10"/>
      <name val="仿宋_GB2312"/>
      <family val="3"/>
      <charset val="134"/>
    </font>
    <font>
      <sz val="10"/>
      <color theme="1"/>
      <name val="Arial"/>
      <family val="2"/>
    </font>
    <font>
      <b/>
      <sz val="10"/>
      <color rgb="FFE36C0A"/>
      <name val="Arial"/>
      <family val="2"/>
    </font>
    <font>
      <b/>
      <sz val="10"/>
      <color theme="1"/>
      <name val="仿宋_GB2312"/>
      <family val="3"/>
      <charset val="134"/>
    </font>
    <font>
      <sz val="10"/>
      <color theme="1"/>
      <name val="仿宋_GB2312"/>
      <family val="3"/>
      <charset val="134"/>
    </font>
    <font>
      <sz val="10"/>
      <color rgb="FFE36C0A"/>
      <name val="Arial"/>
      <family val="2"/>
    </font>
    <font>
      <b/>
      <sz val="10"/>
      <name val="Arial"/>
      <family val="2"/>
    </font>
    <font>
      <b/>
      <sz val="10"/>
      <name val="仿宋_GB2312"/>
      <family val="3"/>
      <charset val="134"/>
    </font>
    <font>
      <sz val="10"/>
      <color indexed="8"/>
      <name val="宋体"/>
      <family val="3"/>
      <charset val="134"/>
    </font>
    <font>
      <sz val="10"/>
      <name val="Arial"/>
      <family val="2"/>
    </font>
    <font>
      <sz val="10"/>
      <name val="仿宋_GB2312"/>
      <family val="3"/>
      <charset val="134"/>
    </font>
    <font>
      <sz val="10"/>
      <color rgb="FF000000"/>
      <name val="仿宋_GB2312"/>
      <family val="3"/>
      <charset val="134"/>
    </font>
    <font>
      <sz val="10"/>
      <color rgb="FF000000"/>
      <name val="Arial"/>
      <family val="2"/>
    </font>
    <font>
      <sz val="10"/>
      <color rgb="FF000000"/>
      <name val="宋体"/>
      <family val="3"/>
      <charset val="134"/>
    </font>
    <font>
      <b/>
      <sz val="10"/>
      <color indexed="8"/>
      <name val="宋体"/>
      <family val="3"/>
      <charset val="134"/>
    </font>
    <font>
      <sz val="11"/>
      <color theme="1"/>
      <name val="楷体_GB2312"/>
      <family val="3"/>
      <charset val="134"/>
    </font>
    <font>
      <sz val="10"/>
      <color rgb="FFFF0000"/>
      <name val="仿宋_GB2312"/>
      <family val="3"/>
      <charset val="134"/>
    </font>
    <font>
      <sz val="11"/>
      <color indexed="81"/>
      <name val="宋体"/>
      <family val="3"/>
      <charset val="134"/>
    </font>
    <font>
      <sz val="9"/>
      <color indexed="81"/>
      <name val="宋体"/>
      <family val="3"/>
      <charset val="134"/>
    </font>
    <font>
      <b/>
      <sz val="9"/>
      <color indexed="81"/>
      <name val="宋体"/>
      <family val="3"/>
      <charset val="134"/>
    </font>
    <font>
      <sz val="10"/>
      <color theme="1"/>
      <name val="华文细黑"/>
      <family val="3"/>
      <charset val="134"/>
    </font>
    <font>
      <sz val="10"/>
      <color theme="1"/>
      <name val="宋体"/>
      <family val="3"/>
      <charset val="134"/>
    </font>
    <font>
      <b/>
      <sz val="10"/>
      <color theme="1"/>
      <name val="华文细黑"/>
      <family val="3"/>
      <charset val="134"/>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indexed="13"/>
        <bgColor indexed="64"/>
      </patternFill>
    </fill>
    <fill>
      <patternFill patternType="solid">
        <fgColor rgb="FF00B0F0"/>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7">
    <xf numFmtId="0" fontId="0" fillId="0" borderId="0"/>
    <xf numFmtId="0" fontId="1" fillId="0" borderId="0"/>
    <xf numFmtId="0" fontId="4" fillId="0" borderId="0">
      <alignment vertical="center"/>
    </xf>
    <xf numFmtId="9"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5" fillId="0" borderId="0"/>
    <xf numFmtId="0" fontId="4" fillId="0" borderId="0">
      <alignment vertical="center"/>
    </xf>
    <xf numFmtId="0" fontId="4" fillId="0" borderId="0"/>
    <xf numFmtId="0" fontId="6" fillId="0" borderId="0">
      <alignment vertical="center"/>
    </xf>
    <xf numFmtId="0" fontId="6" fillId="0" borderId="0">
      <alignment vertical="center"/>
    </xf>
    <xf numFmtId="0" fontId="4" fillId="0" borderId="0">
      <alignment vertical="center"/>
    </xf>
    <xf numFmtId="0" fontId="6" fillId="0" borderId="0">
      <alignment vertical="center"/>
    </xf>
  </cellStyleXfs>
  <cellXfs count="458">
    <xf numFmtId="0" fontId="0" fillId="0" borderId="0" xfId="0"/>
    <xf numFmtId="0" fontId="2" fillId="2" borderId="1" xfId="1" applyFont="1" applyFill="1" applyBorder="1" applyAlignment="1">
      <alignment horizontal="center" vertical="center" wrapText="1"/>
    </xf>
    <xf numFmtId="0" fontId="2" fillId="0" borderId="0" xfId="1" applyFont="1" applyBorder="1" applyAlignment="1">
      <alignment horizontal="left" vertical="center" wrapText="1"/>
    </xf>
    <xf numFmtId="0" fontId="4" fillId="0" borderId="0" xfId="2">
      <alignment vertical="center"/>
    </xf>
    <xf numFmtId="14" fontId="2" fillId="2" borderId="1" xfId="1" applyNumberFormat="1" applyFont="1" applyFill="1" applyBorder="1" applyAlignment="1">
      <alignment horizontal="center" vertical="center" wrapText="1"/>
    </xf>
    <xf numFmtId="0" fontId="2" fillId="3" borderId="1" xfId="1" applyFont="1" applyFill="1" applyBorder="1" applyAlignment="1" applyProtection="1">
      <alignment horizontal="center" vertical="center" wrapText="1"/>
      <protection locked="0"/>
    </xf>
    <xf numFmtId="0" fontId="1" fillId="2" borderId="1" xfId="1" applyFill="1" applyBorder="1" applyAlignment="1">
      <alignment vertical="center"/>
    </xf>
    <xf numFmtId="0" fontId="2" fillId="2" borderId="2" xfId="1" applyFont="1" applyFill="1" applyBorder="1" applyAlignment="1">
      <alignment horizontal="center" vertical="center" wrapText="1"/>
    </xf>
    <xf numFmtId="0" fontId="4" fillId="2" borderId="1" xfId="1" applyFont="1" applyFill="1" applyBorder="1" applyAlignment="1">
      <alignment vertical="center"/>
    </xf>
    <xf numFmtId="0" fontId="1" fillId="0" borderId="1" xfId="1" applyBorder="1" applyAlignment="1" applyProtection="1">
      <alignment vertical="center"/>
      <protection locked="0"/>
    </xf>
    <xf numFmtId="0" fontId="2" fillId="0" borderId="1" xfId="1" applyFont="1" applyBorder="1" applyAlignment="1" applyProtection="1">
      <alignment horizontal="left" vertical="center" wrapText="1"/>
      <protection locked="0"/>
    </xf>
    <xf numFmtId="0" fontId="7" fillId="2" borderId="0" xfId="4" applyFont="1" applyFill="1" applyProtection="1">
      <alignment vertical="center"/>
    </xf>
    <xf numFmtId="0" fontId="9" fillId="2" borderId="0" xfId="4" applyFont="1" applyFill="1" applyProtection="1">
      <alignment vertical="center"/>
    </xf>
    <xf numFmtId="0" fontId="10" fillId="2" borderId="1" xfId="4" applyFont="1" applyFill="1" applyBorder="1" applyProtection="1">
      <alignment vertical="center"/>
    </xf>
    <xf numFmtId="0" fontId="10" fillId="4" borderId="1" xfId="4" applyFont="1" applyFill="1" applyBorder="1" applyAlignment="1" applyProtection="1">
      <alignment horizontal="center" vertical="center"/>
      <protection locked="0"/>
    </xf>
    <xf numFmtId="0" fontId="10" fillId="4" borderId="1" xfId="4" applyFont="1" applyFill="1" applyBorder="1" applyAlignment="1" applyProtection="1">
      <alignment horizontal="center" vertical="center" wrapText="1"/>
      <protection locked="0"/>
    </xf>
    <xf numFmtId="0" fontId="11" fillId="2" borderId="0" xfId="4" applyFont="1" applyFill="1" applyProtection="1">
      <alignment vertical="center"/>
    </xf>
    <xf numFmtId="0" fontId="11" fillId="2" borderId="0" xfId="4" applyFont="1" applyFill="1" applyProtection="1">
      <alignment vertical="center"/>
      <protection locked="0"/>
    </xf>
    <xf numFmtId="0" fontId="11" fillId="0" borderId="0" xfId="4" applyFont="1" applyProtection="1">
      <alignment vertical="center"/>
      <protection locked="0"/>
    </xf>
    <xf numFmtId="0" fontId="12" fillId="2" borderId="0" xfId="4" applyFont="1" applyFill="1" applyAlignment="1" applyProtection="1">
      <alignment horizontal="center" vertical="center"/>
      <protection locked="0"/>
    </xf>
    <xf numFmtId="0" fontId="14" fillId="2" borderId="2" xfId="4" applyFont="1" applyFill="1" applyBorder="1" applyAlignment="1" applyProtection="1">
      <alignment vertical="center" wrapText="1"/>
    </xf>
    <xf numFmtId="0" fontId="14" fillId="2" borderId="2" xfId="4" applyFont="1" applyFill="1" applyBorder="1" applyAlignment="1" applyProtection="1">
      <alignment horizontal="center" vertical="center" wrapText="1"/>
    </xf>
    <xf numFmtId="0" fontId="16" fillId="5" borderId="2" xfId="4" applyFont="1" applyFill="1" applyBorder="1" applyAlignment="1" applyProtection="1">
      <alignment horizontal="center" vertical="center"/>
      <protection locked="0"/>
    </xf>
    <xf numFmtId="0" fontId="11" fillId="2" borderId="0" xfId="4" applyFont="1" applyFill="1" applyAlignment="1" applyProtection="1">
      <alignment horizontal="center" vertical="center"/>
    </xf>
    <xf numFmtId="0" fontId="11" fillId="2" borderId="9" xfId="4" applyFont="1" applyFill="1" applyBorder="1" applyAlignment="1" applyProtection="1">
      <alignment vertical="center"/>
    </xf>
    <xf numFmtId="0" fontId="11" fillId="2" borderId="10" xfId="4" applyFont="1" applyFill="1" applyBorder="1" applyAlignment="1" applyProtection="1">
      <alignment vertical="center" wrapText="1"/>
    </xf>
    <xf numFmtId="0" fontId="11" fillId="2" borderId="11" xfId="4" applyFont="1" applyFill="1" applyBorder="1" applyAlignment="1" applyProtection="1">
      <alignment vertical="center" wrapText="1"/>
    </xf>
    <xf numFmtId="0" fontId="19" fillId="2" borderId="9" xfId="4" applyFont="1" applyFill="1" applyBorder="1" applyAlignment="1" applyProtection="1">
      <alignment horizontal="right" vertical="center"/>
    </xf>
    <xf numFmtId="0" fontId="14" fillId="2" borderId="11" xfId="4" applyFont="1" applyFill="1" applyBorder="1" applyProtection="1">
      <alignment vertical="center"/>
    </xf>
    <xf numFmtId="0" fontId="14" fillId="2" borderId="13" xfId="4" applyFont="1" applyFill="1" applyBorder="1" applyAlignment="1" applyProtection="1">
      <alignment horizontal="center" vertical="center"/>
    </xf>
    <xf numFmtId="0" fontId="11" fillId="0" borderId="0" xfId="4" applyFont="1" applyProtection="1">
      <alignment vertical="center"/>
    </xf>
    <xf numFmtId="0" fontId="19" fillId="2" borderId="14" xfId="4" applyFont="1" applyFill="1" applyBorder="1" applyAlignment="1" applyProtection="1">
      <alignment horizontal="right" vertical="center"/>
    </xf>
    <xf numFmtId="0" fontId="14" fillId="2" borderId="0" xfId="4" applyFont="1" applyFill="1" applyProtection="1">
      <alignment vertical="center"/>
    </xf>
    <xf numFmtId="176" fontId="14" fillId="2" borderId="2" xfId="4" applyNumberFormat="1" applyFont="1" applyFill="1" applyBorder="1" applyAlignment="1" applyProtection="1">
      <alignment horizontal="center" vertical="center"/>
    </xf>
    <xf numFmtId="0" fontId="19" fillId="2" borderId="15" xfId="4" applyFont="1" applyFill="1" applyBorder="1" applyAlignment="1" applyProtection="1">
      <alignment vertical="center"/>
    </xf>
    <xf numFmtId="0" fontId="14" fillId="2" borderId="16" xfId="4" applyFont="1" applyFill="1" applyBorder="1" applyAlignment="1" applyProtection="1">
      <alignment vertical="center"/>
    </xf>
    <xf numFmtId="0" fontId="16" fillId="2" borderId="16" xfId="4" applyFont="1" applyFill="1" applyBorder="1" applyAlignment="1" applyProtection="1">
      <alignment horizontal="center" vertical="center"/>
    </xf>
    <xf numFmtId="0" fontId="16" fillId="2" borderId="17" xfId="4" applyFont="1" applyFill="1" applyBorder="1" applyAlignment="1" applyProtection="1">
      <alignment horizontal="center" vertical="center"/>
    </xf>
    <xf numFmtId="0" fontId="14" fillId="2" borderId="18" xfId="4" applyFont="1" applyFill="1" applyBorder="1" applyAlignment="1" applyProtection="1">
      <alignment horizontal="right" vertical="center"/>
    </xf>
    <xf numFmtId="0" fontId="11" fillId="2" borderId="19" xfId="4" applyFont="1" applyFill="1" applyBorder="1" applyAlignment="1" applyProtection="1">
      <alignment vertical="center"/>
    </xf>
    <xf numFmtId="0" fontId="19" fillId="2" borderId="20" xfId="4" applyFont="1" applyFill="1" applyBorder="1" applyAlignment="1" applyProtection="1">
      <alignment vertical="center"/>
    </xf>
    <xf numFmtId="0" fontId="14" fillId="2" borderId="1" xfId="4" applyFont="1" applyFill="1" applyBorder="1" applyProtection="1">
      <alignment vertical="center"/>
    </xf>
    <xf numFmtId="0" fontId="16" fillId="2" borderId="1" xfId="4" applyFont="1" applyFill="1" applyBorder="1" applyAlignment="1" applyProtection="1">
      <alignment horizontal="center" vertical="center"/>
    </xf>
    <xf numFmtId="0" fontId="16" fillId="2" borderId="9" xfId="4" applyFont="1" applyFill="1" applyBorder="1" applyAlignment="1" applyProtection="1">
      <alignment horizontal="center" vertical="center"/>
    </xf>
    <xf numFmtId="0" fontId="14" fillId="2" borderId="9" xfId="4" applyFont="1" applyFill="1" applyBorder="1" applyAlignment="1" applyProtection="1">
      <alignment horizontal="right" vertical="center"/>
    </xf>
    <xf numFmtId="0" fontId="11" fillId="2" borderId="21" xfId="4" applyFont="1" applyFill="1" applyBorder="1" applyAlignment="1" applyProtection="1">
      <alignment vertical="center"/>
    </xf>
    <xf numFmtId="0" fontId="14" fillId="2" borderId="2" xfId="4" applyFont="1" applyFill="1" applyBorder="1" applyProtection="1">
      <alignment vertical="center"/>
    </xf>
    <xf numFmtId="0" fontId="14" fillId="2" borderId="2" xfId="4" applyFont="1" applyFill="1" applyBorder="1" applyAlignment="1" applyProtection="1">
      <alignment horizontal="center" vertical="center"/>
    </xf>
    <xf numFmtId="0" fontId="14" fillId="2" borderId="22" xfId="4" applyFont="1" applyFill="1" applyBorder="1" applyAlignment="1" applyProtection="1">
      <alignment horizontal="center" vertical="center"/>
    </xf>
    <xf numFmtId="0" fontId="14" fillId="2" borderId="10" xfId="4" applyFont="1" applyFill="1" applyBorder="1" applyAlignment="1" applyProtection="1">
      <alignment horizontal="right" vertical="center"/>
    </xf>
    <xf numFmtId="0" fontId="11" fillId="2" borderId="21" xfId="4" applyFont="1" applyFill="1" applyBorder="1" applyProtection="1">
      <alignment vertical="center"/>
    </xf>
    <xf numFmtId="0" fontId="19" fillId="2" borderId="9" xfId="4" applyFont="1" applyFill="1" applyBorder="1" applyAlignment="1" applyProtection="1">
      <alignment horizontal="left" vertical="center"/>
    </xf>
    <xf numFmtId="0" fontId="11" fillId="2" borderId="10" xfId="4" applyFont="1" applyFill="1" applyBorder="1" applyProtection="1">
      <alignment vertical="center"/>
    </xf>
    <xf numFmtId="0" fontId="11" fillId="2" borderId="9" xfId="4" applyFont="1" applyFill="1" applyBorder="1" applyProtection="1">
      <alignment vertical="center"/>
    </xf>
    <xf numFmtId="177" fontId="21" fillId="2" borderId="10" xfId="4" applyNumberFormat="1" applyFont="1" applyFill="1" applyBorder="1" applyAlignment="1" applyProtection="1">
      <alignment horizontal="center" vertical="center"/>
    </xf>
    <xf numFmtId="0" fontId="19" fillId="2" borderId="23" xfId="4" applyFont="1" applyFill="1" applyBorder="1" applyAlignment="1" applyProtection="1">
      <alignment vertical="center"/>
    </xf>
    <xf numFmtId="0" fontId="14" fillId="2" borderId="24" xfId="4" applyFont="1" applyFill="1" applyBorder="1" applyProtection="1">
      <alignment vertical="center"/>
    </xf>
    <xf numFmtId="0" fontId="11" fillId="2" borderId="25" xfId="4" applyFont="1" applyFill="1" applyBorder="1" applyAlignment="1" applyProtection="1">
      <alignment horizontal="right" vertical="center"/>
    </xf>
    <xf numFmtId="0" fontId="11" fillId="2" borderId="26" xfId="4" applyFont="1" applyFill="1" applyBorder="1" applyAlignment="1" applyProtection="1">
      <alignment horizontal="left" vertical="center"/>
    </xf>
    <xf numFmtId="0" fontId="14" fillId="2" borderId="17" xfId="4" applyFont="1" applyFill="1" applyBorder="1" applyAlignment="1" applyProtection="1">
      <alignment horizontal="right" vertical="center"/>
    </xf>
    <xf numFmtId="0" fontId="14" fillId="2" borderId="28" xfId="4" applyFont="1" applyFill="1" applyBorder="1" applyAlignment="1" applyProtection="1">
      <alignment horizontal="center" vertical="center"/>
    </xf>
    <xf numFmtId="0" fontId="14" fillId="4" borderId="1" xfId="4" applyFont="1" applyFill="1" applyBorder="1" applyProtection="1">
      <alignment vertical="center"/>
      <protection locked="0"/>
    </xf>
    <xf numFmtId="0" fontId="14" fillId="2" borderId="30" xfId="4" applyFont="1" applyFill="1" applyBorder="1" applyAlignment="1" applyProtection="1">
      <alignment horizontal="right" vertical="center"/>
    </xf>
    <xf numFmtId="0" fontId="14" fillId="2" borderId="21" xfId="4" applyFont="1" applyFill="1" applyBorder="1" applyAlignment="1" applyProtection="1">
      <alignment horizontal="center" vertical="center"/>
    </xf>
    <xf numFmtId="0" fontId="22" fillId="2" borderId="31" xfId="4" applyFont="1" applyFill="1" applyBorder="1" applyAlignment="1" applyProtection="1">
      <alignment horizontal="left" vertical="center"/>
    </xf>
    <xf numFmtId="0" fontId="11" fillId="2" borderId="32" xfId="4" applyFont="1" applyFill="1" applyBorder="1" applyProtection="1">
      <alignment vertical="center"/>
    </xf>
    <xf numFmtId="0" fontId="11" fillId="2" borderId="28" xfId="4" applyFont="1" applyFill="1" applyBorder="1" applyProtection="1">
      <alignment vertical="center"/>
    </xf>
    <xf numFmtId="0" fontId="12" fillId="0" borderId="33" xfId="4" applyFont="1" applyBorder="1" applyAlignment="1" applyProtection="1">
      <alignment horizontal="center" vertical="center"/>
      <protection locked="0"/>
    </xf>
    <xf numFmtId="0" fontId="12" fillId="0" borderId="1" xfId="4" applyFont="1" applyFill="1" applyBorder="1" applyAlignment="1" applyProtection="1">
      <alignment horizontal="center" vertical="center"/>
      <protection locked="0"/>
    </xf>
    <xf numFmtId="0" fontId="12" fillId="0" borderId="34" xfId="4" applyFont="1" applyFill="1" applyBorder="1" applyAlignment="1" applyProtection="1">
      <alignment horizontal="center" vertical="center"/>
      <protection locked="0"/>
    </xf>
    <xf numFmtId="0" fontId="22" fillId="2" borderId="35" xfId="4" applyFont="1" applyFill="1" applyBorder="1" applyAlignment="1" applyProtection="1">
      <alignment horizontal="left" vertical="center"/>
    </xf>
    <xf numFmtId="0" fontId="11" fillId="0" borderId="0" xfId="4" applyFont="1" applyFill="1" applyProtection="1">
      <alignment vertical="center"/>
      <protection locked="0"/>
    </xf>
    <xf numFmtId="0" fontId="11" fillId="0" borderId="0" xfId="4" applyFont="1" applyFill="1" applyProtection="1">
      <alignment vertical="center"/>
    </xf>
    <xf numFmtId="0" fontId="12" fillId="0" borderId="36" xfId="4" applyFont="1" applyFill="1" applyBorder="1" applyAlignment="1" applyProtection="1">
      <alignment horizontal="center" vertical="center"/>
    </xf>
    <xf numFmtId="0" fontId="12" fillId="0" borderId="37" xfId="4" applyFont="1" applyFill="1" applyBorder="1" applyAlignment="1" applyProtection="1">
      <alignment horizontal="center" vertical="center"/>
      <protection locked="0"/>
    </xf>
    <xf numFmtId="0" fontId="12" fillId="0" borderId="38" xfId="4" applyFont="1" applyFill="1" applyBorder="1" applyAlignment="1" applyProtection="1">
      <alignment horizontal="center" vertical="center"/>
      <protection locked="0"/>
    </xf>
    <xf numFmtId="0" fontId="24" fillId="2" borderId="0" xfId="4" applyFont="1" applyFill="1" applyProtection="1">
      <alignment vertical="center"/>
    </xf>
    <xf numFmtId="0" fontId="26" fillId="2" borderId="35" xfId="4" applyFont="1" applyFill="1" applyBorder="1" applyProtection="1">
      <alignment vertical="center"/>
      <protection locked="0"/>
    </xf>
    <xf numFmtId="0" fontId="11" fillId="2" borderId="10" xfId="4" applyFont="1" applyFill="1" applyBorder="1" applyProtection="1">
      <alignment vertical="center"/>
      <protection locked="0"/>
    </xf>
    <xf numFmtId="0" fontId="11" fillId="2" borderId="21" xfId="4" applyFont="1" applyFill="1" applyBorder="1" applyProtection="1">
      <alignment vertical="center"/>
      <protection locked="0"/>
    </xf>
    <xf numFmtId="0" fontId="19" fillId="2" borderId="16" xfId="4" applyFont="1" applyFill="1" applyBorder="1" applyAlignment="1" applyProtection="1">
      <alignment vertical="center"/>
    </xf>
    <xf numFmtId="0" fontId="19" fillId="2" borderId="18" xfId="4" applyFont="1" applyFill="1" applyBorder="1" applyAlignment="1" applyProtection="1">
      <alignment horizontal="right" vertical="center"/>
    </xf>
    <xf numFmtId="0" fontId="18" fillId="2" borderId="28" xfId="4" applyFont="1" applyFill="1" applyBorder="1" applyAlignment="1" applyProtection="1">
      <alignment vertical="center"/>
    </xf>
    <xf numFmtId="0" fontId="22" fillId="2" borderId="20" xfId="4" applyFont="1" applyFill="1" applyBorder="1" applyAlignment="1" applyProtection="1">
      <alignment horizontal="left" vertical="center"/>
    </xf>
    <xf numFmtId="0" fontId="11" fillId="2" borderId="0" xfId="4" applyFont="1" applyFill="1" applyBorder="1" applyProtection="1">
      <alignment vertical="center"/>
      <protection locked="0"/>
    </xf>
    <xf numFmtId="0" fontId="11" fillId="2" borderId="39" xfId="4" applyFont="1" applyFill="1" applyBorder="1" applyProtection="1">
      <alignment vertical="center"/>
      <protection locked="0"/>
    </xf>
    <xf numFmtId="0" fontId="27" fillId="2" borderId="20" xfId="4" applyFont="1" applyFill="1" applyBorder="1" applyAlignment="1" applyProtection="1">
      <alignment vertical="center"/>
    </xf>
    <xf numFmtId="0" fontId="19" fillId="2" borderId="1" xfId="4" applyFont="1" applyFill="1" applyBorder="1" applyProtection="1">
      <alignment vertical="center"/>
    </xf>
    <xf numFmtId="0" fontId="18" fillId="2" borderId="21" xfId="4" applyFont="1" applyFill="1" applyBorder="1" applyAlignment="1" applyProtection="1">
      <alignment vertical="center"/>
    </xf>
    <xf numFmtId="0" fontId="14" fillId="2" borderId="40" xfId="4" applyFont="1" applyFill="1" applyBorder="1" applyAlignment="1" applyProtection="1">
      <alignment horizontal="left" vertical="center"/>
    </xf>
    <xf numFmtId="0" fontId="19" fillId="0" borderId="41" xfId="4" applyFont="1" applyFill="1" applyBorder="1" applyAlignment="1" applyProtection="1">
      <alignment horizontal="center" vertical="center"/>
      <protection locked="0"/>
    </xf>
    <xf numFmtId="0" fontId="11" fillId="4" borderId="4" xfId="4" applyFont="1" applyFill="1" applyBorder="1" applyProtection="1">
      <alignment vertical="center"/>
      <protection locked="0"/>
    </xf>
    <xf numFmtId="0" fontId="11" fillId="2" borderId="6" xfId="4" applyFont="1" applyFill="1" applyBorder="1" applyProtection="1">
      <alignment vertical="center"/>
    </xf>
    <xf numFmtId="0" fontId="29" fillId="2" borderId="20" xfId="4" applyFont="1" applyFill="1" applyBorder="1" applyAlignment="1" applyProtection="1">
      <alignment horizontal="right" vertical="center"/>
    </xf>
    <xf numFmtId="0" fontId="19" fillId="2" borderId="2" xfId="4" applyFont="1" applyFill="1" applyBorder="1" applyProtection="1">
      <alignment vertical="center"/>
    </xf>
    <xf numFmtId="0" fontId="18" fillId="2" borderId="21" xfId="4" applyFont="1" applyFill="1" applyBorder="1" applyProtection="1">
      <alignment vertical="center"/>
    </xf>
    <xf numFmtId="0" fontId="14" fillId="2" borderId="11" xfId="4" applyFont="1" applyFill="1" applyBorder="1" applyAlignment="1" applyProtection="1">
      <alignment horizontal="left" vertical="center"/>
    </xf>
    <xf numFmtId="0" fontId="19" fillId="0" borderId="34" xfId="4" applyFont="1" applyFill="1" applyBorder="1" applyAlignment="1" applyProtection="1">
      <alignment horizontal="center" vertical="center"/>
      <protection locked="0"/>
    </xf>
    <xf numFmtId="0" fontId="22" fillId="2" borderId="23" xfId="4" applyFont="1" applyFill="1" applyBorder="1" applyAlignment="1" applyProtection="1">
      <alignment horizontal="left" vertical="center"/>
    </xf>
    <xf numFmtId="0" fontId="11" fillId="2" borderId="5" xfId="4" applyFont="1" applyFill="1" applyBorder="1" applyProtection="1">
      <alignment vertical="center"/>
    </xf>
    <xf numFmtId="0" fontId="11" fillId="2" borderId="43" xfId="4" applyFont="1" applyFill="1" applyBorder="1" applyProtection="1">
      <alignment vertical="center"/>
    </xf>
    <xf numFmtId="0" fontId="19" fillId="2" borderId="12" xfId="4" applyFont="1" applyFill="1" applyBorder="1" applyProtection="1">
      <alignment vertical="center"/>
    </xf>
    <xf numFmtId="0" fontId="18" fillId="2" borderId="44" xfId="4" applyFont="1" applyFill="1" applyBorder="1" applyAlignment="1" applyProtection="1">
      <alignment horizontal="right" vertical="center"/>
    </xf>
    <xf numFmtId="0" fontId="18" fillId="2" borderId="45" xfId="4" applyFont="1" applyFill="1" applyBorder="1" applyAlignment="1" applyProtection="1">
      <alignment horizontal="left" vertical="center"/>
    </xf>
    <xf numFmtId="0" fontId="14" fillId="2" borderId="47" xfId="4" applyFont="1" applyFill="1" applyBorder="1" applyAlignment="1" applyProtection="1">
      <alignment horizontal="left" vertical="center"/>
    </xf>
    <xf numFmtId="0" fontId="19" fillId="0" borderId="37" xfId="4" applyFont="1" applyFill="1" applyBorder="1" applyAlignment="1" applyProtection="1">
      <alignment horizontal="center" vertical="center"/>
      <protection locked="0"/>
    </xf>
    <xf numFmtId="0" fontId="14" fillId="0" borderId="6" xfId="4" applyFont="1" applyFill="1" applyBorder="1" applyProtection="1">
      <alignment vertical="center"/>
      <protection locked="0"/>
    </xf>
    <xf numFmtId="0" fontId="30" fillId="2" borderId="19" xfId="4" applyFont="1" applyFill="1" applyBorder="1" applyAlignment="1" applyProtection="1">
      <alignment horizontal="center" vertical="center" wrapText="1"/>
    </xf>
    <xf numFmtId="0" fontId="19" fillId="2" borderId="48" xfId="4" applyFont="1" applyFill="1" applyBorder="1" applyAlignment="1" applyProtection="1">
      <alignment vertical="center"/>
    </xf>
    <xf numFmtId="0" fontId="12" fillId="0" borderId="49" xfId="4" applyFont="1" applyFill="1" applyBorder="1" applyAlignment="1" applyProtection="1">
      <alignment horizontal="center" vertical="center"/>
      <protection locked="0"/>
    </xf>
    <xf numFmtId="0" fontId="12" fillId="0" borderId="16" xfId="4" applyFont="1" applyFill="1" applyBorder="1" applyAlignment="1" applyProtection="1">
      <alignment horizontal="center" vertical="center"/>
      <protection locked="0"/>
    </xf>
    <xf numFmtId="0" fontId="12" fillId="0" borderId="41" xfId="4" applyFont="1" applyFill="1" applyBorder="1" applyAlignment="1" applyProtection="1">
      <alignment horizontal="center" vertical="center"/>
      <protection locked="0"/>
    </xf>
    <xf numFmtId="0" fontId="24" fillId="2" borderId="0" xfId="4" applyFont="1" applyFill="1" applyBorder="1" applyAlignment="1" applyProtection="1">
      <alignment horizontal="center" vertical="center"/>
      <protection locked="0"/>
    </xf>
    <xf numFmtId="0" fontId="30" fillId="2" borderId="39" xfId="4" applyFont="1" applyFill="1" applyBorder="1" applyAlignment="1" applyProtection="1">
      <alignment horizontal="center" vertical="center" wrapText="1"/>
    </xf>
    <xf numFmtId="0" fontId="11" fillId="2" borderId="50" xfId="4" applyFont="1" applyFill="1" applyBorder="1" applyProtection="1">
      <alignment vertical="center"/>
    </xf>
    <xf numFmtId="0" fontId="12" fillId="0" borderId="33" xfId="4" applyFont="1" applyFill="1" applyBorder="1" applyAlignment="1" applyProtection="1">
      <alignment horizontal="center" vertical="center"/>
      <protection locked="0"/>
    </xf>
    <xf numFmtId="0" fontId="16" fillId="2" borderId="43" xfId="4" applyFont="1" applyFill="1" applyBorder="1" applyAlignment="1" applyProtection="1">
      <alignment vertical="center" wrapText="1"/>
    </xf>
    <xf numFmtId="0" fontId="30" fillId="2" borderId="52" xfId="4" applyFont="1" applyFill="1" applyBorder="1" applyAlignment="1" applyProtection="1">
      <alignment horizontal="center" vertical="center" wrapText="1"/>
    </xf>
    <xf numFmtId="0" fontId="30" fillId="2" borderId="6" xfId="4" applyFont="1" applyFill="1" applyBorder="1" applyAlignment="1" applyProtection="1">
      <alignment horizontal="center" vertical="center" wrapText="1"/>
    </xf>
    <xf numFmtId="0" fontId="33" fillId="2" borderId="6" xfId="4" applyFont="1" applyFill="1" applyBorder="1" applyAlignment="1" applyProtection="1">
      <alignment horizontal="center" vertical="center" wrapText="1"/>
    </xf>
    <xf numFmtId="0" fontId="11" fillId="2" borderId="51" xfId="4" applyFont="1" applyFill="1" applyBorder="1" applyProtection="1">
      <alignment vertical="center"/>
    </xf>
    <xf numFmtId="0" fontId="12" fillId="0" borderId="36" xfId="4" applyFont="1" applyFill="1" applyBorder="1" applyAlignment="1" applyProtection="1">
      <alignment horizontal="center" vertical="center"/>
      <protection locked="0"/>
    </xf>
    <xf numFmtId="0" fontId="35" fillId="2" borderId="43" xfId="4" applyFont="1" applyFill="1" applyBorder="1" applyAlignment="1" applyProtection="1">
      <alignment horizontal="center" vertical="center" wrapText="1"/>
    </xf>
    <xf numFmtId="0" fontId="36" fillId="2" borderId="0" xfId="4" applyFont="1" applyFill="1" applyProtection="1">
      <alignment vertical="center"/>
    </xf>
    <xf numFmtId="0" fontId="38" fillId="2" borderId="15" xfId="4" applyFont="1" applyFill="1" applyBorder="1" applyAlignment="1" applyProtection="1">
      <alignment horizontal="center" vertical="center"/>
    </xf>
    <xf numFmtId="0" fontId="38" fillId="2" borderId="53" xfId="4" applyFont="1" applyFill="1" applyBorder="1" applyAlignment="1" applyProtection="1">
      <alignment horizontal="center" vertical="center"/>
    </xf>
    <xf numFmtId="0" fontId="40" fillId="2" borderId="18" xfId="4" applyFont="1" applyFill="1" applyBorder="1" applyAlignment="1" applyProtection="1">
      <alignment horizontal="center" vertical="center" wrapText="1"/>
    </xf>
    <xf numFmtId="0" fontId="38" fillId="2" borderId="16" xfId="4" applyFont="1" applyFill="1" applyBorder="1" applyAlignment="1" applyProtection="1">
      <alignment horizontal="center" vertical="center"/>
    </xf>
    <xf numFmtId="0" fontId="38" fillId="2" borderId="41" xfId="4" applyFont="1" applyFill="1" applyBorder="1" applyAlignment="1" applyProtection="1">
      <alignment horizontal="center" vertical="center"/>
    </xf>
    <xf numFmtId="0" fontId="18" fillId="2" borderId="1" xfId="4" applyFont="1" applyFill="1" applyBorder="1" applyAlignment="1" applyProtection="1">
      <alignment horizontal="right" vertical="center"/>
    </xf>
    <xf numFmtId="0" fontId="18" fillId="2" borderId="34" xfId="4" applyFont="1" applyFill="1" applyBorder="1" applyAlignment="1" applyProtection="1">
      <alignment horizontal="right" vertical="center"/>
    </xf>
    <xf numFmtId="0" fontId="12" fillId="2" borderId="0" xfId="4" applyFont="1" applyFill="1" applyBorder="1" applyAlignment="1" applyProtection="1">
      <alignment horizontal="center" vertical="center"/>
    </xf>
    <xf numFmtId="0" fontId="41" fillId="2" borderId="27" xfId="4" applyFont="1" applyFill="1" applyBorder="1" applyAlignment="1" applyProtection="1">
      <alignment horizontal="justify" vertical="center" wrapText="1"/>
    </xf>
    <xf numFmtId="0" fontId="41" fillId="4" borderId="54" xfId="4" applyFont="1" applyFill="1" applyBorder="1" applyAlignment="1" applyProtection="1">
      <alignment horizontal="center" vertical="center" wrapText="1"/>
    </xf>
    <xf numFmtId="0" fontId="41" fillId="2" borderId="54" xfId="4" applyFont="1" applyFill="1" applyBorder="1" applyAlignment="1" applyProtection="1">
      <alignment horizontal="center" vertical="center" wrapText="1"/>
    </xf>
    <xf numFmtId="0" fontId="41" fillId="4" borderId="16" xfId="4" applyFont="1" applyFill="1" applyBorder="1" applyAlignment="1" applyProtection="1">
      <alignment horizontal="justify" vertical="center" wrapText="1"/>
    </xf>
    <xf numFmtId="0" fontId="41" fillId="4" borderId="41" xfId="4" applyFont="1" applyFill="1" applyBorder="1" applyAlignment="1" applyProtection="1">
      <alignment horizontal="justify" vertical="center" wrapText="1"/>
    </xf>
    <xf numFmtId="0" fontId="11" fillId="4" borderId="0" xfId="4" applyFont="1" applyFill="1" applyProtection="1">
      <alignment vertical="center"/>
      <protection locked="0"/>
    </xf>
    <xf numFmtId="0" fontId="44" fillId="2" borderId="33" xfId="4" applyFont="1" applyFill="1" applyBorder="1" applyAlignment="1" applyProtection="1">
      <alignment horizontal="center" vertical="center" wrapText="1"/>
    </xf>
    <xf numFmtId="0" fontId="44" fillId="2" borderId="1" xfId="4" applyFont="1" applyFill="1" applyBorder="1" applyAlignment="1" applyProtection="1">
      <alignment horizontal="center" vertical="center" wrapText="1"/>
    </xf>
    <xf numFmtId="176" fontId="22" fillId="2" borderId="1" xfId="4" applyNumberFormat="1" applyFont="1" applyFill="1" applyBorder="1" applyAlignment="1" applyProtection="1">
      <alignment horizontal="center" vertical="center" wrapText="1"/>
    </xf>
    <xf numFmtId="0" fontId="44" fillId="2" borderId="2" xfId="4" applyFont="1" applyFill="1" applyBorder="1" applyAlignment="1" applyProtection="1">
      <alignment horizontal="center" vertical="center" wrapText="1"/>
    </xf>
    <xf numFmtId="0" fontId="44" fillId="2" borderId="55" xfId="4" applyFont="1" applyFill="1" applyBorder="1" applyAlignment="1" applyProtection="1">
      <alignment horizontal="center" vertical="center" wrapText="1"/>
    </xf>
    <xf numFmtId="0" fontId="44" fillId="2" borderId="36" xfId="4" applyFont="1" applyFill="1" applyBorder="1" applyAlignment="1" applyProtection="1">
      <alignment horizontal="center" vertical="center" wrapText="1"/>
    </xf>
    <xf numFmtId="0" fontId="44" fillId="2" borderId="37" xfId="4" applyFont="1" applyFill="1" applyBorder="1" applyAlignment="1" applyProtection="1">
      <alignment horizontal="center" vertical="center" wrapText="1"/>
    </xf>
    <xf numFmtId="176" fontId="22" fillId="2" borderId="37" xfId="4" applyNumberFormat="1" applyFont="1" applyFill="1" applyBorder="1" applyAlignment="1" applyProtection="1">
      <alignment horizontal="center" vertical="center" wrapText="1"/>
    </xf>
    <xf numFmtId="0" fontId="11" fillId="2" borderId="24" xfId="4" applyFont="1" applyFill="1" applyBorder="1" applyProtection="1">
      <alignment vertical="center"/>
    </xf>
    <xf numFmtId="0" fontId="22" fillId="2" borderId="56" xfId="4" applyFont="1" applyFill="1" applyBorder="1" applyAlignment="1" applyProtection="1">
      <alignment horizontal="center" vertical="center" wrapText="1"/>
    </xf>
    <xf numFmtId="0" fontId="19" fillId="2" borderId="22" xfId="4" applyFont="1" applyFill="1" applyBorder="1" applyAlignment="1" applyProtection="1">
      <alignment horizontal="right" vertical="center"/>
    </xf>
    <xf numFmtId="0" fontId="19" fillId="2" borderId="57" xfId="4" applyFont="1" applyFill="1" applyBorder="1" applyAlignment="1" applyProtection="1">
      <alignment horizontal="right" vertical="center"/>
    </xf>
    <xf numFmtId="0" fontId="45" fillId="0" borderId="14" xfId="4" applyFont="1" applyBorder="1" applyAlignment="1" applyProtection="1">
      <alignment horizontal="left" vertical="center"/>
    </xf>
    <xf numFmtId="0" fontId="47" fillId="0" borderId="0" xfId="4" applyFont="1" applyBorder="1" applyAlignment="1" applyProtection="1">
      <alignment horizontal="left" vertical="center" wrapText="1"/>
    </xf>
    <xf numFmtId="0" fontId="48" fillId="4" borderId="0" xfId="4" applyFont="1" applyFill="1" applyBorder="1" applyAlignment="1" applyProtection="1">
      <alignment horizontal="left" vertical="center" wrapText="1"/>
      <protection locked="0"/>
    </xf>
    <xf numFmtId="0" fontId="11" fillId="0" borderId="0" xfId="4" applyFont="1" applyFill="1" applyBorder="1" applyAlignment="1" applyProtection="1">
      <alignment horizontal="center" vertical="center" wrapText="1"/>
      <protection locked="0"/>
    </xf>
    <xf numFmtId="0" fontId="11" fillId="0" borderId="44" xfId="4" applyFont="1" applyFill="1" applyBorder="1" applyAlignment="1" applyProtection="1">
      <alignment horizontal="center" vertical="center" wrapText="1"/>
      <protection locked="0"/>
    </xf>
    <xf numFmtId="0" fontId="11" fillId="0" borderId="44" xfId="4" applyFont="1" applyFill="1" applyBorder="1" applyAlignment="1" applyProtection="1">
      <alignment horizontal="center" vertical="center"/>
      <protection locked="0"/>
    </xf>
    <xf numFmtId="0" fontId="11" fillId="0" borderId="58" xfId="4" applyFont="1" applyBorder="1" applyProtection="1">
      <alignment vertical="center"/>
      <protection locked="0"/>
    </xf>
    <xf numFmtId="0" fontId="11" fillId="0" borderId="14" xfId="4" applyFont="1" applyBorder="1" applyAlignment="1" applyProtection="1">
      <alignment horizontal="left" vertical="center" wrapText="1"/>
      <protection locked="0"/>
    </xf>
    <xf numFmtId="0" fontId="11" fillId="0" borderId="0" xfId="4" applyFont="1" applyBorder="1" applyAlignment="1" applyProtection="1">
      <alignment horizontal="left" vertical="center" wrapText="1"/>
      <protection locked="0"/>
    </xf>
    <xf numFmtId="0" fontId="11" fillId="0" borderId="0" xfId="4" applyFont="1" applyFill="1" applyBorder="1" applyAlignment="1" applyProtection="1">
      <alignment horizontal="center" vertical="center"/>
      <protection locked="0"/>
    </xf>
    <xf numFmtId="0" fontId="11" fillId="0" borderId="59" xfId="4" applyFont="1" applyBorder="1" applyProtection="1">
      <alignment vertical="center"/>
      <protection locked="0"/>
    </xf>
    <xf numFmtId="0" fontId="24" fillId="2" borderId="0" xfId="4" applyFont="1" applyFill="1" applyProtection="1">
      <alignment vertical="center"/>
      <protection locked="0"/>
    </xf>
    <xf numFmtId="0" fontId="11" fillId="0" borderId="30" xfId="4" applyFont="1" applyBorder="1" applyAlignment="1" applyProtection="1">
      <alignment horizontal="left" vertical="center" wrapText="1"/>
      <protection locked="0"/>
    </xf>
    <xf numFmtId="0" fontId="11" fillId="0" borderId="8" xfId="4" applyFont="1" applyBorder="1" applyAlignment="1" applyProtection="1">
      <alignment horizontal="left" vertical="center" wrapText="1"/>
      <protection locked="0"/>
    </xf>
    <xf numFmtId="0" fontId="11" fillId="0" borderId="8" xfId="4" applyFont="1" applyFill="1" applyBorder="1" applyAlignment="1" applyProtection="1">
      <alignment horizontal="center" vertical="center" wrapText="1"/>
      <protection locked="0"/>
    </xf>
    <xf numFmtId="0" fontId="11" fillId="0" borderId="8" xfId="4" applyFont="1" applyFill="1" applyBorder="1" applyAlignment="1" applyProtection="1">
      <alignment horizontal="center" vertical="center"/>
      <protection locked="0"/>
    </xf>
    <xf numFmtId="0" fontId="11" fillId="0" borderId="60" xfId="4" applyFont="1" applyBorder="1" applyProtection="1">
      <alignment vertical="center"/>
      <protection locked="0"/>
    </xf>
    <xf numFmtId="0" fontId="18" fillId="0" borderId="8" xfId="4" applyFont="1" applyBorder="1" applyAlignment="1" applyProtection="1">
      <alignment horizontal="left" vertical="center"/>
      <protection locked="0"/>
    </xf>
    <xf numFmtId="0" fontId="11" fillId="0" borderId="8" xfId="4" applyFont="1" applyBorder="1" applyProtection="1">
      <alignment vertical="center"/>
      <protection locked="0"/>
    </xf>
    <xf numFmtId="0" fontId="11" fillId="0" borderId="8" xfId="4" applyFont="1" applyBorder="1" applyAlignment="1" applyProtection="1">
      <alignment horizontal="right" vertical="center"/>
      <protection locked="0"/>
    </xf>
    <xf numFmtId="0" fontId="18" fillId="0" borderId="0" xfId="4" applyFont="1" applyAlignment="1" applyProtection="1">
      <alignment horizontal="left" vertical="center"/>
      <protection locked="0"/>
    </xf>
    <xf numFmtId="2" fontId="11" fillId="0" borderId="0" xfId="4" applyNumberFormat="1" applyFont="1" applyAlignment="1" applyProtection="1">
      <alignment vertical="center" wrapText="1"/>
      <protection locked="0"/>
    </xf>
    <xf numFmtId="0" fontId="18" fillId="0" borderId="0" xfId="4" applyFont="1" applyAlignment="1" applyProtection="1">
      <alignment vertical="center" wrapText="1"/>
      <protection locked="0"/>
    </xf>
    <xf numFmtId="0" fontId="11" fillId="0" borderId="0" xfId="4" applyFont="1" applyAlignment="1" applyProtection="1">
      <alignment vertical="center" wrapText="1"/>
      <protection locked="0"/>
    </xf>
    <xf numFmtId="0" fontId="36" fillId="2" borderId="0" xfId="4" applyFont="1" applyFill="1" applyBorder="1" applyAlignment="1" applyProtection="1">
      <alignment horizontal="left" vertical="center"/>
    </xf>
    <xf numFmtId="0" fontId="49" fillId="2" borderId="0" xfId="4" applyFont="1" applyFill="1" applyBorder="1" applyAlignment="1" applyProtection="1">
      <alignment horizontal="left" vertical="center"/>
    </xf>
    <xf numFmtId="0" fontId="26" fillId="2" borderId="0" xfId="4" applyFont="1" applyFill="1" applyBorder="1" applyAlignment="1" applyProtection="1">
      <alignment vertical="center"/>
    </xf>
    <xf numFmtId="0" fontId="26" fillId="2" borderId="0" xfId="4" applyFont="1" applyFill="1" applyBorder="1" applyAlignment="1" applyProtection="1">
      <alignment horizontal="center" vertical="center"/>
    </xf>
    <xf numFmtId="0" fontId="26" fillId="2" borderId="0" xfId="4" applyFont="1" applyFill="1" applyBorder="1" applyAlignment="1" applyProtection="1">
      <alignment horizontal="center" vertical="center"/>
      <protection locked="0"/>
    </xf>
    <xf numFmtId="0" fontId="11" fillId="2" borderId="2" xfId="4" applyFont="1" applyFill="1" applyBorder="1" applyAlignment="1" applyProtection="1">
      <alignment vertical="center"/>
    </xf>
    <xf numFmtId="0" fontId="11" fillId="2" borderId="44" xfId="4" applyFont="1" applyFill="1" applyBorder="1" applyAlignment="1" applyProtection="1">
      <alignment horizontal="right" vertical="center"/>
    </xf>
    <xf numFmtId="9" fontId="11" fillId="4" borderId="44" xfId="4" applyNumberFormat="1" applyFont="1" applyFill="1" applyBorder="1" applyAlignment="1" applyProtection="1">
      <alignment horizontal="center" vertical="center"/>
      <protection locked="0"/>
    </xf>
    <xf numFmtId="0" fontId="11" fillId="2" borderId="58" xfId="4" applyFont="1" applyFill="1" applyBorder="1" applyProtection="1">
      <alignment vertical="center"/>
    </xf>
    <xf numFmtId="9" fontId="11" fillId="2" borderId="0" xfId="4" applyNumberFormat="1" applyFont="1" applyFill="1" applyAlignment="1" applyProtection="1">
      <alignment horizontal="center" vertical="center"/>
    </xf>
    <xf numFmtId="0" fontId="11" fillId="2" borderId="0" xfId="4" applyFont="1" applyFill="1" applyAlignment="1" applyProtection="1">
      <alignment horizontal="center" vertical="center"/>
      <protection locked="0"/>
    </xf>
    <xf numFmtId="0" fontId="50" fillId="2" borderId="0" xfId="4" applyFont="1" applyFill="1" applyAlignment="1" applyProtection="1">
      <alignment horizontal="left" vertical="center"/>
    </xf>
    <xf numFmtId="0" fontId="16" fillId="2" borderId="0" xfId="4" applyFont="1" applyFill="1" applyProtection="1">
      <alignment vertical="center"/>
    </xf>
    <xf numFmtId="0" fontId="18" fillId="2" borderId="20" xfId="4" applyFont="1" applyFill="1" applyBorder="1" applyAlignment="1" applyProtection="1">
      <alignment horizontal="left" vertical="center" wrapText="1"/>
    </xf>
    <xf numFmtId="0" fontId="18" fillId="2" borderId="8" xfId="4" applyFont="1" applyFill="1" applyBorder="1" applyAlignment="1" applyProtection="1">
      <alignment horizontal="left" vertical="center" wrapText="1"/>
    </xf>
    <xf numFmtId="0" fontId="18" fillId="2" borderId="60" xfId="4" applyFont="1" applyFill="1" applyBorder="1" applyAlignment="1" applyProtection="1">
      <alignment horizontal="left" vertical="center" wrapText="1"/>
    </xf>
    <xf numFmtId="0" fontId="11" fillId="2" borderId="30" xfId="4" applyFont="1" applyFill="1" applyBorder="1" applyAlignment="1" applyProtection="1">
      <alignment horizontal="center" vertical="center"/>
    </xf>
    <xf numFmtId="0" fontId="11" fillId="2" borderId="1" xfId="4" applyFont="1" applyFill="1" applyBorder="1" applyAlignment="1" applyProtection="1">
      <alignment horizontal="center" vertical="center"/>
    </xf>
    <xf numFmtId="0" fontId="18" fillId="2" borderId="1" xfId="4" applyFont="1" applyFill="1" applyBorder="1" applyAlignment="1" applyProtection="1">
      <alignment horizontal="left" vertical="center" wrapText="1"/>
    </xf>
    <xf numFmtId="9" fontId="11" fillId="2" borderId="34" xfId="4" applyNumberFormat="1" applyFont="1" applyFill="1" applyBorder="1" applyAlignment="1" applyProtection="1">
      <alignment horizontal="center" vertical="center"/>
    </xf>
    <xf numFmtId="0" fontId="50" fillId="2" borderId="9" xfId="4" applyFont="1" applyFill="1" applyBorder="1" applyAlignment="1" applyProtection="1">
      <alignment horizontal="center" vertical="center" wrapText="1"/>
    </xf>
    <xf numFmtId="0" fontId="50" fillId="2" borderId="10" xfId="4" applyFont="1" applyFill="1" applyBorder="1" applyAlignment="1" applyProtection="1">
      <alignment horizontal="center" vertical="center" wrapText="1"/>
    </xf>
    <xf numFmtId="0" fontId="50" fillId="2" borderId="44" xfId="4" applyFont="1" applyFill="1" applyBorder="1" applyAlignment="1" applyProtection="1">
      <alignment horizontal="left" vertical="center" wrapText="1"/>
    </xf>
    <xf numFmtId="0" fontId="50" fillId="2" borderId="44" xfId="4" applyFont="1" applyFill="1" applyBorder="1" applyAlignment="1" applyProtection="1">
      <alignment horizontal="center" vertical="center" wrapText="1"/>
    </xf>
    <xf numFmtId="0" fontId="50" fillId="2" borderId="58" xfId="4" applyFont="1" applyFill="1" applyBorder="1" applyAlignment="1" applyProtection="1">
      <alignment horizontal="center" vertical="center" wrapText="1"/>
    </xf>
    <xf numFmtId="0" fontId="11" fillId="2" borderId="1" xfId="4" applyFont="1" applyFill="1" applyBorder="1" applyAlignment="1" applyProtection="1">
      <alignment horizontal="left" vertical="center" wrapText="1"/>
    </xf>
    <xf numFmtId="10" fontId="11" fillId="2" borderId="13" xfId="4" applyNumberFormat="1" applyFont="1" applyFill="1" applyBorder="1" applyAlignment="1" applyProtection="1">
      <alignment horizontal="center" vertical="center"/>
    </xf>
    <xf numFmtId="0" fontId="51" fillId="0" borderId="34" xfId="4" applyFont="1" applyFill="1" applyBorder="1" applyAlignment="1" applyProtection="1">
      <alignment vertical="center" wrapText="1"/>
      <protection locked="0"/>
    </xf>
    <xf numFmtId="0" fontId="11" fillId="4" borderId="11" xfId="4" applyFont="1" applyFill="1" applyBorder="1" applyAlignment="1" applyProtection="1">
      <alignment horizontal="center" vertical="center"/>
      <protection locked="0"/>
    </xf>
    <xf numFmtId="9" fontId="11" fillId="2" borderId="0" xfId="4" applyNumberFormat="1" applyFont="1" applyFill="1" applyAlignment="1" applyProtection="1">
      <alignment horizontal="center" vertical="center"/>
      <protection locked="0"/>
    </xf>
    <xf numFmtId="0" fontId="53" fillId="2" borderId="13" xfId="4" applyFont="1" applyFill="1" applyBorder="1" applyAlignment="1" applyProtection="1">
      <alignment horizontal="center" vertical="center" wrapText="1"/>
    </xf>
    <xf numFmtId="0" fontId="54" fillId="0" borderId="9" xfId="4" applyFont="1" applyFill="1" applyBorder="1" applyAlignment="1" applyProtection="1">
      <alignment horizontal="center" vertical="center" wrapText="1"/>
      <protection locked="0"/>
    </xf>
    <xf numFmtId="0" fontId="54" fillId="0" borderId="10" xfId="4" applyFont="1" applyFill="1" applyBorder="1" applyAlignment="1" applyProtection="1">
      <alignment horizontal="center" vertical="center" wrapText="1"/>
      <protection locked="0"/>
    </xf>
    <xf numFmtId="0" fontId="54" fillId="0" borderId="11" xfId="4" applyFont="1" applyFill="1" applyBorder="1" applyAlignment="1" applyProtection="1">
      <alignment horizontal="center" vertical="center" wrapText="1"/>
      <protection locked="0"/>
    </xf>
    <xf numFmtId="0" fontId="11" fillId="2" borderId="61" xfId="4" applyFont="1" applyFill="1" applyBorder="1" applyAlignment="1" applyProtection="1">
      <alignment horizontal="right" vertical="center" wrapText="1"/>
    </xf>
    <xf numFmtId="0" fontId="11" fillId="2" borderId="22" xfId="4" applyFont="1" applyFill="1" applyBorder="1" applyAlignment="1" applyProtection="1">
      <alignment vertical="center"/>
    </xf>
    <xf numFmtId="0" fontId="11" fillId="2" borderId="2" xfId="4" applyFont="1" applyFill="1" applyBorder="1" applyAlignment="1" applyProtection="1">
      <alignment horizontal="center" vertical="center" wrapText="1"/>
    </xf>
    <xf numFmtId="0" fontId="11" fillId="2" borderId="59" xfId="4" applyFont="1" applyFill="1" applyBorder="1" applyAlignment="1" applyProtection="1">
      <alignment horizontal="center" vertical="center"/>
    </xf>
    <xf numFmtId="10" fontId="11" fillId="2" borderId="0" xfId="4" applyNumberFormat="1" applyFont="1" applyFill="1" applyAlignment="1" applyProtection="1">
      <alignment horizontal="center" vertical="center"/>
    </xf>
    <xf numFmtId="10" fontId="11" fillId="2" borderId="0" xfId="4" applyNumberFormat="1" applyFont="1" applyFill="1" applyAlignment="1" applyProtection="1">
      <alignment horizontal="center" vertical="center"/>
      <protection locked="0"/>
    </xf>
    <xf numFmtId="0" fontId="53" fillId="2" borderId="1" xfId="4" applyFont="1" applyFill="1" applyBorder="1" applyAlignment="1" applyProtection="1">
      <alignment horizontal="center" vertical="center" wrapText="1"/>
    </xf>
    <xf numFmtId="178" fontId="54" fillId="2" borderId="13" xfId="4" applyNumberFormat="1" applyFont="1" applyFill="1" applyBorder="1" applyAlignment="1" applyProtection="1">
      <alignment horizontal="center" vertical="center" wrapText="1"/>
    </xf>
    <xf numFmtId="0" fontId="11" fillId="2" borderId="42" xfId="4" applyFont="1" applyFill="1" applyBorder="1" applyAlignment="1" applyProtection="1">
      <alignment horizontal="right" vertical="center" wrapText="1"/>
    </xf>
    <xf numFmtId="0" fontId="11" fillId="2" borderId="14" xfId="4" applyFont="1" applyFill="1" applyBorder="1" applyAlignment="1" applyProtection="1">
      <alignment vertical="center"/>
    </xf>
    <xf numFmtId="0" fontId="11" fillId="2" borderId="12" xfId="4" applyFont="1" applyFill="1" applyBorder="1" applyAlignment="1" applyProtection="1">
      <alignment horizontal="center" vertical="center" wrapText="1"/>
    </xf>
    <xf numFmtId="0" fontId="11" fillId="2" borderId="59" xfId="4" applyFont="1" applyFill="1" applyBorder="1" applyProtection="1">
      <alignment vertical="center"/>
    </xf>
    <xf numFmtId="0" fontId="54" fillId="2" borderId="1" xfId="4" applyFont="1" applyFill="1" applyBorder="1" applyAlignment="1" applyProtection="1">
      <alignment horizontal="center" vertical="center" wrapText="1"/>
    </xf>
    <xf numFmtId="0" fontId="11" fillId="2" borderId="29" xfId="4" applyFont="1" applyFill="1" applyBorder="1" applyAlignment="1" applyProtection="1">
      <alignment horizontal="right" vertical="center" wrapText="1"/>
    </xf>
    <xf numFmtId="0" fontId="11" fillId="2" borderId="30" xfId="4" applyFont="1" applyFill="1" applyBorder="1" applyAlignment="1" applyProtection="1">
      <alignment vertical="center"/>
    </xf>
    <xf numFmtId="0" fontId="11" fillId="2" borderId="13" xfId="4" applyFont="1" applyFill="1" applyBorder="1" applyAlignment="1" applyProtection="1">
      <alignment horizontal="center" vertical="center" wrapText="1"/>
    </xf>
    <xf numFmtId="0" fontId="53" fillId="2" borderId="2" xfId="4" applyFont="1" applyFill="1" applyBorder="1" applyAlignment="1" applyProtection="1">
      <alignment horizontal="center" vertical="center" wrapText="1"/>
    </xf>
    <xf numFmtId="0" fontId="54" fillId="2" borderId="2" xfId="4" applyFont="1" applyFill="1" applyBorder="1" applyAlignment="1" applyProtection="1">
      <alignment horizontal="center" vertical="center" wrapText="1"/>
    </xf>
    <xf numFmtId="0" fontId="11" fillId="2" borderId="33" xfId="4" applyFont="1" applyFill="1" applyBorder="1" applyAlignment="1" applyProtection="1">
      <alignment horizontal="right" vertical="center" wrapText="1"/>
    </xf>
    <xf numFmtId="0" fontId="11" fillId="2" borderId="1" xfId="4" applyFont="1" applyFill="1" applyBorder="1" applyAlignment="1" applyProtection="1">
      <alignment horizontal="center" vertical="center" wrapText="1"/>
    </xf>
    <xf numFmtId="10" fontId="11" fillId="2" borderId="1" xfId="4" applyNumberFormat="1" applyFont="1" applyFill="1" applyBorder="1" applyAlignment="1" applyProtection="1">
      <alignment horizontal="center" vertical="center"/>
    </xf>
    <xf numFmtId="0" fontId="11" fillId="2" borderId="34" xfId="4" applyFont="1" applyFill="1" applyBorder="1" applyProtection="1">
      <alignment vertical="center"/>
    </xf>
    <xf numFmtId="0" fontId="55" fillId="2" borderId="9" xfId="4" applyFont="1" applyFill="1" applyBorder="1" applyAlignment="1" applyProtection="1">
      <alignment horizontal="center" vertical="center" wrapText="1"/>
    </xf>
    <xf numFmtId="0" fontId="55" fillId="2" borderId="10" xfId="4" applyFont="1" applyFill="1" applyBorder="1" applyAlignment="1" applyProtection="1">
      <alignment horizontal="center" vertical="center" wrapText="1"/>
    </xf>
    <xf numFmtId="0" fontId="55" fillId="2" borderId="10" xfId="4" applyFont="1" applyFill="1" applyBorder="1" applyAlignment="1" applyProtection="1">
      <alignment horizontal="center" vertical="center"/>
    </xf>
    <xf numFmtId="0" fontId="55" fillId="2" borderId="11" xfId="4" applyFont="1" applyFill="1" applyBorder="1" applyAlignment="1" applyProtection="1">
      <alignment horizontal="center" vertical="center" wrapText="1"/>
    </xf>
    <xf numFmtId="0" fontId="55" fillId="2" borderId="13" xfId="4" applyFont="1" applyFill="1" applyBorder="1" applyAlignment="1" applyProtection="1">
      <alignment horizontal="center" vertical="center" wrapText="1"/>
    </xf>
    <xf numFmtId="0" fontId="51" fillId="2" borderId="0" xfId="4" applyFont="1" applyFill="1" applyProtection="1">
      <alignment vertical="center"/>
    </xf>
    <xf numFmtId="0" fontId="57" fillId="2" borderId="1" xfId="4" applyFont="1" applyFill="1" applyBorder="1" applyAlignment="1" applyProtection="1">
      <alignment horizontal="center" vertical="center" wrapText="1"/>
    </xf>
    <xf numFmtId="0" fontId="56" fillId="2" borderId="1" xfId="4" applyFont="1" applyFill="1" applyBorder="1" applyAlignment="1" applyProtection="1">
      <alignment horizontal="center" vertical="center" wrapText="1"/>
    </xf>
    <xf numFmtId="10" fontId="57" fillId="2" borderId="1" xfId="4" applyNumberFormat="1" applyFont="1" applyFill="1" applyBorder="1" applyAlignment="1" applyProtection="1">
      <alignment horizontal="center" vertical="center"/>
    </xf>
    <xf numFmtId="0" fontId="11" fillId="2" borderId="9" xfId="4" applyFont="1" applyFill="1" applyBorder="1" applyAlignment="1" applyProtection="1">
      <alignment horizontal="right" vertical="center"/>
    </xf>
    <xf numFmtId="0" fontId="24" fillId="0" borderId="34" xfId="4" applyFont="1" applyFill="1" applyBorder="1" applyAlignment="1" applyProtection="1">
      <alignment vertical="center" wrapText="1"/>
      <protection locked="0"/>
    </xf>
    <xf numFmtId="0" fontId="11" fillId="5" borderId="11" xfId="4" applyFont="1" applyFill="1" applyBorder="1" applyAlignment="1" applyProtection="1">
      <alignment horizontal="center" vertical="center" wrapText="1"/>
      <protection locked="0"/>
    </xf>
    <xf numFmtId="0" fontId="11" fillId="2" borderId="0" xfId="4" applyFont="1" applyFill="1" applyBorder="1" applyAlignment="1" applyProtection="1">
      <alignment horizontal="center" vertical="center" wrapText="1"/>
    </xf>
    <xf numFmtId="9" fontId="57" fillId="2" borderId="1" xfId="4" applyNumberFormat="1" applyFont="1" applyFill="1" applyBorder="1" applyAlignment="1" applyProtection="1">
      <alignment horizontal="center" vertical="center"/>
    </xf>
    <xf numFmtId="0" fontId="11" fillId="2" borderId="22" xfId="4" applyFont="1" applyFill="1" applyBorder="1" applyAlignment="1" applyProtection="1">
      <alignment horizontal="right" vertical="center"/>
    </xf>
    <xf numFmtId="0" fontId="11" fillId="2" borderId="1" xfId="4" applyFont="1" applyFill="1" applyBorder="1" applyProtection="1">
      <alignment vertical="center"/>
    </xf>
    <xf numFmtId="0" fontId="57" fillId="2" borderId="2" xfId="4" applyFont="1" applyFill="1" applyBorder="1" applyAlignment="1" applyProtection="1">
      <alignment horizontal="center" vertical="center" wrapText="1"/>
    </xf>
    <xf numFmtId="0" fontId="56" fillId="2" borderId="2" xfId="4" applyFont="1" applyFill="1" applyBorder="1" applyAlignment="1" applyProtection="1">
      <alignment horizontal="center" vertical="center" wrapText="1"/>
    </xf>
    <xf numFmtId="9" fontId="57" fillId="2" borderId="2" xfId="4" applyNumberFormat="1" applyFont="1" applyFill="1" applyBorder="1" applyAlignment="1" applyProtection="1">
      <alignment horizontal="center" vertical="center"/>
    </xf>
    <xf numFmtId="0" fontId="11" fillId="2" borderId="57" xfId="4" applyFont="1" applyFill="1" applyBorder="1" applyAlignment="1" applyProtection="1">
      <alignment horizontal="right" vertical="center"/>
    </xf>
    <xf numFmtId="0" fontId="11" fillId="2" borderId="37" xfId="4" applyFont="1" applyFill="1" applyBorder="1" applyAlignment="1" applyProtection="1">
      <alignment horizontal="center" vertical="center" wrapText="1"/>
    </xf>
    <xf numFmtId="10" fontId="11" fillId="2" borderId="37" xfId="4" applyNumberFormat="1" applyFont="1" applyFill="1" applyBorder="1" applyAlignment="1" applyProtection="1">
      <alignment horizontal="center" vertical="center"/>
    </xf>
    <xf numFmtId="0" fontId="24" fillId="0" borderId="38" xfId="4" applyFont="1" applyFill="1" applyBorder="1" applyAlignment="1" applyProtection="1">
      <alignment vertical="center" wrapText="1"/>
      <protection locked="0"/>
    </xf>
    <xf numFmtId="9" fontId="11" fillId="2" borderId="1" xfId="4" applyNumberFormat="1" applyFont="1" applyFill="1" applyBorder="1" applyAlignment="1" applyProtection="1">
      <alignment horizontal="center" vertical="center" wrapText="1"/>
    </xf>
    <xf numFmtId="0" fontId="56" fillId="2" borderId="9" xfId="4" applyFont="1" applyFill="1" applyBorder="1" applyAlignment="1" applyProtection="1">
      <alignment horizontal="center" vertical="center" wrapText="1"/>
    </xf>
    <xf numFmtId="0" fontId="57" fillId="2" borderId="9" xfId="4" applyFont="1" applyFill="1" applyBorder="1" applyAlignment="1" applyProtection="1">
      <alignment vertical="center" wrapText="1"/>
    </xf>
    <xf numFmtId="0" fontId="57" fillId="2" borderId="10" xfId="4" applyFont="1" applyFill="1" applyBorder="1" applyAlignment="1" applyProtection="1">
      <alignment horizontal="center" vertical="center" wrapText="1"/>
    </xf>
    <xf numFmtId="0" fontId="57" fillId="2" borderId="11" xfId="4" applyFont="1" applyFill="1" applyBorder="1" applyAlignment="1" applyProtection="1">
      <alignment vertical="center" wrapText="1"/>
    </xf>
    <xf numFmtId="177" fontId="11" fillId="2" borderId="0" xfId="4" applyNumberFormat="1" applyFont="1" applyFill="1" applyProtection="1">
      <alignment vertical="center"/>
    </xf>
    <xf numFmtId="0" fontId="11" fillId="2" borderId="0" xfId="4" applyFont="1" applyFill="1" applyBorder="1" applyAlignment="1" applyProtection="1">
      <alignment horizontal="left" vertical="center" wrapText="1"/>
    </xf>
    <xf numFmtId="0" fontId="11" fillId="2" borderId="0" xfId="4" applyFont="1" applyFill="1" applyBorder="1" applyAlignment="1" applyProtection="1">
      <alignment horizontal="center" vertical="center"/>
    </xf>
    <xf numFmtId="0" fontId="58" fillId="2" borderId="16" xfId="4" applyFont="1" applyFill="1" applyBorder="1" applyAlignment="1" applyProtection="1">
      <alignment horizontal="center" vertical="center" wrapText="1"/>
    </xf>
    <xf numFmtId="0" fontId="11" fillId="2" borderId="41" xfId="4" applyFont="1" applyFill="1" applyBorder="1" applyAlignment="1" applyProtection="1">
      <alignment horizontal="left" vertical="center" wrapText="1"/>
    </xf>
    <xf numFmtId="49" fontId="18" fillId="2" borderId="33" xfId="4" applyNumberFormat="1" applyFont="1" applyFill="1" applyBorder="1" applyAlignment="1" applyProtection="1">
      <alignment horizontal="left" vertical="center" wrapText="1"/>
    </xf>
    <xf numFmtId="0" fontId="58" fillId="2" borderId="13" xfId="4" applyFont="1" applyFill="1" applyBorder="1" applyAlignment="1" applyProtection="1">
      <alignment horizontal="left" vertical="center" wrapText="1"/>
    </xf>
    <xf numFmtId="179" fontId="58" fillId="2" borderId="13" xfId="4" applyNumberFormat="1" applyFont="1" applyFill="1" applyBorder="1" applyAlignment="1" applyProtection="1">
      <alignment horizontal="center" vertical="center" wrapText="1"/>
    </xf>
    <xf numFmtId="0" fontId="58" fillId="2" borderId="13" xfId="4" applyFont="1" applyFill="1" applyBorder="1" applyAlignment="1" applyProtection="1">
      <alignment horizontal="center" vertical="center" wrapText="1"/>
    </xf>
    <xf numFmtId="0" fontId="11" fillId="2" borderId="63" xfId="4" applyFont="1" applyFill="1" applyBorder="1" applyAlignment="1" applyProtection="1">
      <alignment horizontal="left" vertical="center" wrapText="1"/>
    </xf>
    <xf numFmtId="0" fontId="57" fillId="2" borderId="65" xfId="4" applyFont="1" applyFill="1" applyBorder="1" applyAlignment="1" applyProtection="1">
      <alignment vertical="center" wrapText="1"/>
    </xf>
    <xf numFmtId="0" fontId="57" fillId="2" borderId="66" xfId="4" applyFont="1" applyFill="1" applyBorder="1" applyAlignment="1" applyProtection="1">
      <alignment horizontal="center" vertical="center" wrapText="1"/>
    </xf>
    <xf numFmtId="0" fontId="57" fillId="2" borderId="67" xfId="4" applyFont="1" applyFill="1" applyBorder="1" applyAlignment="1" applyProtection="1">
      <alignment vertical="center" wrapText="1"/>
    </xf>
    <xf numFmtId="49" fontId="11" fillId="2" borderId="33" xfId="4" applyNumberFormat="1" applyFont="1" applyFill="1" applyBorder="1" applyAlignment="1" applyProtection="1">
      <alignment horizontal="left" vertical="center" wrapText="1"/>
    </xf>
    <xf numFmtId="0" fontId="61" fillId="2" borderId="1" xfId="4" applyFont="1" applyFill="1" applyBorder="1" applyAlignment="1" applyProtection="1">
      <alignment horizontal="left" vertical="center" wrapText="1"/>
    </xf>
    <xf numFmtId="179" fontId="61" fillId="2" borderId="1" xfId="4" applyNumberFormat="1" applyFont="1" applyFill="1" applyBorder="1" applyAlignment="1" applyProtection="1">
      <alignment horizontal="center" vertical="center" wrapText="1"/>
    </xf>
    <xf numFmtId="0" fontId="61" fillId="2" borderId="1" xfId="4" applyFont="1" applyFill="1" applyBorder="1" applyAlignment="1" applyProtection="1">
      <alignment horizontal="center" vertical="center" wrapText="1"/>
    </xf>
    <xf numFmtId="0" fontId="11" fillId="2" borderId="34" xfId="4" applyFont="1" applyFill="1" applyBorder="1" applyAlignment="1" applyProtection="1">
      <alignment horizontal="left" vertical="center" wrapText="1"/>
    </xf>
    <xf numFmtId="179" fontId="61" fillId="0" borderId="1" xfId="4" applyNumberFormat="1" applyFont="1" applyFill="1" applyBorder="1" applyAlignment="1" applyProtection="1">
      <alignment horizontal="center" vertical="center" wrapText="1"/>
      <protection locked="0"/>
    </xf>
    <xf numFmtId="0" fontId="63" fillId="2" borderId="1" xfId="4" applyFont="1" applyFill="1" applyBorder="1" applyAlignment="1">
      <alignment horizontal="center" vertical="center" wrapText="1"/>
    </xf>
    <xf numFmtId="0" fontId="64" fillId="2" borderId="1" xfId="4" applyFont="1" applyFill="1" applyBorder="1" applyAlignment="1">
      <alignment horizontal="left" vertical="center" wrapText="1"/>
    </xf>
    <xf numFmtId="0" fontId="9" fillId="2" borderId="0" xfId="4" applyFont="1" applyFill="1" applyProtection="1">
      <alignment vertical="center"/>
      <protection locked="0"/>
    </xf>
    <xf numFmtId="0" fontId="58" fillId="2" borderId="1" xfId="4" applyFont="1" applyFill="1" applyBorder="1" applyAlignment="1" applyProtection="1">
      <alignment horizontal="left" vertical="center" wrapText="1"/>
    </xf>
    <xf numFmtId="0" fontId="58" fillId="0" borderId="1" xfId="4" applyFont="1" applyFill="1" applyBorder="1" applyAlignment="1" applyProtection="1">
      <alignment horizontal="center" vertical="center" wrapText="1"/>
      <protection locked="0"/>
    </xf>
    <xf numFmtId="0" fontId="58" fillId="2" borderId="1" xfId="4" applyFont="1" applyFill="1" applyBorder="1" applyAlignment="1" applyProtection="1">
      <alignment horizontal="center" vertical="center" wrapText="1"/>
    </xf>
    <xf numFmtId="0" fontId="24" fillId="2" borderId="34" xfId="4" applyFont="1" applyFill="1" applyBorder="1" applyAlignment="1" applyProtection="1">
      <alignment horizontal="left" vertical="center"/>
    </xf>
    <xf numFmtId="179" fontId="58" fillId="2" borderId="1" xfId="4" applyNumberFormat="1" applyFont="1" applyFill="1" applyBorder="1" applyAlignment="1" applyProtection="1">
      <alignment horizontal="center" vertical="center" wrapText="1"/>
    </xf>
    <xf numFmtId="49" fontId="18" fillId="2" borderId="36" xfId="4" applyNumberFormat="1" applyFont="1" applyFill="1" applyBorder="1" applyAlignment="1" applyProtection="1">
      <alignment horizontal="left" vertical="center" wrapText="1"/>
    </xf>
    <xf numFmtId="0" fontId="58" fillId="2" borderId="37" xfId="4" applyFont="1" applyFill="1" applyBorder="1" applyAlignment="1" applyProtection="1">
      <alignment horizontal="left" vertical="center" wrapText="1"/>
    </xf>
    <xf numFmtId="179" fontId="58" fillId="2" borderId="37" xfId="4" applyNumberFormat="1" applyFont="1" applyFill="1" applyBorder="1" applyAlignment="1" applyProtection="1">
      <alignment horizontal="center" vertical="center" wrapText="1"/>
    </xf>
    <xf numFmtId="10" fontId="61" fillId="2" borderId="37" xfId="4" applyNumberFormat="1" applyFont="1" applyFill="1" applyBorder="1" applyAlignment="1" applyProtection="1">
      <alignment horizontal="center" vertical="center" wrapText="1"/>
    </xf>
    <xf numFmtId="0" fontId="11" fillId="2" borderId="38" xfId="4" applyFont="1" applyFill="1" applyBorder="1" applyAlignment="1" applyProtection="1">
      <alignment horizontal="left" vertical="center"/>
    </xf>
    <xf numFmtId="49" fontId="18" fillId="2" borderId="20" xfId="4" applyNumberFormat="1" applyFont="1" applyFill="1" applyBorder="1" applyAlignment="1" applyProtection="1">
      <alignment horizontal="left" vertical="center" wrapText="1"/>
    </xf>
    <xf numFmtId="0" fontId="58" fillId="2" borderId="0" xfId="4" applyFont="1" applyFill="1" applyBorder="1" applyAlignment="1" applyProtection="1">
      <alignment horizontal="left" vertical="center" wrapText="1"/>
    </xf>
    <xf numFmtId="179" fontId="58" fillId="2" borderId="0" xfId="4" applyNumberFormat="1" applyFont="1" applyFill="1" applyBorder="1" applyAlignment="1" applyProtection="1">
      <alignment horizontal="center" vertical="center" wrapText="1"/>
    </xf>
    <xf numFmtId="10" fontId="61" fillId="2" borderId="0" xfId="4" applyNumberFormat="1" applyFont="1" applyFill="1" applyBorder="1" applyAlignment="1" applyProtection="1">
      <alignment horizontal="center" vertical="center" wrapText="1"/>
    </xf>
    <xf numFmtId="0" fontId="11" fillId="2" borderId="0" xfId="4" applyFont="1" applyFill="1" applyBorder="1" applyAlignment="1" applyProtection="1">
      <alignment horizontal="left" vertical="center"/>
    </xf>
    <xf numFmtId="0" fontId="11" fillId="2" borderId="0" xfId="8" applyFont="1" applyFill="1" applyBorder="1" applyAlignment="1" applyProtection="1">
      <alignment horizontal="left" vertical="center" wrapText="1"/>
    </xf>
    <xf numFmtId="0" fontId="11" fillId="2" borderId="0" xfId="8" applyFont="1" applyFill="1" applyBorder="1" applyAlignment="1" applyProtection="1">
      <alignment horizontal="left" vertical="center" wrapText="1"/>
      <protection locked="0"/>
    </xf>
    <xf numFmtId="0" fontId="16" fillId="2" borderId="0" xfId="4" applyFont="1" applyFill="1" applyProtection="1">
      <alignment vertical="center"/>
      <protection locked="0"/>
    </xf>
    <xf numFmtId="0" fontId="16" fillId="0" borderId="0" xfId="4" applyFont="1" applyFill="1" applyProtection="1">
      <alignment vertical="center"/>
      <protection locked="0"/>
    </xf>
    <xf numFmtId="0" fontId="16" fillId="0" borderId="0" xfId="4" applyFont="1" applyFill="1" applyProtection="1">
      <alignment vertical="center"/>
    </xf>
    <xf numFmtId="0" fontId="11" fillId="2" borderId="17" xfId="4" applyFont="1" applyFill="1" applyBorder="1" applyAlignment="1" applyProtection="1">
      <alignment horizontal="left" vertical="center" wrapText="1"/>
    </xf>
    <xf numFmtId="0" fontId="11" fillId="2" borderId="32" xfId="4" applyFont="1" applyFill="1" applyBorder="1" applyAlignment="1" applyProtection="1">
      <alignment horizontal="left" vertical="center" wrapText="1"/>
    </xf>
    <xf numFmtId="0" fontId="14" fillId="2" borderId="28" xfId="8" applyFont="1" applyFill="1" applyBorder="1" applyAlignment="1" applyProtection="1">
      <alignment horizontal="left" vertical="center" wrapText="1"/>
    </xf>
    <xf numFmtId="0" fontId="16" fillId="2" borderId="0" xfId="8" applyFont="1" applyFill="1" applyAlignment="1" applyProtection="1">
      <alignment vertical="center" wrapText="1"/>
    </xf>
    <xf numFmtId="0" fontId="16" fillId="2" borderId="0" xfId="8" applyFont="1" applyFill="1" applyAlignment="1" applyProtection="1">
      <alignment vertical="center" wrapText="1"/>
      <protection locked="0"/>
    </xf>
    <xf numFmtId="0" fontId="65" fillId="2" borderId="1" xfId="4" applyFont="1" applyFill="1" applyBorder="1" applyAlignment="1">
      <alignment vertical="center" wrapText="1"/>
    </xf>
    <xf numFmtId="177" fontId="11" fillId="2" borderId="0" xfId="4" applyNumberFormat="1" applyFont="1" applyFill="1" applyAlignment="1" applyProtection="1">
      <alignment horizontal="left" vertical="center"/>
    </xf>
    <xf numFmtId="0" fontId="11" fillId="2" borderId="9" xfId="4" applyFont="1" applyFill="1" applyBorder="1" applyAlignment="1" applyProtection="1">
      <alignment horizontal="left" vertical="center" wrapText="1"/>
    </xf>
    <xf numFmtId="0" fontId="11" fillId="2" borderId="10" xfId="4" applyFont="1" applyFill="1" applyBorder="1" applyAlignment="1" applyProtection="1">
      <alignment horizontal="left" vertical="center" wrapText="1"/>
    </xf>
    <xf numFmtId="0" fontId="14" fillId="2" borderId="21" xfId="8" applyFont="1" applyFill="1" applyBorder="1" applyAlignment="1" applyProtection="1">
      <alignment horizontal="left" vertical="center" wrapText="1"/>
    </xf>
    <xf numFmtId="49" fontId="11" fillId="2" borderId="33" xfId="4" applyNumberFormat="1" applyFont="1" applyFill="1" applyBorder="1" applyAlignment="1" applyProtection="1">
      <alignment vertical="center" wrapText="1"/>
    </xf>
    <xf numFmtId="0" fontId="61" fillId="0" borderId="1" xfId="4" applyFont="1" applyFill="1" applyBorder="1" applyAlignment="1" applyProtection="1">
      <alignment horizontal="center" vertical="center" wrapText="1"/>
      <protection locked="0"/>
    </xf>
    <xf numFmtId="0" fontId="14" fillId="2" borderId="1" xfId="8" applyFont="1" applyFill="1" applyBorder="1" applyAlignment="1" applyProtection="1">
      <alignment horizontal="left" vertical="center" wrapText="1"/>
    </xf>
    <xf numFmtId="0" fontId="14" fillId="5" borderId="1" xfId="8" applyFont="1" applyFill="1" applyBorder="1" applyAlignment="1" applyProtection="1">
      <alignment horizontal="center" vertical="center" wrapText="1"/>
      <protection locked="0"/>
    </xf>
    <xf numFmtId="179" fontId="61" fillId="0" borderId="34" xfId="4" applyNumberFormat="1" applyFont="1" applyFill="1" applyBorder="1" applyAlignment="1" applyProtection="1">
      <alignment horizontal="center" vertical="center" wrapText="1"/>
      <protection locked="0"/>
    </xf>
    <xf numFmtId="0" fontId="61" fillId="2" borderId="13" xfId="4" applyFont="1" applyFill="1" applyBorder="1" applyAlignment="1" applyProtection="1">
      <alignment horizontal="left" vertical="center" wrapText="1"/>
    </xf>
    <xf numFmtId="9" fontId="14" fillId="2" borderId="0" xfId="4" applyNumberFormat="1" applyFont="1" applyFill="1" applyBorder="1" applyAlignment="1" applyProtection="1">
      <alignment horizontal="center" vertical="center"/>
    </xf>
    <xf numFmtId="10" fontId="61" fillId="2" borderId="1" xfId="4" applyNumberFormat="1" applyFont="1" applyFill="1" applyBorder="1" applyAlignment="1" applyProtection="1">
      <alignment horizontal="center" vertical="center" wrapText="1"/>
    </xf>
    <xf numFmtId="0" fontId="11" fillId="2" borderId="9" xfId="4" applyFont="1" applyFill="1" applyBorder="1" applyAlignment="1" applyProtection="1">
      <alignment horizontal="left" vertical="center"/>
    </xf>
    <xf numFmtId="0" fontId="14" fillId="2" borderId="10" xfId="4" applyFont="1" applyFill="1" applyBorder="1" applyAlignment="1" applyProtection="1">
      <alignment horizontal="left" vertical="center"/>
    </xf>
    <xf numFmtId="0" fontId="11" fillId="5" borderId="10" xfId="4" applyFont="1" applyFill="1" applyBorder="1" applyAlignment="1" applyProtection="1">
      <alignment horizontal="left" vertical="center" wrapText="1"/>
      <protection locked="0"/>
    </xf>
    <xf numFmtId="0" fontId="11" fillId="2" borderId="21" xfId="4" applyFont="1" applyFill="1" applyBorder="1" applyAlignment="1" applyProtection="1">
      <alignment horizontal="left" vertical="center" wrapText="1"/>
    </xf>
    <xf numFmtId="180" fontId="61" fillId="2" borderId="1" xfId="4" applyNumberFormat="1" applyFont="1" applyFill="1" applyBorder="1" applyAlignment="1" applyProtection="1">
      <alignment horizontal="center" vertical="center" wrapText="1"/>
    </xf>
    <xf numFmtId="10" fontId="18" fillId="2" borderId="9" xfId="4" applyNumberFormat="1" applyFont="1" applyFill="1" applyBorder="1" applyAlignment="1" applyProtection="1">
      <alignment horizontal="center" vertical="center" wrapText="1"/>
    </xf>
    <xf numFmtId="0" fontId="16" fillId="2" borderId="0" xfId="8" applyFont="1" applyFill="1" applyProtection="1"/>
    <xf numFmtId="0" fontId="16" fillId="2" borderId="0" xfId="8" applyFont="1" applyFill="1" applyProtection="1">
      <protection locked="0"/>
    </xf>
    <xf numFmtId="49" fontId="66" fillId="2" borderId="33" xfId="4" applyNumberFormat="1" applyFont="1" applyFill="1" applyBorder="1" applyAlignment="1" applyProtection="1">
      <alignment vertical="center" wrapText="1"/>
    </xf>
    <xf numFmtId="177" fontId="58" fillId="2" borderId="1" xfId="4" applyNumberFormat="1" applyFont="1" applyFill="1" applyBorder="1" applyAlignment="1" applyProtection="1">
      <alignment horizontal="center" vertical="center" wrapText="1"/>
    </xf>
    <xf numFmtId="49" fontId="66" fillId="2" borderId="36" xfId="4" applyNumberFormat="1" applyFont="1" applyFill="1" applyBorder="1" applyAlignment="1" applyProtection="1">
      <alignment vertical="center" wrapText="1"/>
    </xf>
    <xf numFmtId="0" fontId="18" fillId="2" borderId="37" xfId="4" applyFont="1" applyFill="1" applyBorder="1" applyAlignment="1" applyProtection="1">
      <alignment horizontal="center" vertical="center" wrapText="1"/>
    </xf>
    <xf numFmtId="0" fontId="61" fillId="2" borderId="37" xfId="4" applyFont="1" applyFill="1" applyBorder="1" applyAlignment="1" applyProtection="1">
      <alignment horizontal="center" vertical="center" wrapText="1"/>
    </xf>
    <xf numFmtId="0" fontId="11" fillId="2" borderId="57" xfId="4" applyFont="1" applyFill="1" applyBorder="1" applyAlignment="1" applyProtection="1">
      <alignment horizontal="left" vertical="center"/>
    </xf>
    <xf numFmtId="0" fontId="11" fillId="2" borderId="25" xfId="4" applyFont="1" applyFill="1" applyBorder="1" applyAlignment="1" applyProtection="1">
      <alignment horizontal="left" vertical="center" wrapText="1"/>
    </xf>
    <xf numFmtId="0" fontId="14" fillId="2" borderId="26" xfId="8" applyFont="1" applyFill="1" applyBorder="1" applyAlignment="1" applyProtection="1">
      <alignment horizontal="left" vertical="center" wrapText="1"/>
    </xf>
    <xf numFmtId="0" fontId="16" fillId="2" borderId="0" xfId="4" applyFont="1" applyFill="1" applyAlignment="1" applyProtection="1">
      <alignment vertical="center"/>
    </xf>
    <xf numFmtId="0" fontId="16" fillId="2" borderId="0" xfId="4" applyFont="1" applyFill="1" applyAlignment="1" applyProtection="1">
      <alignment horizontal="left" vertical="center"/>
    </xf>
    <xf numFmtId="0" fontId="16" fillId="2" borderId="0" xfId="8" applyFont="1" applyFill="1" applyAlignment="1" applyProtection="1">
      <alignment horizontal="left"/>
    </xf>
    <xf numFmtId="0" fontId="11" fillId="2" borderId="28" xfId="8" applyFont="1" applyFill="1" applyBorder="1" applyAlignment="1" applyProtection="1">
      <alignment horizontal="left" vertical="center" wrapText="1"/>
    </xf>
    <xf numFmtId="0" fontId="11" fillId="2" borderId="21" xfId="8" applyFont="1" applyFill="1" applyBorder="1" applyAlignment="1" applyProtection="1">
      <alignment horizontal="left" vertical="center" wrapText="1"/>
    </xf>
    <xf numFmtId="0" fontId="61" fillId="2" borderId="9" xfId="4" applyFont="1" applyFill="1" applyBorder="1" applyAlignment="1" applyProtection="1">
      <alignment horizontal="center" vertical="center" wrapText="1"/>
    </xf>
    <xf numFmtId="10" fontId="11" fillId="2" borderId="9" xfId="4" applyNumberFormat="1" applyFont="1" applyFill="1" applyBorder="1" applyAlignment="1" applyProtection="1">
      <alignment horizontal="left" vertical="center" wrapText="1"/>
    </xf>
    <xf numFmtId="10" fontId="11" fillId="2" borderId="10" xfId="4" applyNumberFormat="1" applyFont="1" applyFill="1" applyBorder="1" applyAlignment="1" applyProtection="1">
      <alignment horizontal="left" vertical="center" wrapText="1"/>
    </xf>
    <xf numFmtId="10" fontId="11" fillId="2" borderId="21" xfId="4" applyNumberFormat="1" applyFont="1" applyFill="1" applyBorder="1" applyAlignment="1" applyProtection="1">
      <alignment horizontal="left" vertical="center" wrapText="1"/>
    </xf>
    <xf numFmtId="180" fontId="61" fillId="0" borderId="1" xfId="4" applyNumberFormat="1" applyFont="1" applyFill="1" applyBorder="1" applyAlignment="1" applyProtection="1">
      <alignment horizontal="center" vertical="center" wrapText="1"/>
      <protection locked="0"/>
    </xf>
    <xf numFmtId="10" fontId="11" fillId="2" borderId="9" xfId="4" applyNumberFormat="1" applyFont="1" applyFill="1" applyBorder="1" applyAlignment="1" applyProtection="1">
      <alignment horizontal="left" vertical="center"/>
    </xf>
    <xf numFmtId="0" fontId="32" fillId="2" borderId="0" xfId="4" applyFont="1" applyFill="1" applyBorder="1" applyAlignment="1" applyProtection="1">
      <alignment horizontal="left" vertical="center"/>
    </xf>
    <xf numFmtId="10" fontId="11" fillId="5" borderId="21" xfId="4" applyNumberFormat="1" applyFont="1" applyFill="1" applyBorder="1" applyAlignment="1" applyProtection="1">
      <alignment horizontal="left" vertical="center" wrapText="1"/>
      <protection locked="0"/>
    </xf>
    <xf numFmtId="49" fontId="60" fillId="2" borderId="33" xfId="4" applyNumberFormat="1" applyFont="1" applyFill="1" applyBorder="1" applyAlignment="1" applyProtection="1">
      <alignment vertical="center" wrapText="1"/>
    </xf>
    <xf numFmtId="10" fontId="9" fillId="4" borderId="21" xfId="4" applyNumberFormat="1" applyFont="1" applyFill="1" applyBorder="1" applyAlignment="1" applyProtection="1">
      <alignment horizontal="left" vertical="center" wrapText="1"/>
      <protection locked="0"/>
    </xf>
    <xf numFmtId="0" fontId="67" fillId="0" borderId="33" xfId="4" applyFont="1" applyFill="1" applyBorder="1" applyProtection="1">
      <alignment vertical="center"/>
      <protection locked="0"/>
    </xf>
    <xf numFmtId="0" fontId="11" fillId="2" borderId="26" xfId="8" applyFont="1" applyFill="1" applyBorder="1" applyAlignment="1" applyProtection="1">
      <alignment horizontal="left" vertical="center" wrapText="1"/>
    </xf>
    <xf numFmtId="0" fontId="11" fillId="7" borderId="0" xfId="4" applyFont="1" applyFill="1" applyProtection="1">
      <alignment vertical="center"/>
      <protection locked="0"/>
    </xf>
    <xf numFmtId="0" fontId="11" fillId="7" borderId="0" xfId="4" applyFont="1" applyFill="1" applyBorder="1" applyProtection="1">
      <alignment vertical="center"/>
      <protection locked="0"/>
    </xf>
    <xf numFmtId="0" fontId="11" fillId="7" borderId="0" xfId="4" applyFont="1" applyFill="1" applyBorder="1" applyAlignment="1" applyProtection="1">
      <alignment horizontal="right" vertical="center"/>
      <protection locked="0"/>
    </xf>
    <xf numFmtId="0" fontId="18" fillId="7" borderId="0" xfId="4" applyFont="1" applyFill="1" applyAlignment="1" applyProtection="1">
      <alignment horizontal="left" vertical="center"/>
      <protection locked="0"/>
    </xf>
    <xf numFmtId="2" fontId="11" fillId="7" borderId="0" xfId="4" applyNumberFormat="1" applyFont="1" applyFill="1" applyAlignment="1" applyProtection="1">
      <alignment vertical="center" wrapText="1"/>
      <protection locked="0"/>
    </xf>
    <xf numFmtId="0" fontId="18" fillId="7" borderId="0" xfId="4" applyFont="1" applyFill="1" applyAlignment="1" applyProtection="1">
      <alignment vertical="center" wrapText="1"/>
      <protection locked="0"/>
    </xf>
    <xf numFmtId="0" fontId="11" fillId="7" borderId="0" xfId="4" applyFont="1" applyFill="1" applyAlignment="1" applyProtection="1">
      <alignment vertical="center" wrapText="1"/>
      <protection locked="0"/>
    </xf>
    <xf numFmtId="0" fontId="53" fillId="0" borderId="1" xfId="4" applyFont="1" applyBorder="1" applyAlignment="1">
      <alignment horizontal="left" vertical="center" wrapText="1"/>
    </xf>
    <xf numFmtId="0" fontId="53" fillId="0" borderId="0" xfId="4" applyFont="1" applyAlignment="1">
      <alignment horizontal="left" vertical="center" wrapText="1"/>
    </xf>
    <xf numFmtId="0" fontId="73" fillId="0" borderId="0" xfId="4" applyFont="1" applyAlignment="1">
      <alignment horizontal="left" vertical="center" wrapText="1"/>
    </xf>
    <xf numFmtId="0" fontId="50" fillId="0" borderId="1" xfId="4" applyFont="1" applyBorder="1" applyAlignment="1">
      <alignment horizontal="left" vertical="center" wrapText="1"/>
    </xf>
    <xf numFmtId="0" fontId="50" fillId="0" borderId="22" xfId="4" applyFont="1" applyBorder="1" applyAlignment="1">
      <alignment vertical="center" wrapText="1"/>
    </xf>
    <xf numFmtId="0" fontId="50" fillId="0" borderId="58" xfId="4" applyFont="1" applyBorder="1" applyAlignment="1">
      <alignment vertical="center" wrapText="1"/>
    </xf>
    <xf numFmtId="0" fontId="50" fillId="0" borderId="2" xfId="4" applyFont="1" applyBorder="1" applyAlignment="1">
      <alignment vertical="center" wrapText="1"/>
    </xf>
    <xf numFmtId="0" fontId="50" fillId="0" borderId="1" xfId="4" applyFont="1" applyBorder="1" applyAlignment="1">
      <alignment vertical="center" wrapText="1"/>
    </xf>
    <xf numFmtId="0" fontId="58" fillId="2" borderId="20" xfId="4" applyFont="1" applyFill="1" applyBorder="1" applyAlignment="1" applyProtection="1">
      <alignment horizontal="center" vertical="center" wrapText="1"/>
    </xf>
    <xf numFmtId="0" fontId="58" fillId="2" borderId="0" xfId="4" applyFont="1" applyFill="1" applyBorder="1" applyAlignment="1" applyProtection="1">
      <alignment horizontal="center" vertical="center" wrapText="1"/>
    </xf>
    <xf numFmtId="0" fontId="58" fillId="2" borderId="49" xfId="4" applyFont="1" applyFill="1" applyBorder="1" applyAlignment="1" applyProtection="1">
      <alignment horizontal="center" vertical="center" wrapText="1"/>
    </xf>
    <xf numFmtId="0" fontId="58" fillId="2" borderId="16" xfId="4" applyFont="1" applyFill="1" applyBorder="1" applyAlignment="1" applyProtection="1">
      <alignment horizontal="center" vertical="center" wrapText="1"/>
    </xf>
    <xf numFmtId="10" fontId="11" fillId="2" borderId="9" xfId="4" applyNumberFormat="1" applyFont="1" applyFill="1" applyBorder="1" applyAlignment="1" applyProtection="1">
      <alignment horizontal="left" vertical="center" wrapText="1"/>
    </xf>
    <xf numFmtId="10" fontId="11" fillId="2" borderId="10" xfId="4" applyNumberFormat="1" applyFont="1" applyFill="1" applyBorder="1" applyAlignment="1" applyProtection="1">
      <alignment horizontal="left" vertical="center" wrapText="1"/>
    </xf>
    <xf numFmtId="10" fontId="11" fillId="2" borderId="21" xfId="4" applyNumberFormat="1" applyFont="1" applyFill="1" applyBorder="1" applyAlignment="1" applyProtection="1">
      <alignment horizontal="left" vertical="center" wrapText="1"/>
    </xf>
    <xf numFmtId="10" fontId="13" fillId="2" borderId="9" xfId="4" applyNumberFormat="1" applyFont="1" applyFill="1" applyBorder="1" applyAlignment="1" applyProtection="1">
      <alignment horizontal="left" vertical="center" wrapText="1"/>
    </xf>
    <xf numFmtId="0" fontId="56" fillId="2" borderId="64" xfId="4" applyFont="1" applyFill="1" applyBorder="1" applyAlignment="1" applyProtection="1">
      <alignment horizontal="center" vertical="center" wrapText="1"/>
    </xf>
    <xf numFmtId="0" fontId="56" fillId="2" borderId="65" xfId="4" applyFont="1" applyFill="1" applyBorder="1" applyAlignment="1" applyProtection="1">
      <alignment horizontal="center" vertical="center" wrapText="1"/>
    </xf>
    <xf numFmtId="0" fontId="63" fillId="2" borderId="1" xfId="4" applyFont="1" applyFill="1" applyBorder="1" applyAlignment="1">
      <alignment horizontal="center" vertical="center" wrapText="1"/>
    </xf>
    <xf numFmtId="0" fontId="11" fillId="2" borderId="9" xfId="4" applyFont="1" applyFill="1" applyBorder="1" applyAlignment="1" applyProtection="1">
      <alignment horizontal="left" vertical="center" wrapText="1"/>
    </xf>
    <xf numFmtId="0" fontId="11" fillId="2" borderId="10" xfId="4" applyFont="1" applyFill="1" applyBorder="1" applyAlignment="1" applyProtection="1">
      <alignment horizontal="left" vertical="center" wrapText="1"/>
    </xf>
    <xf numFmtId="0" fontId="11" fillId="2" borderId="21" xfId="4" applyFont="1" applyFill="1" applyBorder="1" applyAlignment="1" applyProtection="1">
      <alignment horizontal="left" vertical="center" wrapText="1"/>
    </xf>
    <xf numFmtId="0" fontId="13" fillId="2" borderId="9" xfId="4" applyFont="1" applyFill="1" applyBorder="1" applyAlignment="1" applyProtection="1">
      <alignment horizontal="left" vertical="center"/>
    </xf>
    <xf numFmtId="0" fontId="13" fillId="2" borderId="11" xfId="4" applyFont="1" applyFill="1" applyBorder="1" applyAlignment="1" applyProtection="1">
      <alignment horizontal="left" vertical="center"/>
    </xf>
    <xf numFmtId="0" fontId="11" fillId="2" borderId="36" xfId="4" applyFont="1" applyFill="1" applyBorder="1" applyAlignment="1" applyProtection="1">
      <alignment horizontal="left" vertical="center" wrapText="1"/>
    </xf>
    <xf numFmtId="0" fontId="11" fillId="2" borderId="37" xfId="4" applyFont="1" applyFill="1" applyBorder="1" applyAlignment="1" applyProtection="1">
      <alignment horizontal="left" vertical="center" wrapText="1"/>
    </xf>
    <xf numFmtId="0" fontId="53" fillId="2" borderId="1" xfId="4" applyFont="1" applyFill="1" applyBorder="1" applyAlignment="1" applyProtection="1">
      <alignment horizontal="center" vertical="center" wrapText="1"/>
    </xf>
    <xf numFmtId="0" fontId="56" fillId="2" borderId="1" xfId="4" applyFont="1" applyFill="1" applyBorder="1" applyAlignment="1" applyProtection="1">
      <alignment horizontal="center" vertical="center" wrapText="1"/>
    </xf>
    <xf numFmtId="0" fontId="18" fillId="2" borderId="5" xfId="4" applyFont="1" applyFill="1" applyBorder="1" applyAlignment="1" applyProtection="1">
      <alignment horizontal="center" vertical="center"/>
    </xf>
    <xf numFmtId="0" fontId="53" fillId="2" borderId="2" xfId="4" applyFont="1" applyFill="1" applyBorder="1" applyAlignment="1" applyProtection="1">
      <alignment horizontal="center" vertical="center" wrapText="1"/>
    </xf>
    <xf numFmtId="0" fontId="53" fillId="2" borderId="13" xfId="4" applyFont="1" applyFill="1" applyBorder="1" applyAlignment="1" applyProtection="1">
      <alignment horizontal="center" vertical="center" wrapText="1"/>
    </xf>
    <xf numFmtId="0" fontId="11" fillId="2" borderId="33" xfId="4" applyFont="1" applyFill="1" applyBorder="1" applyAlignment="1" applyProtection="1">
      <alignment horizontal="left" vertical="center" wrapText="1"/>
    </xf>
    <xf numFmtId="0" fontId="11" fillId="2" borderId="1" xfId="4" applyFont="1" applyFill="1" applyBorder="1" applyAlignment="1" applyProtection="1">
      <alignment horizontal="left" vertical="center" wrapText="1"/>
    </xf>
    <xf numFmtId="0" fontId="11" fillId="2" borderId="9" xfId="4" applyFont="1" applyFill="1" applyBorder="1" applyAlignment="1" applyProtection="1">
      <alignment horizontal="center" vertical="center" wrapText="1"/>
    </xf>
    <xf numFmtId="0" fontId="11" fillId="2" borderId="11" xfId="4" applyFont="1" applyFill="1" applyBorder="1" applyAlignment="1" applyProtection="1">
      <alignment horizontal="center" vertical="center" wrapText="1"/>
    </xf>
    <xf numFmtId="0" fontId="11" fillId="2" borderId="10" xfId="4" applyFont="1" applyFill="1" applyBorder="1" applyAlignment="1" applyProtection="1">
      <alignment horizontal="center" vertical="center" wrapText="1"/>
    </xf>
    <xf numFmtId="0" fontId="13" fillId="2" borderId="9" xfId="4" applyFont="1" applyFill="1" applyBorder="1" applyAlignment="1" applyProtection="1">
      <alignment horizontal="center" vertical="center"/>
    </xf>
    <xf numFmtId="0" fontId="13" fillId="2" borderId="10" xfId="4" applyFont="1" applyFill="1" applyBorder="1" applyAlignment="1" applyProtection="1">
      <alignment horizontal="center" vertical="center"/>
    </xf>
    <xf numFmtId="0" fontId="11" fillId="2" borderId="11" xfId="4" applyFont="1" applyFill="1" applyBorder="1" applyAlignment="1" applyProtection="1">
      <alignment horizontal="left" vertical="center" wrapText="1"/>
    </xf>
    <xf numFmtId="0" fontId="55" fillId="2" borderId="13" xfId="4" applyFont="1" applyFill="1" applyBorder="1" applyAlignment="1" applyProtection="1">
      <alignment horizontal="center" vertical="center" wrapText="1"/>
    </xf>
    <xf numFmtId="0" fontId="11" fillId="2" borderId="55" xfId="4" applyFont="1" applyFill="1" applyBorder="1" applyAlignment="1" applyProtection="1">
      <alignment horizontal="center" vertical="center"/>
    </xf>
    <xf numFmtId="0" fontId="11" fillId="2" borderId="62" xfId="4" applyFont="1" applyFill="1" applyBorder="1" applyAlignment="1" applyProtection="1">
      <alignment horizontal="center" vertical="center"/>
    </xf>
    <xf numFmtId="0" fontId="11" fillId="2" borderId="63" xfId="4" applyFont="1" applyFill="1" applyBorder="1" applyAlignment="1" applyProtection="1">
      <alignment horizontal="center" vertical="center"/>
    </xf>
    <xf numFmtId="0" fontId="50" fillId="2" borderId="1" xfId="4" applyFont="1" applyFill="1" applyBorder="1" applyAlignment="1" applyProtection="1">
      <alignment horizontal="center" vertical="center" wrapText="1"/>
    </xf>
    <xf numFmtId="0" fontId="17" fillId="2" borderId="2" xfId="4" applyFont="1" applyFill="1" applyBorder="1" applyAlignment="1" applyProtection="1">
      <alignment horizontal="center" vertical="center" wrapText="1"/>
    </xf>
    <xf numFmtId="0" fontId="50" fillId="2" borderId="2" xfId="4" applyFont="1" applyFill="1" applyBorder="1" applyAlignment="1" applyProtection="1">
      <alignment horizontal="center" vertical="center" wrapText="1"/>
    </xf>
    <xf numFmtId="0" fontId="19" fillId="2" borderId="35" xfId="4" applyFont="1" applyFill="1" applyBorder="1" applyAlignment="1" applyProtection="1">
      <alignment horizontal="left" vertical="center"/>
    </xf>
    <xf numFmtId="0" fontId="19" fillId="2" borderId="11" xfId="4" applyFont="1" applyFill="1" applyBorder="1" applyAlignment="1" applyProtection="1">
      <alignment horizontal="left" vertical="center"/>
    </xf>
    <xf numFmtId="0" fontId="19" fillId="2" borderId="36" xfId="4" applyFont="1" applyFill="1" applyBorder="1" applyAlignment="1" applyProtection="1">
      <alignment horizontal="left" vertical="center" wrapText="1"/>
      <protection locked="0"/>
    </xf>
    <xf numFmtId="0" fontId="19" fillId="2" borderId="37" xfId="4" applyFont="1" applyFill="1" applyBorder="1" applyAlignment="1" applyProtection="1">
      <alignment horizontal="left" vertical="center" wrapText="1"/>
      <protection locked="0"/>
    </xf>
    <xf numFmtId="0" fontId="18" fillId="2" borderId="22" xfId="4" applyFont="1" applyFill="1" applyBorder="1" applyAlignment="1" applyProtection="1">
      <alignment horizontal="left" vertical="center" wrapText="1"/>
    </xf>
    <xf numFmtId="0" fontId="18" fillId="2" borderId="44" xfId="4" applyFont="1" applyFill="1" applyBorder="1" applyAlignment="1" applyProtection="1">
      <alignment horizontal="left" vertical="center" wrapText="1"/>
    </xf>
    <xf numFmtId="0" fontId="18" fillId="2" borderId="58" xfId="4" applyFont="1" applyFill="1" applyBorder="1" applyAlignment="1" applyProtection="1">
      <alignment horizontal="left" vertical="center" wrapText="1"/>
    </xf>
    <xf numFmtId="0" fontId="18" fillId="2" borderId="31" xfId="4" applyFont="1" applyFill="1" applyBorder="1" applyAlignment="1" applyProtection="1">
      <alignment horizontal="center" vertical="center" wrapText="1"/>
    </xf>
    <xf numFmtId="0" fontId="18" fillId="2" borderId="32" xfId="4" applyFont="1" applyFill="1" applyBorder="1" applyAlignment="1" applyProtection="1">
      <alignment horizontal="center" vertical="center" wrapText="1"/>
    </xf>
    <xf numFmtId="0" fontId="18" fillId="2" borderId="28" xfId="4" applyFont="1" applyFill="1" applyBorder="1" applyAlignment="1" applyProtection="1">
      <alignment horizontal="center" vertical="center" wrapText="1"/>
    </xf>
    <xf numFmtId="0" fontId="11" fillId="2" borderId="61" xfId="4" applyFont="1" applyFill="1" applyBorder="1" applyAlignment="1" applyProtection="1">
      <alignment horizontal="left" vertical="center" wrapText="1"/>
    </xf>
    <xf numFmtId="0" fontId="50" fillId="2" borderId="13" xfId="4" applyFont="1" applyFill="1" applyBorder="1" applyAlignment="1" applyProtection="1">
      <alignment horizontal="center" vertical="center" wrapText="1"/>
    </xf>
    <xf numFmtId="0" fontId="50" fillId="2" borderId="30" xfId="4" applyFont="1" applyFill="1" applyBorder="1" applyAlignment="1" applyProtection="1">
      <alignment horizontal="center" vertical="center" wrapText="1"/>
    </xf>
    <xf numFmtId="0" fontId="34" fillId="2" borderId="3" xfId="4" applyFont="1" applyFill="1" applyBorder="1" applyAlignment="1" applyProtection="1">
      <alignment horizontal="center" vertical="center" wrapText="1"/>
    </xf>
    <xf numFmtId="0" fontId="34" fillId="2" borderId="4" xfId="4" applyFont="1" applyFill="1" applyBorder="1" applyAlignment="1" applyProtection="1">
      <alignment horizontal="center" vertical="center" wrapText="1"/>
    </xf>
    <xf numFmtId="0" fontId="34" fillId="2" borderId="6" xfId="4" applyFont="1" applyFill="1" applyBorder="1" applyAlignment="1" applyProtection="1">
      <alignment horizontal="center" vertical="center" wrapText="1"/>
    </xf>
    <xf numFmtId="0" fontId="19" fillId="2" borderId="33" xfId="4" applyFont="1" applyFill="1" applyBorder="1" applyAlignment="1" applyProtection="1">
      <alignment horizontal="left" vertical="center"/>
    </xf>
    <xf numFmtId="0" fontId="19" fillId="2" borderId="1" xfId="4" applyFont="1" applyFill="1" applyBorder="1" applyAlignment="1" applyProtection="1">
      <alignment horizontal="left" vertical="center"/>
    </xf>
    <xf numFmtId="0" fontId="19" fillId="4" borderId="10" xfId="4" applyFont="1" applyFill="1" applyBorder="1" applyAlignment="1" applyProtection="1">
      <alignment vertical="center"/>
    </xf>
    <xf numFmtId="0" fontId="19" fillId="4" borderId="11" xfId="4" applyFont="1" applyFill="1" applyBorder="1" applyAlignment="1" applyProtection="1">
      <alignment vertical="center"/>
    </xf>
    <xf numFmtId="0" fontId="19" fillId="2" borderId="27" xfId="4" applyFont="1" applyFill="1" applyBorder="1" applyAlignment="1" applyProtection="1">
      <alignment horizontal="left" vertical="center" wrapText="1"/>
    </xf>
    <xf numFmtId="0" fontId="19" fillId="2" borderId="29" xfId="4" applyFont="1" applyFill="1" applyBorder="1" applyAlignment="1" applyProtection="1">
      <alignment horizontal="left" vertical="center" wrapText="1"/>
    </xf>
    <xf numFmtId="0" fontId="19" fillId="2" borderId="42" xfId="4" applyFont="1" applyFill="1" applyBorder="1" applyAlignment="1" applyProtection="1">
      <alignment horizontal="left" vertical="center" wrapText="1"/>
    </xf>
    <xf numFmtId="0" fontId="19" fillId="2" borderId="46" xfId="4" applyFont="1" applyFill="1" applyBorder="1" applyAlignment="1" applyProtection="1">
      <alignment horizontal="left" vertical="center" wrapText="1"/>
    </xf>
    <xf numFmtId="0" fontId="30" fillId="2" borderId="48" xfId="4" applyFont="1" applyFill="1" applyBorder="1" applyAlignment="1" applyProtection="1">
      <alignment horizontal="center" vertical="center" wrapText="1"/>
    </xf>
    <xf numFmtId="0" fontId="30" fillId="2" borderId="50" xfId="4" applyFont="1" applyFill="1" applyBorder="1" applyAlignment="1" applyProtection="1">
      <alignment horizontal="center" vertical="center" wrapText="1"/>
    </xf>
    <xf numFmtId="0" fontId="30" fillId="2" borderId="51" xfId="4" applyFont="1" applyFill="1" applyBorder="1" applyAlignment="1" applyProtection="1">
      <alignment horizontal="center" vertical="center" wrapText="1"/>
    </xf>
    <xf numFmtId="0" fontId="14" fillId="2" borderId="1" xfId="4" applyFont="1" applyFill="1" applyBorder="1" applyAlignment="1" applyProtection="1">
      <alignment horizontal="left" vertical="center" wrapText="1"/>
    </xf>
    <xf numFmtId="0" fontId="14" fillId="2" borderId="1" xfId="4" applyFont="1" applyFill="1" applyBorder="1" applyAlignment="1" applyProtection="1">
      <alignment horizontal="center" vertical="center" wrapText="1"/>
    </xf>
    <xf numFmtId="0" fontId="14" fillId="0" borderId="2" xfId="4" applyFont="1" applyBorder="1" applyAlignment="1" applyProtection="1">
      <alignment horizontal="center" vertical="center"/>
      <protection locked="0"/>
    </xf>
    <xf numFmtId="0" fontId="14" fillId="0" borderId="13" xfId="4" applyFont="1" applyBorder="1" applyAlignment="1" applyProtection="1">
      <alignment horizontal="center" vertical="center"/>
      <protection locked="0"/>
    </xf>
    <xf numFmtId="0" fontId="14" fillId="0" borderId="1" xfId="4" applyFont="1" applyBorder="1" applyAlignment="1" applyProtection="1">
      <alignment horizontal="center" vertical="center"/>
      <protection locked="0"/>
    </xf>
    <xf numFmtId="0" fontId="14" fillId="6" borderId="2" xfId="4" applyFont="1" applyFill="1" applyBorder="1" applyAlignment="1" applyProtection="1">
      <alignment horizontal="center" vertical="center"/>
      <protection locked="0"/>
    </xf>
    <xf numFmtId="0" fontId="14" fillId="6" borderId="12" xfId="4" applyFont="1" applyFill="1" applyBorder="1" applyAlignment="1" applyProtection="1">
      <alignment horizontal="center" vertical="center"/>
      <protection locked="0"/>
    </xf>
    <xf numFmtId="0" fontId="14" fillId="6" borderId="13" xfId="4" applyFont="1" applyFill="1" applyBorder="1" applyAlignment="1" applyProtection="1">
      <alignment horizontal="center" vertical="center"/>
      <protection locked="0"/>
    </xf>
    <xf numFmtId="0" fontId="14" fillId="6" borderId="1" xfId="4" applyFont="1" applyFill="1" applyBorder="1" applyAlignment="1" applyProtection="1">
      <alignment horizontal="center" vertical="center"/>
      <protection locked="0"/>
    </xf>
    <xf numFmtId="0" fontId="12" fillId="0" borderId="3" xfId="4" applyFont="1" applyBorder="1" applyAlignment="1" applyProtection="1">
      <alignment horizontal="center" vertical="center"/>
      <protection locked="0"/>
    </xf>
    <xf numFmtId="0" fontId="12" fillId="0" borderId="4" xfId="4" applyFont="1" applyBorder="1" applyAlignment="1" applyProtection="1">
      <alignment horizontal="center" vertical="center"/>
      <protection locked="0"/>
    </xf>
    <xf numFmtId="0" fontId="12" fillId="0" borderId="5" xfId="4" applyFont="1" applyBorder="1" applyAlignment="1" applyProtection="1">
      <alignment horizontal="center" vertical="center"/>
      <protection locked="0"/>
    </xf>
    <xf numFmtId="0" fontId="12" fillId="0" borderId="6" xfId="4" applyFont="1" applyBorder="1" applyAlignment="1" applyProtection="1">
      <alignment horizontal="center" vertical="center"/>
      <protection locked="0"/>
    </xf>
    <xf numFmtId="0" fontId="11" fillId="2" borderId="7" xfId="4" applyFont="1" applyFill="1" applyBorder="1" applyAlignment="1" applyProtection="1">
      <alignment horizontal="center" vertical="center"/>
    </xf>
    <xf numFmtId="0" fontId="11" fillId="2" borderId="8" xfId="4" applyFont="1" applyFill="1" applyBorder="1" applyAlignment="1" applyProtection="1">
      <alignment horizontal="center" vertical="center"/>
    </xf>
    <xf numFmtId="0" fontId="14" fillId="0" borderId="12" xfId="4" applyFont="1" applyBorder="1" applyAlignment="1" applyProtection="1">
      <alignment horizontal="center" vertical="center"/>
      <protection locked="0"/>
    </xf>
    <xf numFmtId="0" fontId="72" fillId="0" borderId="2" xfId="4" applyFont="1" applyBorder="1" applyAlignment="1">
      <alignment horizontal="left" vertical="center" wrapText="1"/>
    </xf>
    <xf numFmtId="0" fontId="53" fillId="0" borderId="12" xfId="4" applyFont="1" applyBorder="1" applyAlignment="1">
      <alignment horizontal="left" vertical="center" wrapText="1"/>
    </xf>
    <xf numFmtId="0" fontId="53" fillId="0" borderId="13" xfId="4" applyFont="1" applyBorder="1" applyAlignment="1">
      <alignment horizontal="left" vertical="center" wrapText="1"/>
    </xf>
    <xf numFmtId="0" fontId="53" fillId="0" borderId="2" xfId="4" applyFont="1" applyBorder="1" applyAlignment="1">
      <alignment horizontal="left" vertical="center" wrapText="1"/>
    </xf>
    <xf numFmtId="0" fontId="50" fillId="0" borderId="9" xfId="4" applyFont="1" applyBorder="1" applyAlignment="1">
      <alignment horizontal="left" vertical="center" wrapText="1"/>
    </xf>
    <xf numFmtId="0" fontId="50" fillId="0" borderId="11" xfId="4" applyFont="1" applyBorder="1" applyAlignment="1">
      <alignment horizontal="left" vertical="center" wrapText="1"/>
    </xf>
    <xf numFmtId="0" fontId="53" fillId="0" borderId="1" xfId="4" applyFont="1" applyBorder="1" applyAlignment="1">
      <alignment horizontal="left" vertical="center" wrapText="1"/>
    </xf>
    <xf numFmtId="0" fontId="50" fillId="0" borderId="1" xfId="4" applyFont="1" applyBorder="1" applyAlignment="1">
      <alignment horizontal="left" vertical="center" wrapText="1"/>
    </xf>
    <xf numFmtId="0" fontId="53" fillId="0" borderId="9" xfId="4" applyFont="1" applyBorder="1" applyAlignment="1">
      <alignment horizontal="left" vertical="center" wrapText="1"/>
    </xf>
    <xf numFmtId="0" fontId="53" fillId="0" borderId="10" xfId="4" applyFont="1" applyBorder="1" applyAlignment="1">
      <alignment horizontal="left" vertical="center" wrapText="1"/>
    </xf>
    <xf numFmtId="0" fontId="53" fillId="0" borderId="11" xfId="4" applyFont="1" applyBorder="1" applyAlignment="1">
      <alignment horizontal="left" vertical="center" wrapText="1"/>
    </xf>
  </cellXfs>
  <cellStyles count="17">
    <cellStyle name="百分比 2" xfId="3"/>
    <cellStyle name="常规" xfId="0" builtinId="0"/>
    <cellStyle name="常规 16" xfId="4"/>
    <cellStyle name="常规 2" xfId="2"/>
    <cellStyle name="常规 2 2" xfId="5"/>
    <cellStyle name="常规 2 2 2 2 3" xfId="6"/>
    <cellStyle name="常规 2 3" xfId="7"/>
    <cellStyle name="常规 3" xfId="8"/>
    <cellStyle name="常规 3 2" xfId="9"/>
    <cellStyle name="常规 4" xfId="10"/>
    <cellStyle name="常规 5" xfId="11"/>
    <cellStyle name="常规 6" xfId="12"/>
    <cellStyle name="常规 6 2" xfId="13"/>
    <cellStyle name="常规 6 2 2" xfId="14"/>
    <cellStyle name="常规 7" xfId="15"/>
    <cellStyle name="常规 8" xfId="16"/>
    <cellStyle name="常规 9" xfId="1"/>
  </cellStyles>
  <dxfs count="10">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3&#22320;&#22359;&#21097;&#20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土地案例"/>
      <sheetName val="剩余法-待开发"/>
      <sheetName val="不动产比较法-住宅"/>
      <sheetName val="不动产比较法-商业"/>
      <sheetName val="不动产收益法-车库"/>
      <sheetName val="酒店收入计算"/>
      <sheetName val="成本逼近法"/>
      <sheetName val="不动产比较法-办公"/>
      <sheetName val="不动产比较法-工业"/>
      <sheetName val="不动产比较法-车位"/>
      <sheetName val="不动产比较法-仓储"/>
      <sheetName val="典型户型修正"/>
      <sheetName val="存贷款利率"/>
      <sheetName val="地块分布情况"/>
      <sheetName val="A3总规划"/>
      <sheetName val="F总规划"/>
      <sheetName val="C总规划"/>
      <sheetName val="E2总规划"/>
      <sheetName val="B总规划"/>
      <sheetName val="G总规划"/>
    </sheetNames>
    <sheetDataSet>
      <sheetData sheetId="0"/>
      <sheetData sheetId="1"/>
      <sheetData sheetId="2"/>
      <sheetData sheetId="3"/>
      <sheetData sheetId="4"/>
      <sheetData sheetId="5"/>
      <sheetData sheetId="6"/>
      <sheetData sheetId="7">
        <row r="3">
          <cell r="D3" t="str">
            <v>土地估价师</v>
          </cell>
        </row>
        <row r="4">
          <cell r="D4" t="str">
            <v>梁津</v>
          </cell>
        </row>
        <row r="5">
          <cell r="D5" t="str">
            <v>李立</v>
          </cell>
        </row>
        <row r="6">
          <cell r="D6" t="str">
            <v>叶凌</v>
          </cell>
        </row>
        <row r="7">
          <cell r="D7" t="str">
            <v>王鹏</v>
          </cell>
        </row>
        <row r="8">
          <cell r="D8" t="str">
            <v>欧红伟</v>
          </cell>
        </row>
        <row r="9">
          <cell r="D9" t="str">
            <v>吴薇</v>
          </cell>
        </row>
        <row r="10">
          <cell r="D10" t="str">
            <v>陈颖</v>
          </cell>
        </row>
        <row r="11">
          <cell r="D11" t="str">
            <v>崔锴</v>
          </cell>
        </row>
        <row r="13">
          <cell r="D13" t="str">
            <v>郑燚</v>
          </cell>
        </row>
        <row r="14">
          <cell r="D14" t="str">
            <v>苏海</v>
          </cell>
        </row>
        <row r="15">
          <cell r="D15" t="str">
            <v>杨红英</v>
          </cell>
        </row>
        <row r="16">
          <cell r="D16" t="str">
            <v>刘梅</v>
          </cell>
        </row>
        <row r="17">
          <cell r="D17" t="str">
            <v>张津夷</v>
          </cell>
        </row>
        <row r="21">
          <cell r="D21" t="str">
            <v>赵雯</v>
          </cell>
        </row>
        <row r="22">
          <cell r="D22" t="str">
            <v>刘敬东</v>
          </cell>
        </row>
        <row r="24">
          <cell r="D24" t="str">
            <v>——</v>
          </cell>
        </row>
      </sheetData>
      <sheetData sheetId="8">
        <row r="1">
          <cell r="A1" t="str">
            <v>用途类型</v>
          </cell>
          <cell r="B1" t="str">
            <v>估价方法</v>
          </cell>
          <cell r="C1" t="str">
            <v>土地级别</v>
          </cell>
          <cell r="D1" t="str">
            <v>判定</v>
          </cell>
          <cell r="F1" t="str">
            <v>主用途</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平层住宅</v>
          </cell>
          <cell r="B2" t="str">
            <v>剩余法-待开发</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LOFT住宅</v>
          </cell>
          <cell r="B3" t="str">
            <v>剩余法-现房</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普通住宅</v>
          </cell>
          <cell r="B4" t="str">
            <v>比较法-住宅、综合</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公寓</v>
          </cell>
          <cell r="B5" t="str">
            <v>比较法-工业</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洋房</v>
          </cell>
          <cell r="B6" t="str">
            <v>基准地价</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叠拼</v>
          </cell>
          <cell r="B7" t="str">
            <v>成本逼近法</v>
          </cell>
          <cell r="C7" t="str">
            <v>六级</v>
          </cell>
          <cell r="F7" t="str">
            <v>车库—商业</v>
          </cell>
          <cell r="H7" t="str">
            <v>工业</v>
          </cell>
          <cell r="I7" t="str">
            <v>10-20（含）</v>
          </cell>
        </row>
        <row r="8">
          <cell r="A8" t="str">
            <v>联排</v>
          </cell>
          <cell r="B8" t="str">
            <v>不动产收益法</v>
          </cell>
          <cell r="C8" t="str">
            <v>七级</v>
          </cell>
          <cell r="F8" t="str">
            <v>车库—办公</v>
          </cell>
          <cell r="I8" t="str">
            <v>0-10（含）</v>
          </cell>
        </row>
        <row r="9">
          <cell r="A9" t="str">
            <v>双拼</v>
          </cell>
          <cell r="B9" t="str">
            <v>不动产比较法-住宅</v>
          </cell>
          <cell r="C9" t="str">
            <v>八级</v>
          </cell>
          <cell r="F9" t="str">
            <v>仓储</v>
          </cell>
        </row>
        <row r="10">
          <cell r="A10" t="str">
            <v>独栋</v>
          </cell>
          <cell r="B10" t="str">
            <v>不动产比较法-商业</v>
          </cell>
          <cell r="C10" t="str">
            <v>九级</v>
          </cell>
          <cell r="F10" t="str">
            <v>——</v>
          </cell>
        </row>
        <row r="11">
          <cell r="A11" t="str">
            <v>底商</v>
          </cell>
          <cell r="B11" t="str">
            <v>不动产比较法-办公</v>
          </cell>
          <cell r="C11" t="str">
            <v>十级</v>
          </cell>
        </row>
        <row r="12">
          <cell r="A12" t="str">
            <v>独立商业</v>
          </cell>
          <cell r="B12" t="str">
            <v>不动产比较法-工业</v>
          </cell>
          <cell r="C12" t="str">
            <v>十一级</v>
          </cell>
        </row>
        <row r="13">
          <cell r="A13" t="str">
            <v>商业街</v>
          </cell>
          <cell r="B13" t="str">
            <v>不动产比较法-车位</v>
          </cell>
          <cell r="C13" t="str">
            <v>十二级</v>
          </cell>
        </row>
        <row r="14">
          <cell r="A14" t="str">
            <v>酒店</v>
          </cell>
          <cell r="B14" t="str">
            <v>不动产比较法-仓储</v>
          </cell>
          <cell r="C14" t="str">
            <v>——</v>
          </cell>
        </row>
        <row r="15">
          <cell r="A15" t="str">
            <v>标准厂房</v>
          </cell>
          <cell r="B15" t="str">
            <v>不动产收益法-商业</v>
          </cell>
        </row>
        <row r="16">
          <cell r="A16" t="str">
            <v>特殊厂房</v>
          </cell>
          <cell r="B16" t="str">
            <v>不动产收益法-办公</v>
          </cell>
        </row>
        <row r="17">
          <cell r="A17" t="str">
            <v>办公楼</v>
          </cell>
          <cell r="B17" t="str">
            <v>不动产收益法-车库</v>
          </cell>
        </row>
        <row r="18">
          <cell r="A18" t="str">
            <v>宿舍</v>
          </cell>
          <cell r="B18" t="str">
            <v>基准地价（汇总）</v>
          </cell>
        </row>
        <row r="19">
          <cell r="A19" t="str">
            <v>食堂</v>
          </cell>
          <cell r="B19" t="str">
            <v>收益还原法</v>
          </cell>
        </row>
        <row r="20">
          <cell r="A20" t="str">
            <v>车库</v>
          </cell>
          <cell r="B20" t="str">
            <v>不动产收益法-车库</v>
          </cell>
        </row>
        <row r="21">
          <cell r="A21" t="str">
            <v>戊类库房</v>
          </cell>
          <cell r="B21" t="str">
            <v>*</v>
          </cell>
        </row>
        <row r="22">
          <cell r="A22" t="str">
            <v>燃品库房</v>
          </cell>
          <cell r="B22" t="str">
            <v>*</v>
          </cell>
        </row>
        <row r="23">
          <cell r="A23" t="str">
            <v>非燃品库房</v>
          </cell>
          <cell r="B23" t="str">
            <v>*</v>
          </cell>
        </row>
        <row r="24">
          <cell r="A24" t="str">
            <v>——</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抵押价格</v>
          </cell>
        </row>
        <row r="55">
          <cell r="B55" t="str">
            <v>已注销</v>
          </cell>
        </row>
        <row r="56">
          <cell r="B56" t="str">
            <v>已注销及未注销</v>
          </cell>
        </row>
      </sheetData>
      <sheetData sheetId="9">
        <row r="2">
          <cell r="K2" t="str">
            <v>重庆市南岸区涂山镇石溪路出让国有建设用地使用权</v>
          </cell>
        </row>
        <row r="3">
          <cell r="D3">
            <v>43602</v>
          </cell>
        </row>
        <row r="6">
          <cell r="K6"/>
        </row>
        <row r="8">
          <cell r="E8" t="str">
            <v>抵押价格</v>
          </cell>
        </row>
        <row r="9">
          <cell r="E9" t="str">
            <v>——</v>
          </cell>
        </row>
        <row r="16">
          <cell r="B16" t="str">
            <v>出让</v>
          </cell>
        </row>
      </sheetData>
      <sheetData sheetId="10"/>
      <sheetData sheetId="11"/>
      <sheetData sheetId="12"/>
      <sheetData sheetId="13">
        <row r="3">
          <cell r="D3">
            <v>6813</v>
          </cell>
          <cell r="E3">
            <v>29293.370000000003</v>
          </cell>
        </row>
        <row r="17">
          <cell r="C17" t="str">
            <v>项目类型</v>
          </cell>
        </row>
        <row r="19">
          <cell r="C19" t="str">
            <v>住宅</v>
          </cell>
        </row>
        <row r="20">
          <cell r="C20" t="str">
            <v>地下车库</v>
          </cell>
        </row>
        <row r="27">
          <cell r="F27">
            <v>10592.25</v>
          </cell>
        </row>
      </sheetData>
      <sheetData sheetId="14">
        <row r="2">
          <cell r="B2">
            <v>43602</v>
          </cell>
        </row>
        <row r="41">
          <cell r="B41">
            <v>5.6000000000000001E-2</v>
          </cell>
        </row>
        <row r="42">
          <cell r="C42">
            <v>0.05</v>
          </cell>
        </row>
        <row r="43">
          <cell r="B43">
            <v>6.000000000000001E-3</v>
          </cell>
        </row>
        <row r="48">
          <cell r="B48">
            <v>0.03</v>
          </cell>
        </row>
        <row r="49">
          <cell r="B49">
            <v>5.0000000000000001E-4</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sheetData sheetId="16">
        <row r="14">
          <cell r="F14">
            <v>29753</v>
          </cell>
        </row>
        <row r="15">
          <cell r="F15">
            <v>39102</v>
          </cell>
        </row>
        <row r="16">
          <cell r="F16">
            <v>38981</v>
          </cell>
        </row>
        <row r="17">
          <cell r="F17">
            <v>18641</v>
          </cell>
        </row>
        <row r="20">
          <cell r="F20">
            <v>15692</v>
          </cell>
        </row>
      </sheetData>
      <sheetData sheetId="17">
        <row r="44">
          <cell r="C44">
            <v>20271</v>
          </cell>
        </row>
        <row r="45">
          <cell r="C45" t="str">
            <v>——</v>
          </cell>
        </row>
        <row r="46">
          <cell r="C46" t="str">
            <v>——</v>
          </cell>
        </row>
      </sheetData>
      <sheetData sheetId="18">
        <row r="18">
          <cell r="C18">
            <v>7456</v>
          </cell>
        </row>
      </sheetData>
      <sheetData sheetId="19">
        <row r="75">
          <cell r="A75" t="str">
            <v>交易情况</v>
          </cell>
          <cell r="C75" t="str">
            <v>正常</v>
          </cell>
          <cell r="D75" t="str">
            <v>低溢价</v>
          </cell>
        </row>
        <row r="77">
          <cell r="B77" t="str">
            <v>用途</v>
          </cell>
          <cell r="C77" t="str">
            <v>住宅</v>
          </cell>
          <cell r="D77" t="str">
            <v>住宅、商业</v>
          </cell>
        </row>
        <row r="108">
          <cell r="B108" t="str">
            <v>毗邻道路的类型与等级</v>
          </cell>
          <cell r="C108" t="str">
            <v>高速</v>
          </cell>
          <cell r="D108" t="str">
            <v>快速</v>
          </cell>
          <cell r="E108" t="str">
            <v>主</v>
          </cell>
          <cell r="F108" t="str">
            <v>次</v>
          </cell>
          <cell r="G108" t="str">
            <v>支</v>
          </cell>
        </row>
        <row r="110">
          <cell r="B110" t="str">
            <v>土地级别</v>
          </cell>
        </row>
        <row r="121">
          <cell r="B121" t="str">
            <v>宗地形状</v>
          </cell>
          <cell r="C121" t="str">
            <v>规则</v>
          </cell>
          <cell r="D121" t="str">
            <v>较规则</v>
          </cell>
          <cell r="E121" t="str">
            <v>较不规则</v>
          </cell>
          <cell r="F121" t="str">
            <v>不规则</v>
          </cell>
        </row>
        <row r="123">
          <cell r="B123" t="str">
            <v>临街宽度及深度</v>
          </cell>
          <cell r="C123" t="str">
            <v>适宜</v>
          </cell>
          <cell r="D123" t="str">
            <v>较适宜</v>
          </cell>
          <cell r="E123" t="str">
            <v>较不适宜</v>
          </cell>
          <cell r="F123" t="str">
            <v>不适宜</v>
          </cell>
        </row>
        <row r="125">
          <cell r="B125" t="str">
            <v>宗地开发程度</v>
          </cell>
          <cell r="C125" t="str">
            <v>七通</v>
          </cell>
          <cell r="D125" t="str">
            <v>六通</v>
          </cell>
          <cell r="E125" t="str">
            <v>五通</v>
          </cell>
          <cell r="F125" t="str">
            <v>四通</v>
          </cell>
          <cell r="G125" t="str">
            <v>三通</v>
          </cell>
        </row>
        <row r="127">
          <cell r="B127" t="str">
            <v>工程地质条件</v>
          </cell>
          <cell r="C127" t="str">
            <v>好</v>
          </cell>
          <cell r="D127" t="str">
            <v>较好</v>
          </cell>
          <cell r="E127" t="str">
            <v>一般</v>
          </cell>
          <cell r="F127" t="str">
            <v>较差</v>
          </cell>
          <cell r="G127" t="str">
            <v>差</v>
          </cell>
        </row>
      </sheetData>
      <sheetData sheetId="20">
        <row r="72">
          <cell r="B72" t="str">
            <v>用途</v>
          </cell>
        </row>
        <row r="99">
          <cell r="B99" t="str">
            <v>毗邻道路的类型与等级</v>
          </cell>
        </row>
        <row r="101">
          <cell r="B101" t="str">
            <v>土地级别</v>
          </cell>
        </row>
        <row r="112">
          <cell r="B112" t="str">
            <v>宗地形状</v>
          </cell>
        </row>
        <row r="114">
          <cell r="B114" t="str">
            <v>宗地开发程度</v>
          </cell>
        </row>
        <row r="116">
          <cell r="B116" t="str">
            <v>工程地质条件</v>
          </cell>
        </row>
      </sheetData>
      <sheetData sheetId="21"/>
      <sheetData sheetId="2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sheetData>
      <sheetData sheetId="23"/>
      <sheetData sheetId="24"/>
      <sheetData sheetId="25"/>
      <sheetData sheetId="26"/>
      <sheetData sheetId="27"/>
      <sheetData sheetId="28"/>
      <sheetData sheetId="29"/>
      <sheetData sheetId="30">
        <row r="18">
          <cell r="C18">
            <v>7456</v>
          </cell>
        </row>
      </sheetData>
      <sheetData sheetId="31">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联排</v>
          </cell>
          <cell r="D100" t="str">
            <v>洋房</v>
          </cell>
          <cell r="E100" t="str">
            <v>高层</v>
          </cell>
        </row>
        <row r="105">
          <cell r="B105" t="str">
            <v>建筑结构</v>
          </cell>
          <cell r="C105" t="str">
            <v>钢</v>
          </cell>
          <cell r="D105" t="str">
            <v>钢混</v>
          </cell>
          <cell r="E105" t="str">
            <v>砖混</v>
          </cell>
        </row>
        <row r="107">
          <cell r="B107" t="str">
            <v>建筑品质</v>
          </cell>
          <cell r="C107" t="str">
            <v>高档</v>
          </cell>
          <cell r="D107" t="str">
            <v>中档</v>
          </cell>
        </row>
        <row r="109">
          <cell r="B109" t="str">
            <v>公共部分装修</v>
          </cell>
          <cell r="C109" t="str">
            <v>精装修</v>
          </cell>
          <cell r="D109" t="str">
            <v>普通装修</v>
          </cell>
          <cell r="E109" t="str">
            <v>简单装修</v>
          </cell>
          <cell r="F109" t="str">
            <v>毛坯</v>
          </cell>
        </row>
        <row r="114">
          <cell r="B114" t="str">
            <v>物业管理</v>
          </cell>
          <cell r="C114" t="str">
            <v>专业</v>
          </cell>
          <cell r="D114" t="str">
            <v>普通</v>
          </cell>
        </row>
        <row r="116">
          <cell r="B116" t="str">
            <v>市政基础设施</v>
          </cell>
          <cell r="C116" t="str">
            <v>七通</v>
          </cell>
          <cell r="D116" t="str">
            <v>六通</v>
          </cell>
          <cell r="E116" t="str">
            <v>五通</v>
          </cell>
          <cell r="F116" t="str">
            <v>四通</v>
          </cell>
          <cell r="G116" t="str">
            <v>三通</v>
          </cell>
        </row>
        <row r="118">
          <cell r="B118" t="str">
            <v>房型</v>
          </cell>
        </row>
        <row r="122">
          <cell r="B122" t="str">
            <v>内部装修</v>
          </cell>
          <cell r="C122" t="str">
            <v>精装修</v>
          </cell>
          <cell r="D122" t="str">
            <v>普通装修</v>
          </cell>
          <cell r="E122" t="str">
            <v>简单装修</v>
          </cell>
          <cell r="F122" t="str">
            <v>毛坯</v>
          </cell>
        </row>
      </sheetData>
      <sheetData sheetId="3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3"/>
      <sheetData sheetId="34"/>
      <sheetData sheetId="35"/>
      <sheetData sheetId="36">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7">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8">
        <row r="51">
          <cell r="A51" t="str">
            <v>交易情况</v>
          </cell>
          <cell r="C51" t="str">
            <v>正常</v>
          </cell>
        </row>
        <row r="53">
          <cell r="B53" t="str">
            <v>用途</v>
          </cell>
          <cell r="C53" t="str">
            <v>车库</v>
          </cell>
        </row>
        <row r="71">
          <cell r="B71" t="str">
            <v>楼层</v>
          </cell>
          <cell r="C71" t="str">
            <v>地下</v>
          </cell>
          <cell r="D71" t="str">
            <v>地上</v>
          </cell>
        </row>
        <row r="79">
          <cell r="B79" t="str">
            <v>配套类型（地上主用途）</v>
          </cell>
          <cell r="C79" t="str">
            <v>住宅</v>
          </cell>
        </row>
        <row r="83">
          <cell r="B83" t="str">
            <v>公共部分装修</v>
          </cell>
          <cell r="C83" t="str">
            <v>精装修</v>
          </cell>
          <cell r="D83" t="str">
            <v>普通装修</v>
          </cell>
          <cell r="E83" t="str">
            <v>简单装修</v>
          </cell>
          <cell r="F83" t="str">
            <v>毛坯</v>
          </cell>
        </row>
        <row r="88">
          <cell r="B88" t="str">
            <v>物业等级</v>
          </cell>
          <cell r="C88" t="str">
            <v>专业</v>
          </cell>
          <cell r="D88" t="str">
            <v>普通</v>
          </cell>
        </row>
        <row r="93">
          <cell r="B93" t="str">
            <v>车位类型</v>
          </cell>
        </row>
        <row r="95">
          <cell r="B95" t="str">
            <v>是否直接入户</v>
          </cell>
          <cell r="C95" t="str">
            <v>是</v>
          </cell>
          <cell r="D95" t="str">
            <v>否</v>
          </cell>
        </row>
      </sheetData>
      <sheetData sheetId="39">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40">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1"/>
      <sheetData sheetId="42">
        <row r="6">
          <cell r="C6">
            <v>22838</v>
          </cell>
        </row>
        <row r="10">
          <cell r="C10">
            <v>38270.76</v>
          </cell>
        </row>
        <row r="12">
          <cell r="C12">
            <v>23925</v>
          </cell>
        </row>
        <row r="16">
          <cell r="C16">
            <v>9367</v>
          </cell>
        </row>
      </sheetData>
      <sheetData sheetId="43">
        <row r="12">
          <cell r="F12">
            <v>59500</v>
          </cell>
        </row>
        <row r="14">
          <cell r="F14">
            <v>3450</v>
          </cell>
        </row>
        <row r="17">
          <cell r="F17">
            <v>300</v>
          </cell>
        </row>
        <row r="18">
          <cell r="F18">
            <v>25</v>
          </cell>
        </row>
        <row r="25">
          <cell r="F25">
            <v>59700</v>
          </cell>
        </row>
        <row r="26">
          <cell r="F26">
            <v>300</v>
          </cell>
        </row>
        <row r="27">
          <cell r="F27">
            <v>1275</v>
          </cell>
        </row>
        <row r="28">
          <cell r="F28">
            <v>40000</v>
          </cell>
        </row>
      </sheetData>
      <sheetData sheetId="44">
        <row r="12">
          <cell r="F12">
            <v>51750</v>
          </cell>
        </row>
        <row r="16">
          <cell r="F16">
            <v>500</v>
          </cell>
        </row>
        <row r="17">
          <cell r="F17">
            <v>270</v>
          </cell>
        </row>
        <row r="18">
          <cell r="F18">
            <v>20</v>
          </cell>
        </row>
        <row r="19">
          <cell r="F19">
            <v>900</v>
          </cell>
        </row>
        <row r="24">
          <cell r="F24">
            <v>580</v>
          </cell>
        </row>
        <row r="25">
          <cell r="F25">
            <v>19600</v>
          </cell>
        </row>
        <row r="26">
          <cell r="F26">
            <v>400</v>
          </cell>
        </row>
        <row r="27">
          <cell r="F27">
            <v>1470</v>
          </cell>
        </row>
      </sheetData>
      <sheetData sheetId="45">
        <row r="12">
          <cell r="F12">
            <v>6512</v>
          </cell>
        </row>
        <row r="17">
          <cell r="F17">
            <v>50</v>
          </cell>
        </row>
        <row r="18">
          <cell r="F18">
            <v>20</v>
          </cell>
        </row>
        <row r="24">
          <cell r="F24">
            <v>3160</v>
          </cell>
        </row>
        <row r="25">
          <cell r="F25">
            <v>6000</v>
          </cell>
        </row>
        <row r="26">
          <cell r="F26">
            <v>300</v>
          </cell>
        </row>
      </sheetData>
      <sheetData sheetId="46">
        <row r="12">
          <cell r="F12">
            <v>66390</v>
          </cell>
        </row>
        <row r="14">
          <cell r="F14">
            <v>3450</v>
          </cell>
        </row>
        <row r="17">
          <cell r="F17">
            <v>350</v>
          </cell>
        </row>
        <row r="18">
          <cell r="F18">
            <v>20</v>
          </cell>
        </row>
        <row r="25">
          <cell r="F25">
            <v>52000</v>
          </cell>
        </row>
        <row r="26">
          <cell r="F26">
            <v>900</v>
          </cell>
        </row>
        <row r="27">
          <cell r="F27">
            <v>610</v>
          </cell>
        </row>
        <row r="28">
          <cell r="F28">
            <v>20000</v>
          </cell>
        </row>
      </sheetData>
      <sheetData sheetId="47">
        <row r="12">
          <cell r="F12">
            <v>177110</v>
          </cell>
        </row>
        <row r="17">
          <cell r="F17">
            <v>770</v>
          </cell>
        </row>
        <row r="18">
          <cell r="F18">
            <v>105</v>
          </cell>
        </row>
        <row r="24">
          <cell r="F24">
            <v>12665</v>
          </cell>
        </row>
        <row r="25">
          <cell r="F25">
            <v>93700</v>
          </cell>
        </row>
        <row r="26">
          <cell r="F26">
            <v>1250</v>
          </cell>
        </row>
        <row r="27">
          <cell r="F27">
            <v>3650</v>
          </cell>
        </row>
      </sheetData>
      <sheetData sheetId="48">
        <row r="12">
          <cell r="F12">
            <v>26525</v>
          </cell>
        </row>
        <row r="17">
          <cell r="F17">
            <v>465</v>
          </cell>
        </row>
        <row r="18">
          <cell r="F18">
            <v>60</v>
          </cell>
        </row>
        <row r="21">
          <cell r="F21">
            <v>100</v>
          </cell>
        </row>
        <row r="22">
          <cell r="F22">
            <v>500</v>
          </cell>
        </row>
        <row r="23">
          <cell r="F23">
            <v>560</v>
          </cell>
        </row>
        <row r="24">
          <cell r="F24">
            <v>62147</v>
          </cell>
        </row>
        <row r="25">
          <cell r="F25">
            <v>66100</v>
          </cell>
        </row>
        <row r="26">
          <cell r="F26">
            <v>1100</v>
          </cell>
        </row>
        <row r="27">
          <cell r="F27">
            <v>980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6" sqref="D26"/>
    </sheetView>
  </sheetViews>
  <sheetFormatPr defaultColWidth="14.625" defaultRowHeight="13.5"/>
  <cols>
    <col min="1" max="1" width="24.375" style="3" customWidth="1"/>
    <col min="2" max="16384" width="14.625" style="3"/>
  </cols>
  <sheetData>
    <row r="1" spans="1:9" ht="16.5">
      <c r="A1" s="1" t="s">
        <v>0</v>
      </c>
      <c r="B1" s="1">
        <f>SUM(B14:B23)</f>
        <v>332137.10000000003</v>
      </c>
      <c r="C1" s="2"/>
      <c r="D1" s="2"/>
      <c r="E1" s="2"/>
      <c r="F1" s="2"/>
    </row>
    <row r="2" spans="1:9" ht="16.5">
      <c r="A2" s="1" t="s">
        <v>1</v>
      </c>
      <c r="B2" s="1">
        <f>SUM(C14:C23)</f>
        <v>93332.06</v>
      </c>
      <c r="C2" s="2"/>
      <c r="D2" s="2"/>
      <c r="E2" s="2"/>
      <c r="F2" s="2"/>
    </row>
    <row r="3" spans="1:9" ht="16.5">
      <c r="A3" s="1" t="s">
        <v>2</v>
      </c>
      <c r="B3" s="4">
        <f>[1]项目基本情况!D3</f>
        <v>43602</v>
      </c>
      <c r="C3" s="2"/>
      <c r="D3" s="2"/>
      <c r="E3" s="2"/>
      <c r="F3" s="2"/>
    </row>
    <row r="4" spans="1:9" ht="33">
      <c r="A4" s="1" t="s">
        <v>3</v>
      </c>
      <c r="B4" s="1" t="s">
        <v>4</v>
      </c>
      <c r="C4" s="1" t="s">
        <v>5</v>
      </c>
      <c r="D4" s="1" t="s">
        <v>6</v>
      </c>
      <c r="E4" s="2"/>
      <c r="F4" s="2"/>
    </row>
    <row r="5" spans="1:9" ht="16.5">
      <c r="A5" s="1" t="s">
        <v>7</v>
      </c>
      <c r="B5" s="1">
        <f>SUM(D14:D23)</f>
        <v>218788</v>
      </c>
      <c r="C5" s="1">
        <f>ROUND(B5*10000/$B$1,0)</f>
        <v>6587</v>
      </c>
      <c r="D5" s="1">
        <f>ROUND(B5*10000/$B$2,0)</f>
        <v>23442</v>
      </c>
      <c r="E5" s="2"/>
      <c r="F5" s="2"/>
    </row>
    <row r="6" spans="1:9" ht="16.5">
      <c r="A6" s="1" t="s">
        <v>8</v>
      </c>
      <c r="B6" s="1">
        <f>SUM(G14:G23)</f>
        <v>20271</v>
      </c>
      <c r="C6" s="1">
        <f t="shared" ref="C6:C8" si="0">ROUND(B6*10000/$B$1,0)</f>
        <v>610</v>
      </c>
      <c r="D6" s="1">
        <f t="shared" ref="D6:D8" si="1">ROUND(B6*10000/$B$2,0)</f>
        <v>2172</v>
      </c>
      <c r="E6" s="2"/>
      <c r="F6" s="2"/>
    </row>
    <row r="7" spans="1:9" ht="16.5">
      <c r="A7" s="1" t="s">
        <v>9</v>
      </c>
      <c r="B7" s="1">
        <f>SUM(H14:H23)</f>
        <v>0</v>
      </c>
      <c r="C7" s="1">
        <f t="shared" si="0"/>
        <v>0</v>
      </c>
      <c r="D7" s="1">
        <f t="shared" si="1"/>
        <v>0</v>
      </c>
      <c r="E7" s="2"/>
      <c r="F7" s="2"/>
    </row>
    <row r="8" spans="1:9" ht="16.5">
      <c r="A8" s="1" t="s">
        <v>10</v>
      </c>
      <c r="B8" s="1">
        <f>SUM(I14:I23)</f>
        <v>0</v>
      </c>
      <c r="C8" s="1">
        <f t="shared" si="0"/>
        <v>0</v>
      </c>
      <c r="D8" s="1">
        <f t="shared" si="1"/>
        <v>0</v>
      </c>
      <c r="E8" s="2"/>
      <c r="F8" s="2"/>
    </row>
    <row r="9" spans="1:9" ht="16.5">
      <c r="A9" s="1" t="s">
        <v>11</v>
      </c>
      <c r="B9" s="5"/>
      <c r="C9" s="2"/>
      <c r="D9" s="2"/>
      <c r="E9" s="2"/>
      <c r="F9" s="2"/>
    </row>
    <row r="10" spans="1:9" ht="16.5">
      <c r="A10" s="1" t="s">
        <v>12</v>
      </c>
      <c r="B10" s="5"/>
      <c r="C10" s="2"/>
      <c r="D10" s="2"/>
      <c r="E10" s="2"/>
      <c r="F10" s="2"/>
    </row>
    <row r="11" spans="1:9" ht="16.5">
      <c r="A11" s="1" t="s">
        <v>13</v>
      </c>
      <c r="B11" s="5"/>
      <c r="C11" s="2"/>
      <c r="D11" s="2"/>
      <c r="E11" s="2"/>
      <c r="F11" s="2"/>
    </row>
    <row r="12" spans="1:9" ht="16.5">
      <c r="A12" s="2"/>
      <c r="B12" s="2"/>
      <c r="C12" s="2"/>
      <c r="D12" s="2"/>
      <c r="E12" s="2"/>
      <c r="F12" s="2"/>
    </row>
    <row r="13" spans="1:9" ht="33">
      <c r="A13" s="6" t="s">
        <v>14</v>
      </c>
      <c r="B13" s="7" t="s">
        <v>0</v>
      </c>
      <c r="C13" s="7" t="s">
        <v>1</v>
      </c>
      <c r="D13" s="7" t="s">
        <v>15</v>
      </c>
      <c r="E13" s="1" t="s">
        <v>16</v>
      </c>
      <c r="F13" s="1" t="s">
        <v>6</v>
      </c>
      <c r="G13" s="7" t="s">
        <v>17</v>
      </c>
      <c r="H13" s="7" t="s">
        <v>18</v>
      </c>
      <c r="I13" s="7" t="s">
        <v>19</v>
      </c>
    </row>
    <row r="14" spans="1:9" ht="16.5">
      <c r="A14" s="8" t="s">
        <v>20</v>
      </c>
      <c r="B14" s="7">
        <f>面积表!Q11</f>
        <v>332137.10000000003</v>
      </c>
      <c r="C14" s="7">
        <f>面积表!N11</f>
        <v>93332.06</v>
      </c>
      <c r="D14" s="7">
        <f>结果表!G19</f>
        <v>218788</v>
      </c>
      <c r="E14" s="7">
        <f>ROUND(D14*10000/B14,0)</f>
        <v>6587</v>
      </c>
      <c r="F14" s="7">
        <f>ROUND(D14*10000/C14,0)</f>
        <v>23442</v>
      </c>
      <c r="G14" s="7">
        <f>[1]结果表!C44</f>
        <v>20271</v>
      </c>
      <c r="H14" s="7" t="str">
        <f>[1]结果表!C45</f>
        <v>——</v>
      </c>
      <c r="I14" s="7" t="str">
        <f>[1]结果表!C46</f>
        <v>——</v>
      </c>
    </row>
    <row r="15" spans="1:9" ht="16.5">
      <c r="A15" s="8" t="s">
        <v>21</v>
      </c>
      <c r="B15" s="9"/>
      <c r="C15" s="9"/>
      <c r="D15" s="9"/>
      <c r="E15" s="7" t="e">
        <f t="shared" ref="E15:E23" si="2">ROUND(D15*10000/B15,0)</f>
        <v>#DIV/0!</v>
      </c>
      <c r="F15" s="7" t="e">
        <f t="shared" ref="F15:F23" si="3">ROUND(D15*10000/C15,0)</f>
        <v>#DIV/0!</v>
      </c>
      <c r="G15" s="10"/>
      <c r="H15" s="10"/>
      <c r="I15" s="9"/>
    </row>
    <row r="16" spans="1:9" ht="16.5">
      <c r="A16" s="8" t="s">
        <v>22</v>
      </c>
      <c r="B16" s="9"/>
      <c r="C16" s="9"/>
      <c r="D16" s="9"/>
      <c r="E16" s="7" t="e">
        <f t="shared" si="2"/>
        <v>#DIV/0!</v>
      </c>
      <c r="F16" s="7" t="e">
        <f t="shared" si="3"/>
        <v>#DIV/0!</v>
      </c>
      <c r="G16" s="10"/>
      <c r="H16" s="10"/>
      <c r="I16" s="9"/>
    </row>
    <row r="17" spans="1:9" ht="16.5">
      <c r="A17" s="8" t="s">
        <v>23</v>
      </c>
      <c r="B17" s="9"/>
      <c r="C17" s="9"/>
      <c r="D17" s="9"/>
      <c r="E17" s="7" t="e">
        <f t="shared" si="2"/>
        <v>#DIV/0!</v>
      </c>
      <c r="F17" s="7" t="e">
        <f t="shared" si="3"/>
        <v>#DIV/0!</v>
      </c>
      <c r="G17" s="10"/>
      <c r="H17" s="10"/>
      <c r="I17" s="9"/>
    </row>
    <row r="18" spans="1:9" ht="16.5">
      <c r="A18" s="8" t="s">
        <v>24</v>
      </c>
      <c r="B18" s="9"/>
      <c r="C18" s="9"/>
      <c r="D18" s="9"/>
      <c r="E18" s="7" t="e">
        <f t="shared" si="2"/>
        <v>#DIV/0!</v>
      </c>
      <c r="F18" s="7" t="e">
        <f t="shared" si="3"/>
        <v>#DIV/0!</v>
      </c>
      <c r="G18" s="9"/>
      <c r="H18" s="9"/>
      <c r="I18" s="9"/>
    </row>
    <row r="19" spans="1:9" ht="16.5">
      <c r="A19" s="8" t="s">
        <v>25</v>
      </c>
      <c r="B19" s="9"/>
      <c r="C19" s="9"/>
      <c r="D19" s="9"/>
      <c r="E19" s="7" t="e">
        <f t="shared" si="2"/>
        <v>#DIV/0!</v>
      </c>
      <c r="F19" s="7" t="e">
        <f t="shared" si="3"/>
        <v>#DIV/0!</v>
      </c>
      <c r="G19" s="9"/>
      <c r="H19" s="9"/>
      <c r="I19" s="9"/>
    </row>
    <row r="20" spans="1:9" ht="16.5">
      <c r="A20" s="8" t="s">
        <v>26</v>
      </c>
      <c r="B20" s="9"/>
      <c r="C20" s="9"/>
      <c r="D20" s="9"/>
      <c r="E20" s="7" t="e">
        <f t="shared" si="2"/>
        <v>#DIV/0!</v>
      </c>
      <c r="F20" s="7" t="e">
        <f t="shared" si="3"/>
        <v>#DIV/0!</v>
      </c>
      <c r="G20" s="9"/>
      <c r="H20" s="9"/>
      <c r="I20" s="9"/>
    </row>
    <row r="21" spans="1:9" ht="16.5">
      <c r="A21" s="8" t="s">
        <v>27</v>
      </c>
      <c r="B21" s="9"/>
      <c r="C21" s="9"/>
      <c r="D21" s="9"/>
      <c r="E21" s="7" t="e">
        <f t="shared" si="2"/>
        <v>#DIV/0!</v>
      </c>
      <c r="F21" s="7" t="e">
        <f t="shared" si="3"/>
        <v>#DIV/0!</v>
      </c>
      <c r="G21" s="9"/>
      <c r="H21" s="9"/>
      <c r="I21" s="9"/>
    </row>
    <row r="22" spans="1:9" ht="16.5">
      <c r="A22" s="8" t="s">
        <v>28</v>
      </c>
      <c r="B22" s="9"/>
      <c r="C22" s="9"/>
      <c r="D22" s="9"/>
      <c r="E22" s="7" t="e">
        <f t="shared" si="2"/>
        <v>#DIV/0!</v>
      </c>
      <c r="F22" s="7" t="e">
        <f t="shared" si="3"/>
        <v>#DIV/0!</v>
      </c>
      <c r="G22" s="9"/>
      <c r="H22" s="9"/>
      <c r="I22" s="9"/>
    </row>
    <row r="23" spans="1:9" ht="16.5">
      <c r="A23" s="8" t="s">
        <v>29</v>
      </c>
      <c r="B23" s="9"/>
      <c r="C23" s="9"/>
      <c r="D23" s="9"/>
      <c r="E23" s="1" t="e">
        <f t="shared" si="2"/>
        <v>#DIV/0!</v>
      </c>
      <c r="F23" s="1" t="e">
        <f t="shared" si="3"/>
        <v>#DIV/0!</v>
      </c>
      <c r="G23" s="9"/>
      <c r="H23" s="9"/>
      <c r="I23" s="9"/>
    </row>
  </sheetData>
  <sheetProtection formatCells="0" formatColumns="0" formatRows="0"/>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206"/>
  <sheetViews>
    <sheetView view="pageBreakPreview" zoomScaleNormal="100" zoomScaleSheetLayoutView="100" zoomScalePageLayoutView="80" workbookViewId="0">
      <selection activeCell="G19" sqref="G19"/>
    </sheetView>
  </sheetViews>
  <sheetFormatPr defaultColWidth="12.625" defaultRowHeight="21.75" customHeight="1"/>
  <cols>
    <col min="1" max="2" width="12.75" style="30" bestFit="1" customWidth="1"/>
    <col min="3" max="4" width="12.625" style="30" customWidth="1"/>
    <col min="5" max="9" width="12.75" style="30" bestFit="1" customWidth="1"/>
    <col min="10" max="10" width="2.25" style="18" customWidth="1"/>
    <col min="11" max="12" width="12.625" style="18" customWidth="1"/>
    <col min="13" max="13" width="12.625" style="18"/>
    <col min="14" max="14" width="15.625" style="18" bestFit="1" customWidth="1"/>
    <col min="15" max="19" width="12.75" style="18" bestFit="1" customWidth="1"/>
    <col min="20" max="26" width="12.625" style="18"/>
    <col min="27" max="16384" width="12.625" style="30"/>
  </cols>
  <sheetData>
    <row r="1" spans="1:22" ht="21.75" customHeight="1" thickBot="1">
      <c r="A1" s="11" t="s">
        <v>30</v>
      </c>
      <c r="B1" s="12"/>
      <c r="C1" s="13" t="s">
        <v>31</v>
      </c>
      <c r="D1" s="14" t="s">
        <v>32</v>
      </c>
      <c r="E1" s="13" t="s">
        <v>33</v>
      </c>
      <c r="F1" s="15"/>
      <c r="G1" s="16"/>
      <c r="H1" s="16"/>
      <c r="I1" s="16"/>
      <c r="J1" s="17"/>
      <c r="K1" s="17"/>
      <c r="L1" s="17"/>
      <c r="M1" s="17"/>
      <c r="N1" s="17"/>
      <c r="O1" s="17"/>
      <c r="P1" s="17"/>
      <c r="Q1" s="17"/>
      <c r="R1" s="17"/>
      <c r="S1" s="17"/>
      <c r="T1" s="17"/>
      <c r="U1" s="17"/>
      <c r="V1" s="17"/>
    </row>
    <row r="2" spans="1:22" ht="21.75" customHeight="1" thickBot="1">
      <c r="A2" s="440" t="str">
        <f>[1]项目基本情况!K2</f>
        <v>重庆市南岸区涂山镇石溪路出让国有建设用地使用权</v>
      </c>
      <c r="B2" s="441"/>
      <c r="C2" s="442"/>
      <c r="D2" s="442"/>
      <c r="E2" s="442"/>
      <c r="F2" s="442"/>
      <c r="G2" s="441"/>
      <c r="H2" s="441"/>
      <c r="I2" s="443"/>
      <c r="J2" s="19"/>
      <c r="K2" s="17"/>
      <c r="L2" s="17"/>
      <c r="M2" s="17"/>
      <c r="N2" s="17"/>
      <c r="O2" s="17"/>
      <c r="P2" s="17"/>
      <c r="Q2" s="17"/>
      <c r="R2" s="17"/>
      <c r="S2" s="17"/>
      <c r="T2" s="17"/>
      <c r="U2" s="17"/>
      <c r="V2" s="17"/>
    </row>
    <row r="3" spans="1:22" ht="14.25">
      <c r="A3" s="444" t="s">
        <v>34</v>
      </c>
      <c r="B3" s="445"/>
      <c r="C3" s="445"/>
      <c r="D3" s="445"/>
      <c r="E3" s="445"/>
      <c r="F3" s="445"/>
      <c r="G3" s="445"/>
      <c r="H3" s="445"/>
      <c r="I3" s="445"/>
      <c r="J3" s="19"/>
      <c r="K3" s="17"/>
      <c r="L3" s="17"/>
      <c r="M3" s="17"/>
      <c r="N3" s="17"/>
      <c r="O3" s="17"/>
      <c r="P3" s="17"/>
      <c r="Q3" s="17"/>
      <c r="R3" s="17"/>
      <c r="S3" s="17"/>
      <c r="T3" s="17"/>
      <c r="U3" s="17"/>
      <c r="V3" s="17"/>
    </row>
    <row r="4" spans="1:22" ht="14.25">
      <c r="A4" s="20" t="s">
        <v>35</v>
      </c>
      <c r="B4" s="21" t="s">
        <v>36</v>
      </c>
      <c r="C4" s="22" t="s">
        <v>37</v>
      </c>
      <c r="D4" s="22" t="s">
        <v>38</v>
      </c>
      <c r="E4" s="391" t="s">
        <v>39</v>
      </c>
      <c r="F4" s="393"/>
      <c r="G4" s="393"/>
      <c r="H4" s="393"/>
      <c r="I4" s="392"/>
      <c r="J4" s="19"/>
      <c r="K4" s="17"/>
      <c r="L4" s="23" t="str">
        <f>IF(ISNUMBER(FIND("比较法",C4)),"比较法",IF(ISNUMBER(FIND("成本法",C4)),"成本法",IF(ISNUMBER(FIND("剩余法",C4)),"剩余法",IF(ISNUMBER(FIND("收益法",C4)),"收益法","基准地价系数修正法"))))</f>
        <v>剩余法</v>
      </c>
      <c r="M4" s="23" t="str">
        <f>IF(ISNUMBER(FIND("比较法",D4)),"比较法",IF(ISNUMBER(FIND("成本法",D4)),"成本法",IF(ISNUMBER(FIND("剩余法",D4)),"剩余法",IF(ISNUMBER(FIND("收益法",D4)),"收益法","基准地价系数修正法"))))</f>
        <v>比较法</v>
      </c>
      <c r="N4" s="17"/>
      <c r="O4" s="17"/>
      <c r="P4" s="17"/>
      <c r="Q4" s="17"/>
      <c r="R4" s="17"/>
      <c r="S4" s="17"/>
      <c r="T4" s="17"/>
      <c r="U4" s="17"/>
      <c r="V4" s="17"/>
    </row>
    <row r="5" spans="1:22" ht="14.25">
      <c r="A5" s="431" t="s">
        <v>40</v>
      </c>
      <c r="B5" s="432">
        <v>25</v>
      </c>
      <c r="C5" s="433"/>
      <c r="D5" s="435"/>
      <c r="E5" s="24" t="s">
        <v>41</v>
      </c>
      <c r="F5" s="25"/>
      <c r="G5" s="25"/>
      <c r="H5" s="25"/>
      <c r="I5" s="26"/>
      <c r="J5" s="19"/>
      <c r="K5" s="17"/>
      <c r="L5" s="17"/>
      <c r="M5" s="17"/>
      <c r="N5" s="17"/>
      <c r="O5" s="17"/>
      <c r="P5" s="17"/>
      <c r="Q5" s="17"/>
      <c r="R5" s="17"/>
      <c r="S5" s="17"/>
      <c r="T5" s="17"/>
      <c r="U5" s="17"/>
      <c r="V5" s="17"/>
    </row>
    <row r="6" spans="1:22" ht="14.25">
      <c r="A6" s="431"/>
      <c r="B6" s="432"/>
      <c r="C6" s="446"/>
      <c r="D6" s="435"/>
      <c r="E6" s="24" t="s">
        <v>42</v>
      </c>
      <c r="F6" s="25"/>
      <c r="G6" s="25"/>
      <c r="H6" s="25"/>
      <c r="I6" s="26"/>
      <c r="J6" s="19"/>
      <c r="K6" s="17"/>
      <c r="L6" s="17"/>
      <c r="M6" s="17"/>
      <c r="N6" s="17"/>
      <c r="O6" s="17"/>
      <c r="P6" s="17"/>
      <c r="Q6" s="17"/>
      <c r="R6" s="17"/>
      <c r="S6" s="17"/>
      <c r="T6" s="17"/>
      <c r="U6" s="17"/>
      <c r="V6" s="17"/>
    </row>
    <row r="7" spans="1:22" ht="14.25">
      <c r="A7" s="431"/>
      <c r="B7" s="432"/>
      <c r="C7" s="434"/>
      <c r="D7" s="435"/>
      <c r="E7" s="24" t="s">
        <v>43</v>
      </c>
      <c r="F7" s="25"/>
      <c r="G7" s="25"/>
      <c r="H7" s="25"/>
      <c r="I7" s="26"/>
      <c r="J7" s="19"/>
      <c r="K7" s="17"/>
      <c r="L7" s="17"/>
      <c r="M7" s="17"/>
      <c r="N7" s="17"/>
      <c r="O7" s="17"/>
      <c r="P7" s="17"/>
      <c r="Q7" s="17"/>
      <c r="R7" s="17"/>
      <c r="S7" s="17"/>
      <c r="T7" s="17"/>
      <c r="U7" s="17"/>
      <c r="V7" s="17"/>
    </row>
    <row r="8" spans="1:22" ht="14.25">
      <c r="A8" s="431" t="s">
        <v>44</v>
      </c>
      <c r="B8" s="432">
        <v>15</v>
      </c>
      <c r="C8" s="433"/>
      <c r="D8" s="435"/>
      <c r="E8" s="24" t="s">
        <v>45</v>
      </c>
      <c r="F8" s="25"/>
      <c r="G8" s="25"/>
      <c r="H8" s="25"/>
      <c r="I8" s="26"/>
      <c r="J8" s="19"/>
      <c r="K8" s="17"/>
      <c r="L8" s="17"/>
      <c r="M8" s="17"/>
      <c r="N8" s="17"/>
      <c r="O8" s="17"/>
      <c r="P8" s="17"/>
      <c r="Q8" s="17"/>
      <c r="R8" s="17"/>
      <c r="S8" s="17"/>
      <c r="T8" s="17"/>
      <c r="U8" s="17"/>
      <c r="V8" s="17"/>
    </row>
    <row r="9" spans="1:22" ht="14.25">
      <c r="A9" s="431"/>
      <c r="B9" s="432"/>
      <c r="C9" s="434"/>
      <c r="D9" s="435"/>
      <c r="E9" s="24" t="s">
        <v>46</v>
      </c>
      <c r="F9" s="25"/>
      <c r="G9" s="25"/>
      <c r="H9" s="25"/>
      <c r="I9" s="26"/>
      <c r="J9" s="19"/>
      <c r="K9" s="17"/>
      <c r="L9" s="17"/>
      <c r="M9" s="17"/>
      <c r="N9" s="17"/>
      <c r="O9" s="17"/>
      <c r="P9" s="17"/>
      <c r="Q9" s="17"/>
      <c r="R9" s="17"/>
      <c r="S9" s="17"/>
      <c r="T9" s="17"/>
      <c r="U9" s="17"/>
      <c r="V9" s="17"/>
    </row>
    <row r="10" spans="1:22" ht="14.25">
      <c r="A10" s="431" t="s">
        <v>47</v>
      </c>
      <c r="B10" s="432">
        <v>15</v>
      </c>
      <c r="C10" s="433"/>
      <c r="D10" s="435"/>
      <c r="E10" s="24" t="s">
        <v>48</v>
      </c>
      <c r="F10" s="25"/>
      <c r="G10" s="25"/>
      <c r="H10" s="25"/>
      <c r="I10" s="26"/>
      <c r="J10" s="19"/>
      <c r="K10" s="17"/>
      <c r="L10" s="17"/>
      <c r="M10" s="17"/>
      <c r="N10" s="17"/>
      <c r="O10" s="17"/>
      <c r="P10" s="17"/>
      <c r="Q10" s="17"/>
      <c r="R10" s="17"/>
      <c r="S10" s="17"/>
      <c r="T10" s="17"/>
      <c r="U10" s="17"/>
      <c r="V10" s="17"/>
    </row>
    <row r="11" spans="1:22" ht="14.25">
      <c r="A11" s="431"/>
      <c r="B11" s="432"/>
      <c r="C11" s="434"/>
      <c r="D11" s="435"/>
      <c r="E11" s="24" t="s">
        <v>49</v>
      </c>
      <c r="F11" s="25"/>
      <c r="G11" s="25"/>
      <c r="H11" s="25"/>
      <c r="I11" s="26"/>
      <c r="J11" s="19"/>
      <c r="K11" s="17"/>
      <c r="L11" s="17"/>
      <c r="M11" s="17"/>
      <c r="N11" s="17"/>
      <c r="O11" s="17"/>
      <c r="P11" s="17"/>
      <c r="Q11" s="17"/>
      <c r="R11" s="17"/>
      <c r="S11" s="17"/>
      <c r="T11" s="17"/>
      <c r="U11" s="17"/>
      <c r="V11" s="17"/>
    </row>
    <row r="12" spans="1:22" ht="14.25">
      <c r="A12" s="431" t="s">
        <v>50</v>
      </c>
      <c r="B12" s="432">
        <v>15</v>
      </c>
      <c r="C12" s="433"/>
      <c r="D12" s="435"/>
      <c r="E12" s="24" t="s">
        <v>51</v>
      </c>
      <c r="F12" s="25"/>
      <c r="G12" s="25"/>
      <c r="H12" s="25"/>
      <c r="I12" s="26"/>
      <c r="J12" s="19"/>
      <c r="K12" s="17"/>
      <c r="L12" s="17"/>
      <c r="M12" s="17"/>
      <c r="N12" s="17"/>
      <c r="O12" s="17"/>
      <c r="P12" s="17"/>
      <c r="Q12" s="17"/>
      <c r="R12" s="17"/>
      <c r="S12" s="17"/>
      <c r="T12" s="17"/>
      <c r="U12" s="17"/>
      <c r="V12" s="17"/>
    </row>
    <row r="13" spans="1:22" ht="14.25">
      <c r="A13" s="431"/>
      <c r="B13" s="432"/>
      <c r="C13" s="434"/>
      <c r="D13" s="435"/>
      <c r="E13" s="24" t="s">
        <v>52</v>
      </c>
      <c r="F13" s="25"/>
      <c r="G13" s="25"/>
      <c r="H13" s="25"/>
      <c r="I13" s="26"/>
      <c r="J13" s="19"/>
      <c r="K13" s="17"/>
      <c r="L13" s="17"/>
      <c r="M13" s="17"/>
      <c r="N13" s="17"/>
      <c r="O13" s="17"/>
      <c r="P13" s="17"/>
      <c r="Q13" s="17"/>
      <c r="R13" s="17"/>
      <c r="S13" s="17"/>
      <c r="T13" s="17"/>
      <c r="U13" s="17"/>
      <c r="V13" s="17"/>
    </row>
    <row r="14" spans="1:22" ht="14.25">
      <c r="A14" s="431" t="s">
        <v>53</v>
      </c>
      <c r="B14" s="432">
        <v>30</v>
      </c>
      <c r="C14" s="436">
        <v>6</v>
      </c>
      <c r="D14" s="439">
        <v>4</v>
      </c>
      <c r="E14" s="24" t="s">
        <v>54</v>
      </c>
      <c r="F14" s="25"/>
      <c r="G14" s="25"/>
      <c r="H14" s="25"/>
      <c r="I14" s="26"/>
      <c r="J14" s="19"/>
      <c r="K14" s="17"/>
      <c r="L14" s="17"/>
      <c r="M14" s="17"/>
      <c r="N14" s="17"/>
      <c r="O14" s="17"/>
      <c r="P14" s="17"/>
      <c r="Q14" s="17"/>
      <c r="R14" s="17"/>
      <c r="S14" s="17"/>
      <c r="T14" s="17"/>
      <c r="U14" s="17"/>
      <c r="V14" s="17"/>
    </row>
    <row r="15" spans="1:22" ht="14.25">
      <c r="A15" s="431"/>
      <c r="B15" s="432"/>
      <c r="C15" s="437"/>
      <c r="D15" s="439"/>
      <c r="E15" s="24" t="s">
        <v>55</v>
      </c>
      <c r="F15" s="25"/>
      <c r="G15" s="25"/>
      <c r="H15" s="25"/>
      <c r="I15" s="26"/>
      <c r="J15" s="19"/>
      <c r="K15" s="17"/>
      <c r="L15" s="17"/>
      <c r="M15" s="17"/>
      <c r="N15" s="17"/>
      <c r="O15" s="17"/>
      <c r="P15" s="17"/>
      <c r="Q15" s="17"/>
      <c r="R15" s="17"/>
      <c r="S15" s="17"/>
      <c r="T15" s="17"/>
      <c r="U15" s="17"/>
      <c r="V15" s="17"/>
    </row>
    <row r="16" spans="1:22" ht="14.25">
      <c r="A16" s="431"/>
      <c r="B16" s="432"/>
      <c r="C16" s="438"/>
      <c r="D16" s="439"/>
      <c r="E16" s="24" t="s">
        <v>56</v>
      </c>
      <c r="F16" s="25"/>
      <c r="G16" s="25"/>
      <c r="H16" s="25"/>
      <c r="I16" s="26"/>
      <c r="J16" s="19"/>
      <c r="K16" s="17"/>
      <c r="L16" s="17"/>
      <c r="M16" s="17"/>
      <c r="N16" s="17"/>
      <c r="O16" s="17"/>
      <c r="P16" s="17"/>
      <c r="Q16" s="17"/>
      <c r="R16" s="17"/>
      <c r="S16" s="17"/>
      <c r="T16" s="17"/>
      <c r="U16" s="17"/>
      <c r="V16" s="17"/>
    </row>
    <row r="17" spans="1:26" ht="15">
      <c r="A17" s="27" t="s">
        <v>57</v>
      </c>
      <c r="B17" s="28"/>
      <c r="C17" s="29">
        <f>SUM(C5:C16)</f>
        <v>6</v>
      </c>
      <c r="D17" s="29">
        <f>SUM(D5:D16)</f>
        <v>4</v>
      </c>
      <c r="E17" s="16"/>
      <c r="F17" s="16"/>
      <c r="G17" s="16"/>
      <c r="H17" s="16"/>
      <c r="I17" s="16"/>
      <c r="J17" s="19"/>
      <c r="K17" s="17"/>
      <c r="L17" s="17"/>
      <c r="M17" s="17"/>
      <c r="N17" s="17"/>
      <c r="O17" s="17"/>
      <c r="P17" s="17"/>
      <c r="Q17" s="17"/>
      <c r="R17" s="17"/>
      <c r="S17" s="17"/>
      <c r="T17" s="17"/>
      <c r="U17" s="17"/>
      <c r="V17" s="17"/>
    </row>
    <row r="18" spans="1:26" ht="15.75" thickBot="1">
      <c r="A18" s="31" t="s">
        <v>58</v>
      </c>
      <c r="B18" s="32"/>
      <c r="C18" s="33">
        <f>ROUND(C17/SUM(C17:D17),2)</f>
        <v>0.6</v>
      </c>
      <c r="D18" s="33">
        <f>1-C18</f>
        <v>0.4</v>
      </c>
      <c r="E18" s="16"/>
      <c r="F18" s="16"/>
      <c r="G18" s="16"/>
      <c r="H18" s="16"/>
      <c r="I18" s="16"/>
      <c r="J18" s="17"/>
      <c r="K18" s="17"/>
      <c r="L18" s="17"/>
      <c r="M18" s="17"/>
      <c r="N18" s="17"/>
      <c r="O18" s="17"/>
      <c r="P18" s="17"/>
      <c r="Q18" s="17"/>
      <c r="R18" s="17"/>
      <c r="S18" s="17"/>
      <c r="T18" s="17"/>
      <c r="U18" s="17"/>
      <c r="V18" s="17"/>
    </row>
    <row r="19" spans="1:26" ht="15">
      <c r="A19" s="34" t="s">
        <v>59</v>
      </c>
      <c r="B19" s="35" t="s">
        <v>60</v>
      </c>
      <c r="C19" s="36" t="e">
        <f ca="1">SUMIF(INDIRECT("'"&amp;C4&amp;"'"&amp;"!A:A"),结果表!B19,INDIRECT("'"&amp;C4&amp;"'"&amp;"!B:B"))</f>
        <v>#REF!</v>
      </c>
      <c r="D19" s="37" t="e">
        <f ca="1">SUMIF(INDIRECT("'"&amp;D4&amp;"'"&amp;"!A:A"),结果表!B19,INDIRECT("'"&amp;D4&amp;"'"&amp;"!B:B"))</f>
        <v>#REF!</v>
      </c>
      <c r="E19" s="34" t="s">
        <v>61</v>
      </c>
      <c r="F19" s="35" t="s">
        <v>60</v>
      </c>
      <c r="G19" s="38">
        <f>面积表!P11</f>
        <v>218788</v>
      </c>
      <c r="H19" s="39" t="s">
        <v>62</v>
      </c>
      <c r="I19" s="16"/>
      <c r="J19" s="17"/>
      <c r="K19" s="17"/>
      <c r="L19" s="17"/>
      <c r="M19" s="17"/>
      <c r="N19" s="17"/>
      <c r="O19" s="17"/>
      <c r="P19" s="17"/>
      <c r="Q19" s="17"/>
      <c r="R19" s="17"/>
      <c r="S19" s="17"/>
      <c r="T19" s="17"/>
      <c r="U19" s="17"/>
      <c r="V19" s="17"/>
    </row>
    <row r="20" spans="1:26" ht="15">
      <c r="A20" s="40"/>
      <c r="B20" s="41" t="s">
        <v>63</v>
      </c>
      <c r="C20" s="42" t="e">
        <f ca="1">SUMIF(INDIRECT("'"&amp;C4&amp;"'"&amp;"!A:A"),结果表!B20,INDIRECT("'"&amp;C4&amp;"'"&amp;"!B:B"))</f>
        <v>#REF!</v>
      </c>
      <c r="D20" s="43" t="e">
        <f ca="1">SUMIF(INDIRECT("'"&amp;D4&amp;"'"&amp;"!A:A"),结果表!B20,INDIRECT("'"&amp;D4&amp;"'"&amp;"!B:B"))</f>
        <v>#REF!</v>
      </c>
      <c r="E20" s="40"/>
      <c r="F20" s="41" t="s">
        <v>63</v>
      </c>
      <c r="G20" s="44" t="e">
        <f ca="1">ROUND(C20*$C$18+D20*$D$18,0)</f>
        <v>#REF!</v>
      </c>
      <c r="H20" s="45" t="s">
        <v>64</v>
      </c>
      <c r="I20" s="16"/>
      <c r="J20" s="17"/>
      <c r="K20" s="17"/>
      <c r="L20" s="17"/>
      <c r="M20" s="17"/>
      <c r="N20" s="17"/>
      <c r="O20" s="17"/>
      <c r="P20" s="17"/>
      <c r="Q20" s="17"/>
      <c r="R20" s="17"/>
      <c r="S20" s="17"/>
      <c r="T20" s="17"/>
      <c r="U20" s="17"/>
      <c r="V20" s="17"/>
    </row>
    <row r="21" spans="1:26" ht="15" customHeight="1">
      <c r="A21" s="40"/>
      <c r="B21" s="46" t="s">
        <v>65</v>
      </c>
      <c r="C21" s="47" t="e">
        <f ca="1">SUMIF(INDIRECT("'"&amp;C4&amp;"'"&amp;"!A:A"),结果表!B21,INDIRECT("'"&amp;C4&amp;"'"&amp;"!B:B"))</f>
        <v>#REF!</v>
      </c>
      <c r="D21" s="48" t="e">
        <f ca="1">SUMIF(INDIRECT("'"&amp;D4&amp;"'"&amp;"!A:A"),结果表!B21,INDIRECT("'"&amp;D4&amp;"'"&amp;"!B:B"))</f>
        <v>#REF!</v>
      </c>
      <c r="E21" s="40"/>
      <c r="F21" s="46" t="s">
        <v>65</v>
      </c>
      <c r="G21" s="49" t="e">
        <f ca="1">ROUND(C21*$C$18+D21*$D$18,0)</f>
        <v>#REF!</v>
      </c>
      <c r="H21" s="50" t="s">
        <v>64</v>
      </c>
      <c r="I21" s="16"/>
      <c r="J21" s="17"/>
      <c r="K21" s="17"/>
      <c r="L21" s="17"/>
      <c r="M21" s="17"/>
      <c r="N21" s="17"/>
      <c r="O21" s="17"/>
      <c r="P21" s="17"/>
      <c r="Q21" s="17"/>
      <c r="R21" s="17"/>
      <c r="S21" s="17"/>
      <c r="T21" s="17"/>
      <c r="U21" s="17"/>
      <c r="V21" s="17"/>
    </row>
    <row r="22" spans="1:26" ht="15.75" thickBot="1">
      <c r="A22" s="51" t="s">
        <v>66</v>
      </c>
      <c r="B22" s="52"/>
      <c r="C22" s="53"/>
      <c r="D22" s="54" t="e">
        <f ca="1">IF(C19&lt;D19,D19/C19-1,C19/D19-1)</f>
        <v>#REF!</v>
      </c>
      <c r="E22" s="55"/>
      <c r="F22" s="56"/>
      <c r="G22" s="57">
        <f>ROUND(G19/('[1]数据-汇总表'!D3/666.67),0)</f>
        <v>21409</v>
      </c>
      <c r="H22" s="58" t="s">
        <v>67</v>
      </c>
      <c r="I22" s="16"/>
      <c r="J22" s="17"/>
      <c r="K22" s="17"/>
      <c r="L22" s="17"/>
      <c r="M22" s="17"/>
      <c r="N22" s="17"/>
      <c r="O22" s="17"/>
      <c r="P22" s="17"/>
      <c r="Q22" s="17"/>
      <c r="R22" s="17"/>
      <c r="S22" s="17"/>
      <c r="T22" s="17"/>
      <c r="U22" s="17"/>
      <c r="V22" s="17"/>
    </row>
    <row r="23" spans="1:26" ht="13.5" thickBot="1">
      <c r="A23" s="16"/>
      <c r="B23" s="16"/>
      <c r="C23" s="16"/>
      <c r="D23" s="16"/>
      <c r="E23" s="16"/>
      <c r="F23" s="16"/>
      <c r="G23" s="16"/>
      <c r="H23" s="16"/>
      <c r="I23" s="16"/>
      <c r="J23" s="17"/>
      <c r="K23" s="17"/>
      <c r="L23" s="17"/>
      <c r="M23" s="17"/>
      <c r="N23" s="17"/>
      <c r="O23" s="17"/>
      <c r="P23" s="17"/>
      <c r="Q23" s="17"/>
      <c r="R23" s="17"/>
      <c r="S23" s="17"/>
      <c r="T23" s="17"/>
      <c r="U23" s="17"/>
      <c r="V23" s="17"/>
    </row>
    <row r="24" spans="1:26" ht="15" thickBot="1">
      <c r="A24" s="424" t="s">
        <v>68</v>
      </c>
      <c r="B24" s="35" t="s">
        <v>60</v>
      </c>
      <c r="C24" s="59">
        <f>IF(B30=0,0,D30)</f>
        <v>0</v>
      </c>
      <c r="D24" s="60"/>
      <c r="E24" s="16"/>
      <c r="F24" s="16"/>
      <c r="G24" s="16"/>
      <c r="H24" s="16"/>
      <c r="I24" s="16"/>
      <c r="J24" s="17"/>
      <c r="K24" s="17"/>
      <c r="L24" s="17"/>
      <c r="M24" s="17"/>
      <c r="N24" s="17"/>
      <c r="O24" s="17"/>
      <c r="P24" s="17"/>
      <c r="Q24" s="17"/>
      <c r="R24" s="17"/>
      <c r="S24" s="17"/>
      <c r="T24" s="17"/>
      <c r="U24" s="17"/>
      <c r="V24" s="17"/>
    </row>
    <row r="25" spans="1:26" ht="18">
      <c r="A25" s="425"/>
      <c r="B25" s="61" t="s">
        <v>69</v>
      </c>
      <c r="C25" s="62">
        <f>IF(B30=0,0,C30)</f>
        <v>0</v>
      </c>
      <c r="D25" s="63"/>
      <c r="E25" s="16"/>
      <c r="F25" s="16"/>
      <c r="G25" s="16"/>
      <c r="H25" s="16"/>
      <c r="I25" s="16"/>
      <c r="J25" s="17"/>
      <c r="K25" s="64" t="str">
        <f>[1]项目基本情况!B16&amp;"国有建设用地使用权价格："&amp;O38&amp;"万元"</f>
        <v>出让国有建设用地使用权价格：218788万元</v>
      </c>
      <c r="L25" s="65"/>
      <c r="M25" s="65"/>
      <c r="N25" s="65"/>
      <c r="O25" s="66"/>
      <c r="P25" s="17"/>
      <c r="Q25" s="17"/>
      <c r="R25" s="17"/>
      <c r="S25" s="17"/>
      <c r="T25" s="17"/>
      <c r="U25" s="17"/>
      <c r="V25" s="17"/>
    </row>
    <row r="26" spans="1:26" s="72" customFormat="1" ht="18">
      <c r="A26" s="67" t="s">
        <v>70</v>
      </c>
      <c r="B26" s="68" t="s">
        <v>71</v>
      </c>
      <c r="C26" s="68" t="s">
        <v>72</v>
      </c>
      <c r="D26" s="69" t="s">
        <v>73</v>
      </c>
      <c r="E26" s="16"/>
      <c r="F26" s="16"/>
      <c r="G26" s="16"/>
      <c r="H26" s="16"/>
      <c r="I26" s="16"/>
      <c r="J26" s="17"/>
      <c r="K26" s="70" t="str">
        <f>"大写金额：人民币"&amp;NUMBERSTRING(INT(O38*10000),2)&amp;"元整"</f>
        <v>大写金额：人民币贰拾壹亿捌仟柒佰捌拾捌万元整</v>
      </c>
      <c r="L26" s="52"/>
      <c r="M26" s="52"/>
      <c r="N26" s="52"/>
      <c r="O26" s="50"/>
      <c r="P26" s="17"/>
      <c r="Q26" s="17"/>
      <c r="R26" s="17"/>
      <c r="S26" s="17"/>
      <c r="T26" s="17"/>
      <c r="U26" s="17"/>
      <c r="V26" s="17"/>
      <c r="W26" s="71"/>
      <c r="X26" s="71"/>
      <c r="Y26" s="71"/>
      <c r="Z26" s="71"/>
    </row>
    <row r="27" spans="1:26" ht="18">
      <c r="A27" s="67">
        <f>G19/'[1]数据-汇总表'!F27*10000</f>
        <v>206554.79241898557</v>
      </c>
      <c r="B27" s="68"/>
      <c r="C27" s="68"/>
      <c r="D27" s="69"/>
      <c r="E27" s="16"/>
      <c r="F27" s="16"/>
      <c r="G27" s="16"/>
      <c r="H27" s="16"/>
      <c r="I27" s="16"/>
      <c r="J27" s="17"/>
      <c r="K27" s="70" t="str">
        <f>"单位面积地价："&amp;M38&amp;"元/平方米"</f>
        <v>单位面积地价：321133元/平方米</v>
      </c>
      <c r="L27" s="52"/>
      <c r="M27" s="52"/>
      <c r="N27" s="52"/>
      <c r="O27" s="50"/>
      <c r="P27" s="17"/>
      <c r="Q27" s="17"/>
      <c r="R27" s="17"/>
      <c r="S27" s="17"/>
      <c r="T27" s="17"/>
      <c r="U27" s="17"/>
      <c r="V27" s="17"/>
    </row>
    <row r="28" spans="1:26" ht="18.75" customHeight="1">
      <c r="A28" s="67"/>
      <c r="B28" s="68"/>
      <c r="C28" s="68"/>
      <c r="D28" s="69"/>
      <c r="E28" s="16"/>
      <c r="F28" s="16"/>
      <c r="G28" s="16"/>
      <c r="H28" s="16"/>
      <c r="I28" s="16"/>
      <c r="J28" s="17"/>
      <c r="K28" s="70" t="str">
        <f>"楼面地价："&amp;N38&amp;"元/平方米"</f>
        <v>楼面地价：74689元/平方米</v>
      </c>
      <c r="L28" s="52"/>
      <c r="M28" s="52"/>
      <c r="N28" s="52"/>
      <c r="O28" s="50"/>
      <c r="P28" s="17"/>
      <c r="V28" s="17"/>
    </row>
    <row r="29" spans="1:26" ht="18">
      <c r="A29" s="67"/>
      <c r="B29" s="68"/>
      <c r="C29" s="68"/>
      <c r="D29" s="69"/>
      <c r="E29" s="16"/>
      <c r="F29" s="16"/>
      <c r="G29" s="16"/>
      <c r="H29" s="16"/>
      <c r="I29" s="16"/>
      <c r="J29" s="17"/>
      <c r="K29" s="70" t="str">
        <f>IF(OR([1]项目基本情况!E8="抵押价格",[1]项目基本情况!E8="已注销及未注销"),"抵押价格："&amp;O39&amp;"万元","——")</f>
        <v>抵押价格：218788万元</v>
      </c>
      <c r="L29" s="52"/>
      <c r="M29" s="52"/>
      <c r="N29" s="52"/>
      <c r="O29" s="50"/>
      <c r="P29" s="17"/>
      <c r="V29" s="17"/>
    </row>
    <row r="30" spans="1:26" ht="18.75" thickBot="1">
      <c r="A30" s="73" t="s">
        <v>74</v>
      </c>
      <c r="B30" s="74"/>
      <c r="C30" s="74"/>
      <c r="D30" s="75"/>
      <c r="E30" s="76" t="s">
        <v>75</v>
      </c>
      <c r="F30" s="16"/>
      <c r="G30" s="16"/>
      <c r="H30" s="16"/>
      <c r="I30" s="16"/>
      <c r="J30" s="17"/>
      <c r="K30" s="70" t="str">
        <f>IF(K29="——","——","大写金额：人民币"&amp;NUMBERSTRING(INT(O39*10000),2)&amp;"元整")</f>
        <v>大写金额：人民币贰拾壹亿捌仟柒佰捌拾捌万元整</v>
      </c>
      <c r="L30" s="52"/>
      <c r="M30" s="52"/>
      <c r="N30" s="52"/>
      <c r="O30" s="50"/>
      <c r="P30" s="17"/>
      <c r="V30" s="17"/>
    </row>
    <row r="31" spans="1:26" ht="24" customHeight="1" thickBot="1">
      <c r="A31" s="16"/>
      <c r="B31" s="16"/>
      <c r="C31" s="16"/>
      <c r="D31" s="16"/>
      <c r="E31" s="16"/>
      <c r="F31" s="16"/>
      <c r="G31" s="16"/>
      <c r="H31" s="16"/>
      <c r="I31" s="16"/>
      <c r="J31" s="17"/>
      <c r="K31" s="77" t="str">
        <f>IF([1]项目基本情况!E8="抵押价格","——","抵押担保权已注销时的抵押价格："&amp;O40&amp;"万元")</f>
        <v>——</v>
      </c>
      <c r="L31" s="78"/>
      <c r="M31" s="78"/>
      <c r="N31" s="78"/>
      <c r="O31" s="79"/>
      <c r="P31" s="17"/>
      <c r="V31" s="17"/>
    </row>
    <row r="32" spans="1:26" ht="18.75" thickBot="1">
      <c r="A32" s="34" t="s">
        <v>76</v>
      </c>
      <c r="B32" s="80" t="s">
        <v>77</v>
      </c>
      <c r="C32" s="81">
        <f>G19-C24</f>
        <v>218788</v>
      </c>
      <c r="D32" s="82" t="s">
        <v>78</v>
      </c>
      <c r="E32" s="16"/>
      <c r="F32" s="16"/>
      <c r="G32" s="16"/>
      <c r="H32" s="16"/>
      <c r="I32" s="16"/>
      <c r="J32" s="17"/>
      <c r="K32" s="83" t="str">
        <f>IF(K31="——","——","大写金额：人民币"&amp;NUMBERSTRING(INT(O40*10000),2)&amp;"元整")</f>
        <v>——</v>
      </c>
      <c r="L32" s="84"/>
      <c r="M32" s="84"/>
      <c r="N32" s="84"/>
      <c r="O32" s="85"/>
      <c r="P32" s="17"/>
      <c r="V32" s="17"/>
    </row>
    <row r="33" spans="1:26" ht="18.75" thickBot="1">
      <c r="A33" s="86" t="s">
        <v>79</v>
      </c>
      <c r="B33" s="87" t="s">
        <v>80</v>
      </c>
      <c r="C33" s="27">
        <f>ROUND(C32*10000/'[1]数据-汇总表'!E3,0)</f>
        <v>74689</v>
      </c>
      <c r="D33" s="88" t="s">
        <v>81</v>
      </c>
      <c r="E33" s="424" t="s">
        <v>82</v>
      </c>
      <c r="F33" s="89" t="s">
        <v>83</v>
      </c>
      <c r="G33" s="90"/>
      <c r="H33" s="91"/>
      <c r="I33" s="92"/>
      <c r="J33" s="17"/>
      <c r="K33" s="70" t="str">
        <f>IF([1]项目基本情况!E9="——","——","抵押净值："&amp;C46&amp;"万元")</f>
        <v>——</v>
      </c>
      <c r="L33" s="52"/>
      <c r="M33" s="52"/>
      <c r="N33" s="52"/>
      <c r="O33" s="50"/>
      <c r="P33" s="17"/>
      <c r="V33" s="17"/>
    </row>
    <row r="34" spans="1:26" s="72" customFormat="1" ht="18.75" thickBot="1">
      <c r="A34" s="93"/>
      <c r="B34" s="94" t="s">
        <v>84</v>
      </c>
      <c r="C34" s="27">
        <f>ROUND(C32*10000/'[1]数据-汇总表'!D3,0)</f>
        <v>321133</v>
      </c>
      <c r="D34" s="95" t="s">
        <v>81</v>
      </c>
      <c r="E34" s="426"/>
      <c r="F34" s="96" t="s">
        <v>85</v>
      </c>
      <c r="G34" s="97"/>
      <c r="H34" s="32"/>
      <c r="I34" s="16"/>
      <c r="J34" s="17"/>
      <c r="K34" s="98" t="str">
        <f>IF(K33="——","——","大写金额：人民币"&amp;NUMBERSTRING(INT(O41*10000),2)&amp;"元整")</f>
        <v>——</v>
      </c>
      <c r="L34" s="99"/>
      <c r="M34" s="99"/>
      <c r="N34" s="99"/>
      <c r="O34" s="100"/>
      <c r="P34" s="17"/>
      <c r="Q34" s="71"/>
      <c r="R34" s="71"/>
      <c r="S34" s="71"/>
      <c r="T34" s="71"/>
      <c r="U34" s="71"/>
      <c r="V34" s="17"/>
      <c r="W34" s="71"/>
      <c r="X34" s="71"/>
      <c r="Y34" s="71"/>
      <c r="Z34" s="71"/>
    </row>
    <row r="35" spans="1:26" ht="15.75" thickBot="1">
      <c r="A35" s="55"/>
      <c r="B35" s="101"/>
      <c r="C35" s="102">
        <f>ROUND(C32/('[1]数据-汇总表'!D3/666.67),0)</f>
        <v>21409</v>
      </c>
      <c r="D35" s="103" t="s">
        <v>86</v>
      </c>
      <c r="E35" s="427"/>
      <c r="F35" s="104" t="s">
        <v>87</v>
      </c>
      <c r="G35" s="105"/>
      <c r="H35" s="106" t="s">
        <v>88</v>
      </c>
      <c r="I35" s="16"/>
      <c r="J35" s="17"/>
      <c r="K35" s="428" t="s">
        <v>89</v>
      </c>
      <c r="L35" s="428" t="s">
        <v>90</v>
      </c>
      <c r="M35" s="107" t="s">
        <v>91</v>
      </c>
      <c r="N35" s="428" t="s">
        <v>92</v>
      </c>
      <c r="O35" s="428" t="s">
        <v>93</v>
      </c>
      <c r="P35" s="17"/>
      <c r="V35" s="17"/>
    </row>
    <row r="36" spans="1:26" ht="16.5" customHeight="1">
      <c r="A36" s="108" t="s">
        <v>94</v>
      </c>
      <c r="B36" s="109" t="s">
        <v>71</v>
      </c>
      <c r="C36" s="110" t="s">
        <v>72</v>
      </c>
      <c r="D36" s="110" t="s">
        <v>95</v>
      </c>
      <c r="E36" s="111" t="s">
        <v>73</v>
      </c>
      <c r="F36" s="16"/>
      <c r="G36" s="16"/>
      <c r="H36" s="16"/>
      <c r="I36" s="16"/>
      <c r="J36" s="112"/>
      <c r="K36" s="429"/>
      <c r="L36" s="429"/>
      <c r="M36" s="113" t="s">
        <v>96</v>
      </c>
      <c r="N36" s="429"/>
      <c r="O36" s="429"/>
      <c r="P36" s="17"/>
      <c r="V36" s="17"/>
    </row>
    <row r="37" spans="1:26" ht="16.5" customHeight="1" thickBot="1">
      <c r="A37" s="114" t="s">
        <v>97</v>
      </c>
      <c r="B37" s="115"/>
      <c r="C37" s="68"/>
      <c r="D37" s="68"/>
      <c r="E37" s="69"/>
      <c r="F37" s="16"/>
      <c r="G37" s="16"/>
      <c r="H37" s="16"/>
      <c r="I37" s="16"/>
      <c r="J37" s="112"/>
      <c r="K37" s="430"/>
      <c r="L37" s="430"/>
      <c r="M37" s="116"/>
      <c r="N37" s="430"/>
      <c r="O37" s="430"/>
      <c r="P37" s="17"/>
      <c r="V37" s="17"/>
    </row>
    <row r="38" spans="1:26" ht="16.5" customHeight="1" thickBot="1">
      <c r="A38" s="114" t="s">
        <v>98</v>
      </c>
      <c r="B38" s="115"/>
      <c r="C38" s="68"/>
      <c r="D38" s="68"/>
      <c r="E38" s="69"/>
      <c r="F38" s="16"/>
      <c r="G38" s="16"/>
      <c r="H38" s="16"/>
      <c r="I38" s="16"/>
      <c r="J38" s="112"/>
      <c r="K38" s="117">
        <f>'[1]数据-汇总表'!D3</f>
        <v>6813</v>
      </c>
      <c r="L38" s="118">
        <f>'[1]数据-汇总表'!E3</f>
        <v>29293.370000000003</v>
      </c>
      <c r="M38" s="118">
        <f>C34</f>
        <v>321133</v>
      </c>
      <c r="N38" s="118">
        <f>C33</f>
        <v>74689</v>
      </c>
      <c r="O38" s="119">
        <f>C32</f>
        <v>218788</v>
      </c>
      <c r="P38" s="17"/>
      <c r="V38" s="17"/>
    </row>
    <row r="39" spans="1:26" ht="16.5" customHeight="1" thickBot="1">
      <c r="A39" s="120"/>
      <c r="B39" s="121"/>
      <c r="C39" s="74"/>
      <c r="D39" s="74"/>
      <c r="E39" s="75"/>
      <c r="F39" s="16"/>
      <c r="G39" s="16"/>
      <c r="H39" s="16"/>
      <c r="I39" s="16"/>
      <c r="J39" s="112"/>
      <c r="K39" s="417" t="str">
        <f>MID(A44,3,LEN(A44)-2)</f>
        <v>抵押价格</v>
      </c>
      <c r="L39" s="418"/>
      <c r="M39" s="418"/>
      <c r="N39" s="419"/>
      <c r="O39" s="122">
        <f>C44</f>
        <v>218788</v>
      </c>
      <c r="P39" s="17"/>
      <c r="V39" s="17"/>
    </row>
    <row r="40" spans="1:26" ht="19.5" thickBot="1">
      <c r="A40" s="123" t="s">
        <v>99</v>
      </c>
      <c r="B40" s="16"/>
      <c r="C40" s="16"/>
      <c r="D40" s="16"/>
      <c r="E40" s="16"/>
      <c r="F40" s="16"/>
      <c r="G40" s="16"/>
      <c r="H40" s="16"/>
      <c r="I40" s="16"/>
      <c r="J40" s="112"/>
      <c r="K40" s="417" t="str">
        <f t="shared" ref="K40:K41" si="0">MID(A45,3,LEN(A45)-2)</f>
        <v/>
      </c>
      <c r="L40" s="418"/>
      <c r="M40" s="418"/>
      <c r="N40" s="419"/>
      <c r="O40" s="122" t="str">
        <f>C45</f>
        <v>——</v>
      </c>
      <c r="P40" s="17"/>
      <c r="V40" s="17"/>
    </row>
    <row r="41" spans="1:26" ht="16.5" thickBot="1">
      <c r="A41" s="124" t="s">
        <v>100</v>
      </c>
      <c r="B41" s="125"/>
      <c r="C41" s="126" t="s">
        <v>101</v>
      </c>
      <c r="D41" s="127" t="s">
        <v>102</v>
      </c>
      <c r="E41" s="127" t="s">
        <v>103</v>
      </c>
      <c r="F41" s="128" t="s">
        <v>104</v>
      </c>
      <c r="G41" s="16"/>
      <c r="H41" s="16"/>
      <c r="I41" s="16"/>
      <c r="J41" s="112"/>
      <c r="K41" s="417" t="str">
        <f t="shared" si="0"/>
        <v/>
      </c>
      <c r="L41" s="418"/>
      <c r="M41" s="418"/>
      <c r="N41" s="419"/>
      <c r="O41" s="122" t="str">
        <f>C46</f>
        <v>——</v>
      </c>
      <c r="P41" s="17"/>
      <c r="V41" s="17"/>
    </row>
    <row r="42" spans="1:26" ht="29.25">
      <c r="A42" s="420" t="s">
        <v>105</v>
      </c>
      <c r="B42" s="421"/>
      <c r="C42" s="27">
        <f>C32</f>
        <v>218788</v>
      </c>
      <c r="D42" s="129">
        <f>C33</f>
        <v>74689</v>
      </c>
      <c r="E42" s="129">
        <f>C34</f>
        <v>321133</v>
      </c>
      <c r="F42" s="130">
        <f>C35</f>
        <v>21409</v>
      </c>
      <c r="G42" s="16"/>
      <c r="H42" s="16"/>
      <c r="I42" s="131"/>
      <c r="J42" s="112"/>
      <c r="K42" s="132" t="s">
        <v>106</v>
      </c>
      <c r="L42" s="133" t="s">
        <v>107</v>
      </c>
      <c r="M42" s="134" t="s">
        <v>108</v>
      </c>
      <c r="N42" s="135" t="s">
        <v>109</v>
      </c>
      <c r="O42" s="136" t="s">
        <v>110</v>
      </c>
      <c r="P42" s="17"/>
      <c r="V42" s="17"/>
    </row>
    <row r="43" spans="1:26" ht="30">
      <c r="A43" s="422" t="s">
        <v>111</v>
      </c>
      <c r="B43" s="423"/>
      <c r="C43" s="27">
        <f>IF(H33="正常操作",G33+G34+G35,G34+G35)</f>
        <v>0</v>
      </c>
      <c r="D43" s="129" t="s">
        <v>112</v>
      </c>
      <c r="E43" s="129" t="s">
        <v>112</v>
      </c>
      <c r="F43" s="130" t="s">
        <v>112</v>
      </c>
      <c r="G43" s="137" t="s">
        <v>113</v>
      </c>
      <c r="H43" s="16"/>
      <c r="I43" s="131"/>
      <c r="J43" s="112"/>
      <c r="K43" s="138" t="str">
        <f>C4</f>
        <v>剩余法-待开发</v>
      </c>
      <c r="L43" s="139" t="e">
        <f ca="1">IF(L42="估价结果/万元",C19,C20)</f>
        <v>#REF!</v>
      </c>
      <c r="M43" s="140">
        <f>C18</f>
        <v>0.6</v>
      </c>
      <c r="N43" s="141">
        <f>IF(N42="测算结果/万元",G19,G20)</f>
        <v>218788</v>
      </c>
      <c r="O43" s="142">
        <f>IF(O42="最终结果/万元",C32,C33)</f>
        <v>218788</v>
      </c>
      <c r="P43" s="17"/>
      <c r="V43" s="17"/>
    </row>
    <row r="44" spans="1:26" ht="30.75" thickBot="1">
      <c r="A44" s="420" t="str">
        <f>IF(OR([1]项目基本情况!E8="抵押价格",[1]项目基本情况!E8="已注销及未注销"),"3.抵押价格","——")</f>
        <v>3.抵押价格</v>
      </c>
      <c r="B44" s="421"/>
      <c r="C44" s="27">
        <f>IF(A44="——","——",C42-C43)</f>
        <v>218788</v>
      </c>
      <c r="D44" s="129">
        <f>ROUND(C44*10000/'[1]数据-汇总表'!E3,0)</f>
        <v>74689</v>
      </c>
      <c r="E44" s="129">
        <f>ROUND(C44*10000/'[1]数据-汇总表'!D3,0)</f>
        <v>321133</v>
      </c>
      <c r="F44" s="130">
        <f>ROUND(C44/('[1]数据-汇总表'!D3/666.67),0)</f>
        <v>21409</v>
      </c>
      <c r="G44" s="16"/>
      <c r="H44" s="16"/>
      <c r="I44" s="131"/>
      <c r="J44" s="112"/>
      <c r="K44" s="143" t="str">
        <f>D4</f>
        <v>比较法-住宅、综合</v>
      </c>
      <c r="L44" s="144" t="e">
        <f ca="1">IF(L42="估价结果/万元",D19,D20)</f>
        <v>#REF!</v>
      </c>
      <c r="M44" s="145">
        <f>D18</f>
        <v>0.4</v>
      </c>
      <c r="N44" s="146"/>
      <c r="O44" s="147"/>
      <c r="P44" s="17"/>
      <c r="V44" s="17"/>
    </row>
    <row r="45" spans="1:26" ht="15">
      <c r="A45" s="404" t="str">
        <f>IF([1]项目基本情况!E8="已注销及未注销","4.抵押担保权已注销时的抵押价格",IF([1]项目基本情况!E8="已注销","3.抵押担保权已注销时的抵押价格","——"))</f>
        <v>——</v>
      </c>
      <c r="B45" s="405"/>
      <c r="C45" s="148" t="str">
        <f>IF(A45="——","——",IF([1]项目基本情况!E8="抵押价格","——",C32-G34-G35))</f>
        <v>——</v>
      </c>
      <c r="D45" s="129" t="e">
        <f>ROUND(C45*10000/'[1]数据-汇总表'!E3,0)</f>
        <v>#VALUE!</v>
      </c>
      <c r="E45" s="129" t="e">
        <f>ROUND(C45*10000/'[1]数据-汇总表'!D3,0)</f>
        <v>#VALUE!</v>
      </c>
      <c r="F45" s="130" t="e">
        <f>ROUND(C45/('[1]数据-汇总表'!D3/666.67),0)</f>
        <v>#VALUE!</v>
      </c>
      <c r="G45" s="16"/>
      <c r="H45" s="16"/>
      <c r="I45" s="131"/>
      <c r="J45" s="112"/>
      <c r="K45" s="17"/>
      <c r="L45" s="17"/>
      <c r="M45" s="17"/>
      <c r="N45" s="17"/>
      <c r="O45" s="17"/>
      <c r="P45" s="17"/>
      <c r="V45" s="17"/>
    </row>
    <row r="46" spans="1:26" ht="15.75" thickBot="1">
      <c r="A46" s="406" t="str">
        <f>IF([1]项目基本情况!E9="抵押净值",IF(A45="——","4.抵押净值","5.抵押净值"),"——")</f>
        <v>——</v>
      </c>
      <c r="B46" s="407"/>
      <c r="C46" s="149" t="str">
        <f>IF(A46="——","——",O79)</f>
        <v>——</v>
      </c>
      <c r="D46" s="129" t="e">
        <f>ROUND(C46*10000/'[1]数据-汇总表'!E3,0)</f>
        <v>#VALUE!</v>
      </c>
      <c r="E46" s="129" t="e">
        <f>ROUND(C46*10000/'[1]数据-汇总表'!D3,0)</f>
        <v>#VALUE!</v>
      </c>
      <c r="F46" s="130" t="e">
        <f>ROUND(C46/('[1]数据-汇总表'!D3/666.67),0)</f>
        <v>#VALUE!</v>
      </c>
      <c r="G46" s="16"/>
      <c r="H46" s="16"/>
      <c r="I46" s="131"/>
      <c r="J46" s="112"/>
      <c r="K46" s="17"/>
      <c r="L46" s="17"/>
      <c r="M46" s="17"/>
      <c r="N46" s="17"/>
      <c r="O46" s="17"/>
      <c r="P46" s="17"/>
      <c r="Q46" s="17"/>
      <c r="R46" s="17"/>
      <c r="S46" s="17"/>
      <c r="T46" s="17"/>
      <c r="U46" s="17"/>
      <c r="V46" s="17"/>
    </row>
    <row r="47" spans="1:26" ht="15.75">
      <c r="A47" s="150" t="s">
        <v>114</v>
      </c>
      <c r="B47" s="151"/>
      <c r="C47" s="152" t="s">
        <v>115</v>
      </c>
      <c r="D47" s="153"/>
      <c r="E47" s="153"/>
      <c r="F47" s="153"/>
      <c r="G47" s="154"/>
      <c r="H47" s="155"/>
      <c r="I47" s="156"/>
      <c r="J47" s="112"/>
      <c r="K47" s="16" t="str">
        <f>IF(C43=0,"本次评估"&amp;IF(G43="设定","设定估价对象","")&amp;"不存在"&amp;MID(A43,3,LEN(A43)-2),"本次评估"&amp;IF(G43="设定","设定","")&amp;MID(A43,3,LEN(A43)-2)&amp;"为人民币"&amp;C43&amp;"万元整。")</f>
        <v>本次评估不存在估价师知悉的法定优先受偿款</v>
      </c>
      <c r="L47" s="17"/>
      <c r="M47" s="17"/>
      <c r="N47" s="17"/>
      <c r="O47" s="17"/>
      <c r="P47" s="17"/>
      <c r="Q47" s="17"/>
      <c r="R47" s="17"/>
      <c r="S47" s="17"/>
      <c r="T47" s="17"/>
      <c r="U47" s="17"/>
      <c r="V47" s="17"/>
    </row>
    <row r="48" spans="1:26" ht="12.75">
      <c r="A48" s="157">
        <v>1</v>
      </c>
      <c r="B48" s="158"/>
      <c r="C48" s="158"/>
      <c r="D48" s="153"/>
      <c r="E48" s="153"/>
      <c r="F48" s="153"/>
      <c r="G48" s="153"/>
      <c r="H48" s="159"/>
      <c r="I48" s="160"/>
      <c r="J48" s="112"/>
      <c r="K48" s="17"/>
      <c r="L48" s="17"/>
      <c r="M48" s="17"/>
      <c r="N48" s="17"/>
      <c r="O48" s="17"/>
      <c r="P48" s="17"/>
      <c r="Q48" s="17"/>
      <c r="R48" s="17"/>
      <c r="S48" s="17"/>
      <c r="T48" s="17"/>
      <c r="U48" s="17"/>
      <c r="V48" s="17"/>
    </row>
    <row r="49" spans="1:22" ht="12.75">
      <c r="A49" s="157">
        <v>2</v>
      </c>
      <c r="B49" s="158"/>
      <c r="C49" s="158"/>
      <c r="D49" s="153"/>
      <c r="E49" s="153"/>
      <c r="F49" s="153"/>
      <c r="G49" s="153"/>
      <c r="H49" s="159"/>
      <c r="I49" s="160"/>
      <c r="J49" s="161"/>
      <c r="K49" s="17"/>
      <c r="L49" s="17"/>
      <c r="M49" s="17"/>
      <c r="N49" s="17"/>
      <c r="O49" s="17"/>
      <c r="P49" s="17"/>
      <c r="Q49" s="17"/>
      <c r="R49" s="17"/>
      <c r="S49" s="17"/>
      <c r="T49" s="17"/>
      <c r="U49" s="17"/>
      <c r="V49" s="17"/>
    </row>
    <row r="50" spans="1:22" ht="12.75">
      <c r="A50" s="157">
        <v>3</v>
      </c>
      <c r="B50" s="158"/>
      <c r="C50" s="158"/>
      <c r="D50" s="153"/>
      <c r="E50" s="153"/>
      <c r="F50" s="153"/>
      <c r="G50" s="153"/>
      <c r="H50" s="159"/>
      <c r="I50" s="160"/>
      <c r="J50" s="161"/>
      <c r="K50" s="17"/>
      <c r="L50" s="17"/>
      <c r="M50" s="17"/>
      <c r="N50" s="17"/>
      <c r="O50" s="17"/>
      <c r="P50" s="17"/>
      <c r="Q50" s="17"/>
      <c r="R50" s="17"/>
      <c r="S50" s="17"/>
      <c r="T50" s="17"/>
      <c r="U50" s="17"/>
      <c r="V50" s="17"/>
    </row>
    <row r="51" spans="1:22" ht="12.75">
      <c r="A51" s="162"/>
      <c r="B51" s="163"/>
      <c r="C51" s="163"/>
      <c r="D51" s="164"/>
      <c r="E51" s="164"/>
      <c r="F51" s="164"/>
      <c r="G51" s="164"/>
      <c r="H51" s="165"/>
      <c r="I51" s="166"/>
      <c r="J51" s="161"/>
      <c r="K51" s="17"/>
      <c r="L51" s="17"/>
      <c r="M51" s="17"/>
      <c r="N51" s="17"/>
      <c r="O51" s="17"/>
      <c r="P51" s="17"/>
      <c r="Q51" s="17"/>
      <c r="R51" s="17"/>
      <c r="S51" s="17"/>
      <c r="T51" s="17"/>
      <c r="U51" s="17"/>
      <c r="V51" s="17"/>
    </row>
    <row r="52" spans="1:22" ht="12.75">
      <c r="A52" s="158"/>
      <c r="B52" s="158"/>
      <c r="C52" s="158"/>
      <c r="D52" s="153"/>
      <c r="E52" s="153"/>
      <c r="F52" s="153"/>
      <c r="G52" s="153"/>
      <c r="H52" s="159"/>
      <c r="I52" s="18"/>
      <c r="J52" s="161"/>
      <c r="K52" s="17"/>
      <c r="L52" s="17"/>
      <c r="M52" s="17"/>
      <c r="N52" s="17"/>
      <c r="O52" s="17"/>
      <c r="P52" s="17"/>
      <c r="Q52" s="17"/>
      <c r="R52" s="17"/>
      <c r="S52" s="17"/>
      <c r="T52" s="17"/>
      <c r="U52" s="17"/>
      <c r="V52" s="17"/>
    </row>
    <row r="53" spans="1:22" ht="12.75">
      <c r="A53" s="18"/>
      <c r="B53" s="18"/>
      <c r="C53" s="18"/>
      <c r="D53" s="18"/>
      <c r="E53" s="18"/>
      <c r="F53" s="167" t="s">
        <v>116</v>
      </c>
      <c r="G53" s="168"/>
      <c r="H53" s="168"/>
      <c r="I53" s="169" t="s">
        <v>117</v>
      </c>
      <c r="J53" s="161"/>
      <c r="K53" s="17"/>
      <c r="L53" s="17"/>
      <c r="M53" s="17"/>
      <c r="N53" s="17"/>
      <c r="O53" s="17"/>
      <c r="P53" s="17"/>
      <c r="Q53" s="17"/>
      <c r="R53" s="17"/>
      <c r="S53" s="17"/>
      <c r="T53" s="17"/>
      <c r="U53" s="17"/>
      <c r="V53" s="17"/>
    </row>
    <row r="54" spans="1:22" ht="12.75">
      <c r="A54" s="18"/>
      <c r="B54" s="170" t="s">
        <v>118</v>
      </c>
      <c r="C54" s="18"/>
      <c r="D54" s="18"/>
      <c r="E54" s="18"/>
      <c r="F54" s="18"/>
      <c r="G54" s="18"/>
      <c r="H54" s="18"/>
      <c r="I54" s="18"/>
      <c r="J54" s="161"/>
      <c r="K54" s="17"/>
      <c r="L54" s="17"/>
      <c r="M54" s="17"/>
      <c r="N54" s="17"/>
      <c r="O54" s="17"/>
      <c r="P54" s="17"/>
      <c r="Q54" s="17"/>
      <c r="R54" s="17"/>
      <c r="S54" s="17"/>
      <c r="T54" s="17"/>
      <c r="U54" s="17"/>
      <c r="V54" s="17"/>
    </row>
    <row r="55" spans="1:22" ht="12.75">
      <c r="A55" s="18"/>
      <c r="B55" s="18"/>
      <c r="C55" s="18"/>
      <c r="D55" s="18"/>
      <c r="E55" s="18"/>
      <c r="F55" s="18"/>
      <c r="G55" s="18"/>
      <c r="H55" s="18"/>
      <c r="I55" s="18"/>
      <c r="J55" s="161"/>
      <c r="K55" s="17"/>
      <c r="L55" s="17"/>
      <c r="M55" s="17"/>
      <c r="N55" s="17"/>
      <c r="O55" s="17"/>
      <c r="P55" s="17"/>
      <c r="Q55" s="17"/>
      <c r="R55" s="17"/>
      <c r="S55" s="17"/>
      <c r="T55" s="17"/>
      <c r="U55" s="17"/>
      <c r="V55" s="17"/>
    </row>
    <row r="56" spans="1:22" ht="12.75">
      <c r="A56" s="18"/>
      <c r="B56" s="168"/>
      <c r="C56" s="168"/>
      <c r="D56" s="168"/>
      <c r="E56" s="168"/>
      <c r="F56" s="168"/>
      <c r="G56" s="168"/>
      <c r="H56" s="168"/>
      <c r="I56" s="169" t="s">
        <v>119</v>
      </c>
      <c r="J56" s="161"/>
      <c r="K56" s="17"/>
      <c r="L56" s="17"/>
      <c r="M56" s="17"/>
      <c r="N56" s="17"/>
      <c r="O56" s="17"/>
      <c r="P56" s="17"/>
      <c r="Q56" s="17"/>
      <c r="R56" s="17"/>
      <c r="S56" s="17"/>
      <c r="T56" s="17"/>
      <c r="U56" s="17"/>
      <c r="V56" s="17"/>
    </row>
    <row r="57" spans="1:22" ht="12.75">
      <c r="A57" s="18"/>
      <c r="B57" s="170" t="s">
        <v>120</v>
      </c>
      <c r="C57" s="18"/>
      <c r="D57" s="18"/>
      <c r="E57" s="18"/>
      <c r="F57" s="18"/>
      <c r="G57" s="18"/>
      <c r="H57" s="18"/>
      <c r="I57" s="18"/>
      <c r="J57" s="161"/>
      <c r="K57" s="17"/>
      <c r="L57" s="17"/>
      <c r="M57" s="17"/>
      <c r="N57" s="17"/>
      <c r="O57" s="17"/>
      <c r="P57" s="17"/>
      <c r="Q57" s="17"/>
      <c r="R57" s="17"/>
      <c r="S57" s="17"/>
      <c r="T57" s="17"/>
      <c r="U57" s="17"/>
      <c r="V57" s="17"/>
    </row>
    <row r="58" spans="1:22" ht="12.75">
      <c r="A58" s="18"/>
      <c r="B58" s="170"/>
      <c r="C58" s="18"/>
      <c r="D58" s="18"/>
      <c r="E58" s="18"/>
      <c r="F58" s="18"/>
      <c r="G58" s="18"/>
      <c r="H58" s="18"/>
      <c r="I58" s="18"/>
      <c r="J58" s="161"/>
      <c r="K58" s="17"/>
      <c r="L58" s="17"/>
      <c r="M58" s="17"/>
      <c r="N58" s="17"/>
      <c r="O58" s="17"/>
      <c r="P58" s="17"/>
      <c r="Q58" s="17"/>
      <c r="R58" s="17"/>
      <c r="S58" s="17"/>
      <c r="T58" s="17"/>
      <c r="U58" s="17"/>
      <c r="V58" s="17"/>
    </row>
    <row r="59" spans="1:22" ht="12.75">
      <c r="A59" s="18"/>
      <c r="B59" s="168"/>
      <c r="C59" s="168"/>
      <c r="D59" s="168"/>
      <c r="E59" s="168"/>
      <c r="F59" s="168"/>
      <c r="G59" s="168"/>
      <c r="H59" s="168"/>
      <c r="I59" s="169" t="s">
        <v>119</v>
      </c>
      <c r="J59" s="161"/>
      <c r="K59" s="17"/>
      <c r="L59" s="17"/>
      <c r="M59" s="17"/>
      <c r="N59" s="17"/>
      <c r="O59" s="17"/>
      <c r="P59" s="17"/>
      <c r="Q59" s="17"/>
      <c r="R59" s="17"/>
      <c r="S59" s="17"/>
      <c r="T59" s="17"/>
      <c r="U59" s="17"/>
      <c r="V59" s="17"/>
    </row>
    <row r="60" spans="1:22" ht="12.75">
      <c r="A60" s="18"/>
      <c r="B60" s="18"/>
      <c r="C60" s="18"/>
      <c r="D60" s="18"/>
      <c r="E60" s="18"/>
      <c r="F60" s="18"/>
      <c r="G60" s="18"/>
      <c r="H60" s="18"/>
      <c r="I60" s="18"/>
      <c r="J60" s="161"/>
      <c r="K60" s="17"/>
      <c r="L60" s="17"/>
      <c r="M60" s="17"/>
      <c r="N60" s="17"/>
      <c r="O60" s="17"/>
      <c r="P60" s="17"/>
      <c r="Q60" s="17"/>
      <c r="R60" s="17"/>
      <c r="S60" s="17"/>
      <c r="T60" s="17"/>
      <c r="U60" s="17"/>
      <c r="V60" s="17"/>
    </row>
    <row r="61" spans="1:22" ht="12.75">
      <c r="A61" s="18"/>
      <c r="B61" s="170"/>
      <c r="C61" s="171"/>
      <c r="D61" s="172"/>
      <c r="E61" s="172"/>
      <c r="F61" s="173"/>
      <c r="G61" s="18"/>
      <c r="H61" s="18"/>
      <c r="I61" s="18"/>
      <c r="J61" s="161"/>
      <c r="K61" s="17"/>
      <c r="L61" s="17"/>
      <c r="M61" s="17"/>
      <c r="N61" s="17"/>
      <c r="O61" s="17"/>
      <c r="P61" s="17"/>
      <c r="Q61" s="17"/>
      <c r="R61" s="17"/>
      <c r="S61" s="17"/>
      <c r="T61" s="17"/>
      <c r="U61" s="17"/>
      <c r="V61" s="17"/>
    </row>
    <row r="62" spans="1:22" ht="18.75">
      <c r="A62" s="174" t="s">
        <v>121</v>
      </c>
      <c r="B62" s="175"/>
      <c r="C62" s="175"/>
      <c r="D62" s="176"/>
      <c r="E62" s="176"/>
      <c r="F62" s="177"/>
      <c r="G62" s="177"/>
      <c r="H62" s="177"/>
      <c r="I62" s="177"/>
      <c r="J62" s="178"/>
      <c r="K62" s="17"/>
      <c r="L62" s="17"/>
      <c r="M62" s="17"/>
      <c r="N62" s="17"/>
      <c r="O62" s="17"/>
      <c r="P62" s="17"/>
      <c r="Q62" s="17"/>
      <c r="R62" s="17"/>
      <c r="S62" s="17"/>
      <c r="T62" s="17"/>
      <c r="U62" s="17"/>
      <c r="V62" s="17"/>
    </row>
    <row r="63" spans="1:22" ht="14.25" customHeight="1" thickBot="1">
      <c r="A63" s="408" t="s">
        <v>122</v>
      </c>
      <c r="B63" s="409"/>
      <c r="C63" s="410"/>
      <c r="D63" s="179">
        <f>ROUND(C42*F63,0)</f>
        <v>131273</v>
      </c>
      <c r="E63" s="180" t="s">
        <v>123</v>
      </c>
      <c r="F63" s="181">
        <v>0.6</v>
      </c>
      <c r="G63" s="182" t="s">
        <v>124</v>
      </c>
      <c r="H63" s="16"/>
      <c r="I63" s="16"/>
      <c r="J63" s="17"/>
      <c r="K63" s="17"/>
      <c r="L63" s="17"/>
      <c r="M63" s="17"/>
      <c r="N63" s="17"/>
      <c r="O63" s="17"/>
      <c r="P63" s="16"/>
      <c r="Q63" s="17"/>
      <c r="R63" s="17"/>
      <c r="S63" s="17"/>
      <c r="T63" s="17"/>
      <c r="U63" s="17"/>
      <c r="V63" s="17"/>
    </row>
    <row r="64" spans="1:22" ht="14.25" customHeight="1">
      <c r="A64" s="411" t="s">
        <v>125</v>
      </c>
      <c r="B64" s="412"/>
      <c r="C64" s="412"/>
      <c r="D64" s="412"/>
      <c r="E64" s="412"/>
      <c r="F64" s="412"/>
      <c r="G64" s="413"/>
      <c r="H64" s="183"/>
      <c r="I64" s="23"/>
      <c r="J64" s="184"/>
      <c r="K64" s="185" t="s">
        <v>126</v>
      </c>
      <c r="L64" s="186"/>
      <c r="M64" s="186"/>
      <c r="N64" s="186"/>
      <c r="O64" s="186"/>
      <c r="P64" s="16"/>
      <c r="Q64" s="17"/>
      <c r="R64" s="17"/>
      <c r="S64" s="17"/>
      <c r="T64" s="17"/>
      <c r="U64" s="17"/>
      <c r="V64" s="17"/>
    </row>
    <row r="65" spans="1:22" ht="12" customHeight="1">
      <c r="A65" s="187" t="s">
        <v>127</v>
      </c>
      <c r="B65" s="188"/>
      <c r="C65" s="189"/>
      <c r="D65" s="190" t="s">
        <v>128</v>
      </c>
      <c r="E65" s="191" t="s">
        <v>129</v>
      </c>
      <c r="F65" s="192" t="s">
        <v>130</v>
      </c>
      <c r="G65" s="193" t="s">
        <v>131</v>
      </c>
      <c r="H65" s="183"/>
      <c r="I65" s="23"/>
      <c r="J65" s="184"/>
      <c r="K65" s="194"/>
      <c r="L65" s="195"/>
      <c r="M65" s="195"/>
      <c r="N65" s="196" t="s">
        <v>132</v>
      </c>
      <c r="O65" s="197"/>
      <c r="P65" s="198"/>
      <c r="Q65" s="17"/>
      <c r="R65" s="17"/>
      <c r="S65" s="17"/>
      <c r="T65" s="17"/>
      <c r="U65" s="17"/>
      <c r="V65" s="17"/>
    </row>
    <row r="66" spans="1:22" ht="25.5">
      <c r="A66" s="414" t="s">
        <v>133</v>
      </c>
      <c r="B66" s="390"/>
      <c r="C66" s="390"/>
      <c r="D66" s="24">
        <f>IF(H66="情况1",0,IF(H66="情况2",D70,IF(H66="情况3",D71,IF(H66="情况4",D72))))</f>
        <v>7001</v>
      </c>
      <c r="E66" s="199" t="str">
        <f>IF(H66="情况4","(销售额-原购置价)×税（费）率","销售额×税（费）率")</f>
        <v>销售额×税（费）率</v>
      </c>
      <c r="F66" s="200">
        <f>IF(H66="情况1","免征",'[1]数据-取费表'!B41)</f>
        <v>5.6000000000000001E-2</v>
      </c>
      <c r="G66" s="201" t="s">
        <v>134</v>
      </c>
      <c r="H66" s="202" t="s">
        <v>135</v>
      </c>
      <c r="I66" s="183"/>
      <c r="J66" s="203"/>
      <c r="K66" s="204">
        <v>1</v>
      </c>
      <c r="L66" s="415" t="s">
        <v>136</v>
      </c>
      <c r="M66" s="416"/>
      <c r="N66" s="205"/>
      <c r="O66" s="206"/>
      <c r="P66" s="207"/>
      <c r="Q66" s="17"/>
      <c r="R66" s="17"/>
      <c r="S66" s="17"/>
      <c r="T66" s="17"/>
      <c r="U66" s="17"/>
      <c r="V66" s="17"/>
    </row>
    <row r="67" spans="1:22" ht="25.5" customHeight="1">
      <c r="A67" s="208" t="s">
        <v>137</v>
      </c>
      <c r="B67" s="378" t="s">
        <v>138</v>
      </c>
      <c r="C67" s="378"/>
      <c r="D67" s="209">
        <v>0</v>
      </c>
      <c r="E67" s="210" t="s">
        <v>139</v>
      </c>
      <c r="F67" s="211" t="s">
        <v>112</v>
      </c>
      <c r="G67" s="398"/>
      <c r="H67" s="16"/>
      <c r="I67" s="212"/>
      <c r="J67" s="213"/>
      <c r="K67" s="214">
        <v>2</v>
      </c>
      <c r="L67" s="401" t="s">
        <v>140</v>
      </c>
      <c r="M67" s="401"/>
      <c r="N67" s="215">
        <f>'[1]数据-取费表'!B2</f>
        <v>43602</v>
      </c>
      <c r="O67" s="215"/>
      <c r="P67" s="215"/>
      <c r="Q67" s="17"/>
      <c r="R67" s="17"/>
      <c r="S67" s="17"/>
      <c r="T67" s="17"/>
      <c r="U67" s="17"/>
      <c r="V67" s="17"/>
    </row>
    <row r="68" spans="1:22" ht="25.5" customHeight="1">
      <c r="A68" s="216"/>
      <c r="B68" s="378" t="s">
        <v>141</v>
      </c>
      <c r="C68" s="378"/>
      <c r="D68" s="217"/>
      <c r="E68" s="218"/>
      <c r="F68" s="219"/>
      <c r="G68" s="399"/>
      <c r="H68" s="16"/>
      <c r="I68" s="212"/>
      <c r="J68" s="213"/>
      <c r="K68" s="214">
        <v>3</v>
      </c>
      <c r="L68" s="401" t="s">
        <v>142</v>
      </c>
      <c r="M68" s="401"/>
      <c r="N68" s="220">
        <f>C42</f>
        <v>218788</v>
      </c>
      <c r="O68" s="220"/>
      <c r="P68" s="220"/>
      <c r="Q68" s="17"/>
      <c r="R68" s="17"/>
      <c r="S68" s="17"/>
      <c r="T68" s="17"/>
      <c r="U68" s="17"/>
      <c r="V68" s="17"/>
    </row>
    <row r="69" spans="1:22" ht="12" customHeight="1">
      <c r="A69" s="221"/>
      <c r="B69" s="378" t="s">
        <v>143</v>
      </c>
      <c r="C69" s="378"/>
      <c r="D69" s="222"/>
      <c r="E69" s="223"/>
      <c r="F69" s="219"/>
      <c r="G69" s="400"/>
      <c r="H69" s="16"/>
      <c r="I69" s="212"/>
      <c r="J69" s="213"/>
      <c r="K69" s="224">
        <v>4</v>
      </c>
      <c r="L69" s="402" t="s">
        <v>144</v>
      </c>
      <c r="M69" s="403"/>
      <c r="N69" s="225">
        <f>C44</f>
        <v>218788</v>
      </c>
      <c r="O69" s="225"/>
      <c r="P69" s="225"/>
      <c r="Q69" s="17"/>
      <c r="R69" s="17"/>
      <c r="S69" s="17"/>
      <c r="T69" s="17"/>
      <c r="U69" s="17"/>
      <c r="V69" s="17"/>
    </row>
    <row r="70" spans="1:22" ht="24" customHeight="1">
      <c r="A70" s="226" t="s">
        <v>145</v>
      </c>
      <c r="B70" s="378" t="s">
        <v>146</v>
      </c>
      <c r="C70" s="378"/>
      <c r="D70" s="222">
        <f>ROUND(D63*'[1]数据-取费表'!B41/(1+'[1]数据-取费表'!C42),0)</f>
        <v>7001</v>
      </c>
      <c r="E70" s="227" t="s">
        <v>147</v>
      </c>
      <c r="F70" s="228">
        <f>'[1]数据-取费表'!B41</f>
        <v>5.6000000000000001E-2</v>
      </c>
      <c r="G70" s="229"/>
      <c r="H70" s="16"/>
      <c r="I70" s="212"/>
      <c r="J70" s="213"/>
      <c r="K70" s="230"/>
      <c r="L70" s="231"/>
      <c r="M70" s="231"/>
      <c r="N70" s="232" t="s">
        <v>125</v>
      </c>
      <c r="O70" s="231"/>
      <c r="P70" s="233"/>
      <c r="Q70" s="17"/>
      <c r="R70" s="17"/>
      <c r="S70" s="17"/>
      <c r="T70" s="17"/>
      <c r="U70" s="17"/>
      <c r="V70" s="17"/>
    </row>
    <row r="71" spans="1:22" ht="12" customHeight="1">
      <c r="A71" s="226" t="s">
        <v>148</v>
      </c>
      <c r="B71" s="377" t="s">
        <v>149</v>
      </c>
      <c r="C71" s="396"/>
      <c r="D71" s="222">
        <f>ROUND(D63*'[1]数据-取费表'!B41/(1+'[1]数据-取费表'!C42),0)</f>
        <v>7001</v>
      </c>
      <c r="E71" s="227" t="s">
        <v>147</v>
      </c>
      <c r="F71" s="228">
        <f>'[1]数据-取费表'!B41</f>
        <v>5.6000000000000001E-2</v>
      </c>
      <c r="G71" s="229"/>
      <c r="H71" s="16"/>
      <c r="I71" s="212"/>
      <c r="J71" s="213"/>
      <c r="K71" s="234" t="s">
        <v>150</v>
      </c>
      <c r="L71" s="397" t="s">
        <v>151</v>
      </c>
      <c r="M71" s="397"/>
      <c r="N71" s="234" t="s">
        <v>152</v>
      </c>
      <c r="O71" s="234" t="s">
        <v>153</v>
      </c>
      <c r="P71" s="234" t="s">
        <v>154</v>
      </c>
      <c r="Q71" s="17"/>
      <c r="R71" s="17"/>
      <c r="S71" s="17"/>
      <c r="T71" s="17"/>
      <c r="U71" s="17"/>
      <c r="V71" s="17"/>
    </row>
    <row r="72" spans="1:22" ht="12" customHeight="1">
      <c r="A72" s="226" t="s">
        <v>155</v>
      </c>
      <c r="B72" s="377" t="s">
        <v>156</v>
      </c>
      <c r="C72" s="396"/>
      <c r="D72" s="222">
        <f>C86</f>
        <v>6889</v>
      </c>
      <c r="E72" s="223" t="s">
        <v>157</v>
      </c>
      <c r="F72" s="228">
        <f>'[1]数据-取费表'!B41</f>
        <v>5.6000000000000001E-2</v>
      </c>
      <c r="G72" s="229"/>
      <c r="H72" s="235"/>
      <c r="I72" s="212"/>
      <c r="J72" s="213"/>
      <c r="K72" s="214">
        <v>1</v>
      </c>
      <c r="L72" s="385" t="s">
        <v>158</v>
      </c>
      <c r="M72" s="385"/>
      <c r="N72" s="236">
        <f>D66</f>
        <v>7001</v>
      </c>
      <c r="O72" s="237" t="str">
        <f>E66</f>
        <v>销售额×税（费）率</v>
      </c>
      <c r="P72" s="238">
        <f>F66</f>
        <v>5.6000000000000001E-2</v>
      </c>
      <c r="Q72" s="17"/>
      <c r="R72" s="17"/>
      <c r="S72" s="17"/>
      <c r="T72" s="17"/>
      <c r="U72" s="17"/>
      <c r="V72" s="17"/>
    </row>
    <row r="73" spans="1:22" ht="24" customHeight="1">
      <c r="A73" s="389" t="s">
        <v>159</v>
      </c>
      <c r="B73" s="390"/>
      <c r="C73" s="390"/>
      <c r="D73" s="239">
        <f>IF(H73="个人住宅",0,ROUND(D63*I73,0))</f>
        <v>0</v>
      </c>
      <c r="E73" s="227" t="s">
        <v>160</v>
      </c>
      <c r="F73" s="228" t="str">
        <f>IF(H73="正常",I73,"免征")</f>
        <v>免征</v>
      </c>
      <c r="G73" s="229"/>
      <c r="H73" s="202" t="s">
        <v>161</v>
      </c>
      <c r="I73" s="228">
        <f>'[1]数据-取费表'!B49</f>
        <v>5.0000000000000001E-4</v>
      </c>
      <c r="J73" s="213"/>
      <c r="K73" s="214">
        <v>2</v>
      </c>
      <c r="L73" s="385" t="s">
        <v>162</v>
      </c>
      <c r="M73" s="385"/>
      <c r="N73" s="236">
        <f t="shared" ref="N73:P74" si="1">D73</f>
        <v>0</v>
      </c>
      <c r="O73" s="237" t="str">
        <f t="shared" si="1"/>
        <v>销售额×税（费）率</v>
      </c>
      <c r="P73" s="238" t="str">
        <f t="shared" si="1"/>
        <v>免征</v>
      </c>
      <c r="Q73" s="17"/>
      <c r="R73" s="17"/>
      <c r="S73" s="17"/>
      <c r="T73" s="17"/>
      <c r="U73" s="17"/>
      <c r="V73" s="17"/>
    </row>
    <row r="74" spans="1:22" ht="24.75">
      <c r="A74" s="389" t="s">
        <v>163</v>
      </c>
      <c r="B74" s="390"/>
      <c r="C74" s="390"/>
      <c r="D74" s="239">
        <f>IF(H74="个人住宅",D75,D76)</f>
        <v>73645</v>
      </c>
      <c r="E74" s="227" t="s">
        <v>164</v>
      </c>
      <c r="F74" s="228" t="str">
        <f>IF(H74="正常",F76,"免征")</f>
        <v>——</v>
      </c>
      <c r="G74" s="240" t="s">
        <v>134</v>
      </c>
      <c r="H74" s="241" t="s">
        <v>165</v>
      </c>
      <c r="I74" s="242"/>
      <c r="J74" s="213"/>
      <c r="K74" s="214">
        <v>3</v>
      </c>
      <c r="L74" s="385" t="s">
        <v>166</v>
      </c>
      <c r="M74" s="385"/>
      <c r="N74" s="236">
        <f t="shared" si="1"/>
        <v>73645</v>
      </c>
      <c r="O74" s="237" t="str">
        <f t="shared" si="1"/>
        <v>增值额×税（费）率</v>
      </c>
      <c r="P74" s="243" t="str">
        <f t="shared" si="1"/>
        <v>——</v>
      </c>
      <c r="Q74" s="17"/>
      <c r="R74" s="17"/>
      <c r="S74" s="17"/>
      <c r="T74" s="17"/>
      <c r="U74" s="17"/>
      <c r="V74" s="17"/>
    </row>
    <row r="75" spans="1:22" ht="24">
      <c r="A75" s="226" t="s">
        <v>137</v>
      </c>
      <c r="B75" s="391" t="s">
        <v>167</v>
      </c>
      <c r="C75" s="392"/>
      <c r="D75" s="244">
        <v>0</v>
      </c>
      <c r="E75" s="210" t="s">
        <v>139</v>
      </c>
      <c r="F75" s="245"/>
      <c r="G75" s="229"/>
      <c r="H75" s="242"/>
      <c r="I75" s="242"/>
      <c r="J75" s="213"/>
      <c r="K75" s="214">
        <f>IF(H77="非个人房产","",4)</f>
        <v>4</v>
      </c>
      <c r="L75" s="385" t="str">
        <f>IF(H77="非个人房产","——","个人所得税")</f>
        <v>个人所得税</v>
      </c>
      <c r="M75" s="385"/>
      <c r="N75" s="246">
        <f>D77</f>
        <v>1313</v>
      </c>
      <c r="O75" s="247" t="str">
        <f>E77</f>
        <v>销售额×税（费）率</v>
      </c>
      <c r="P75" s="248">
        <f>F77</f>
        <v>0.01</v>
      </c>
      <c r="Q75" s="17"/>
      <c r="R75" s="17"/>
      <c r="S75" s="17"/>
      <c r="T75" s="17"/>
      <c r="U75" s="17"/>
      <c r="V75" s="17"/>
    </row>
    <row r="76" spans="1:22" ht="24.75">
      <c r="A76" s="226" t="s">
        <v>145</v>
      </c>
      <c r="B76" s="391" t="s">
        <v>168</v>
      </c>
      <c r="C76" s="393"/>
      <c r="D76" s="239">
        <f>IF(H76="转让取得",C99,C115)</f>
        <v>73645</v>
      </c>
      <c r="E76" s="227" t="s">
        <v>164</v>
      </c>
      <c r="F76" s="191" t="s">
        <v>112</v>
      </c>
      <c r="G76" s="229"/>
      <c r="H76" s="241" t="s">
        <v>169</v>
      </c>
      <c r="I76" s="242"/>
      <c r="J76" s="213"/>
      <c r="K76" s="214" t="str">
        <f>IF([1]项目基本情况!K6="上海银行",IF(K75="",4,K75+1),"")</f>
        <v/>
      </c>
      <c r="L76" s="394" t="str">
        <f>IF([1]项目基本情况!K6="上海银行","其他处置费用","")</f>
        <v/>
      </c>
      <c r="M76" s="395"/>
      <c r="N76" s="236" t="str">
        <f>IF([1]项目基本情况!K6="上海银行",N89,"")</f>
        <v/>
      </c>
      <c r="O76" s="380" t="str">
        <f>IF([1]项目基本情况!K6="上海银行","包含处置中涉及的律师、诉讼、拍卖、评估等费用","")</f>
        <v/>
      </c>
      <c r="P76" s="381"/>
      <c r="Q76" s="17"/>
      <c r="R76" s="17"/>
      <c r="S76" s="17"/>
      <c r="T76" s="17"/>
      <c r="U76" s="17"/>
      <c r="V76" s="17"/>
    </row>
    <row r="77" spans="1:22" ht="26.25" thickBot="1">
      <c r="A77" s="382" t="s">
        <v>170</v>
      </c>
      <c r="B77" s="383"/>
      <c r="C77" s="383"/>
      <c r="D77" s="249">
        <f>IF(H77="非个人房产","——",IF(H77="个人住宅",0,ROUND(D63*I77,0)))</f>
        <v>1313</v>
      </c>
      <c r="E77" s="250" t="str">
        <f>IF(H77="非个人房产","——","销售额×税（费）率")</f>
        <v>销售额×税（费）率</v>
      </c>
      <c r="F77" s="251">
        <f>IF(H77="非个人房产","——",IF(H77="个人住宅","免征",I77))</f>
        <v>0.01</v>
      </c>
      <c r="G77" s="252" t="s">
        <v>134</v>
      </c>
      <c r="H77" s="241" t="s">
        <v>171</v>
      </c>
      <c r="I77" s="253">
        <v>0.01</v>
      </c>
      <c r="J77" s="213"/>
      <c r="K77" s="384">
        <f>IF(AND(K75="",K76=""),4,IF([1]项目基本情况!K6="上海银行",K76+1,K75+1))</f>
        <v>5</v>
      </c>
      <c r="L77" s="385" t="s">
        <v>172</v>
      </c>
      <c r="M77" s="254" t="s">
        <v>173</v>
      </c>
      <c r="N77" s="255"/>
      <c r="O77" s="256">
        <f>SUMIF(N72:N76,"&lt;9e307")</f>
        <v>81959</v>
      </c>
      <c r="P77" s="257"/>
      <c r="Q77" s="258">
        <f>O77/N69</f>
        <v>0.37460464010823263</v>
      </c>
      <c r="R77" s="17"/>
      <c r="S77" s="17"/>
      <c r="T77" s="17"/>
      <c r="U77" s="17"/>
      <c r="V77" s="17"/>
    </row>
    <row r="78" spans="1:22" ht="12" customHeight="1">
      <c r="A78" s="259"/>
      <c r="B78" s="16"/>
      <c r="C78" s="16"/>
      <c r="D78" s="16"/>
      <c r="E78" s="242"/>
      <c r="F78" s="242"/>
      <c r="G78" s="242"/>
      <c r="H78" s="260"/>
      <c r="I78" s="16"/>
      <c r="J78" s="213"/>
      <c r="K78" s="384"/>
      <c r="L78" s="385"/>
      <c r="M78" s="254" t="s">
        <v>174</v>
      </c>
      <c r="N78" s="255"/>
      <c r="O78" s="256" t="str">
        <f>NUMBERSTRING(INT(O77*10000),2)&amp;"元整"</f>
        <v>捌亿壹仟玖佰伍拾玖万元整</v>
      </c>
      <c r="P78" s="257"/>
      <c r="Q78" s="17"/>
      <c r="R78" s="17"/>
      <c r="S78" s="17"/>
      <c r="T78" s="17"/>
      <c r="U78" s="17"/>
      <c r="V78" s="17"/>
    </row>
    <row r="79" spans="1:22" ht="13.5" thickBot="1">
      <c r="A79" s="386" t="s">
        <v>175</v>
      </c>
      <c r="B79" s="386"/>
      <c r="C79" s="386"/>
      <c r="D79" s="386"/>
      <c r="E79" s="386"/>
      <c r="F79" s="242"/>
      <c r="G79" s="242"/>
      <c r="H79" s="260"/>
      <c r="I79" s="16"/>
      <c r="J79" s="213"/>
      <c r="K79" s="387">
        <f>K77+1</f>
        <v>6</v>
      </c>
      <c r="L79" s="385" t="s">
        <v>176</v>
      </c>
      <c r="M79" s="254" t="s">
        <v>173</v>
      </c>
      <c r="N79" s="255"/>
      <c r="O79" s="256">
        <f>N69-O77</f>
        <v>136829</v>
      </c>
      <c r="P79" s="257"/>
      <c r="Q79" s="17"/>
      <c r="R79" s="17"/>
      <c r="S79" s="17"/>
      <c r="T79" s="17"/>
      <c r="U79" s="17"/>
      <c r="V79" s="17"/>
    </row>
    <row r="80" spans="1:22" ht="25.5">
      <c r="A80" s="368" t="s">
        <v>177</v>
      </c>
      <c r="B80" s="369"/>
      <c r="C80" s="261"/>
      <c r="D80" s="261" t="s">
        <v>178</v>
      </c>
      <c r="E80" s="262" t="s">
        <v>131</v>
      </c>
      <c r="F80" s="242"/>
      <c r="G80" s="242"/>
      <c r="H80" s="260"/>
      <c r="I80" s="16"/>
      <c r="J80" s="17"/>
      <c r="K80" s="388"/>
      <c r="L80" s="385"/>
      <c r="M80" s="254" t="s">
        <v>174</v>
      </c>
      <c r="N80" s="255"/>
      <c r="O80" s="256" t="str">
        <f>NUMBERSTRING(INT(O79*10000),2)&amp;"元整"</f>
        <v>壹拾叁亿陆仟捌佰贰拾玖万元整</v>
      </c>
      <c r="P80" s="257"/>
      <c r="Q80" s="17"/>
      <c r="R80" s="17"/>
      <c r="S80" s="17"/>
      <c r="T80" s="17"/>
      <c r="U80" s="17"/>
      <c r="V80" s="17"/>
    </row>
    <row r="81" spans="1:26" ht="13.5" thickBot="1">
      <c r="A81" s="263" t="s">
        <v>179</v>
      </c>
      <c r="B81" s="264" t="s">
        <v>180</v>
      </c>
      <c r="C81" s="265">
        <f>ROUND((C82+C83)/(1+'[1]数据-取费表'!C42),0)</f>
        <v>125022</v>
      </c>
      <c r="D81" s="266"/>
      <c r="E81" s="267"/>
      <c r="F81" s="242"/>
      <c r="G81" s="242"/>
      <c r="H81" s="260"/>
      <c r="I81" s="16"/>
      <c r="J81" s="17"/>
      <c r="K81" s="214">
        <f>K79+1</f>
        <v>7</v>
      </c>
      <c r="L81" s="374" t="s">
        <v>181</v>
      </c>
      <c r="M81" s="375"/>
      <c r="N81" s="268"/>
      <c r="O81" s="269">
        <f>ROUND(O79*10000/'[1]数据-汇总表'!E3,0)</f>
        <v>46710</v>
      </c>
      <c r="P81" s="270"/>
      <c r="Q81" s="17"/>
      <c r="R81" s="17"/>
      <c r="S81" s="17"/>
      <c r="T81" s="17"/>
      <c r="U81" s="17"/>
      <c r="V81" s="17"/>
    </row>
    <row r="82" spans="1:26" ht="13.5" thickTop="1">
      <c r="A82" s="271" t="s">
        <v>182</v>
      </c>
      <c r="B82" s="272" t="s">
        <v>183</v>
      </c>
      <c r="C82" s="273">
        <f>D63</f>
        <v>131273</v>
      </c>
      <c r="D82" s="274" t="s">
        <v>112</v>
      </c>
      <c r="E82" s="275"/>
      <c r="F82" s="242"/>
      <c r="G82" s="242"/>
      <c r="H82" s="260"/>
      <c r="I82" s="16"/>
      <c r="J82" s="17"/>
      <c r="K82" s="17"/>
      <c r="L82" s="17"/>
      <c r="M82" s="17"/>
      <c r="N82" s="17"/>
      <c r="O82" s="17"/>
      <c r="P82" s="17"/>
      <c r="Q82" s="17"/>
      <c r="R82" s="17"/>
      <c r="S82" s="17"/>
      <c r="T82" s="17"/>
      <c r="U82" s="17"/>
      <c r="V82" s="17"/>
    </row>
    <row r="83" spans="1:26" ht="12.75">
      <c r="A83" s="271" t="s">
        <v>184</v>
      </c>
      <c r="B83" s="272" t="s">
        <v>185</v>
      </c>
      <c r="C83" s="276">
        <v>0</v>
      </c>
      <c r="D83" s="274"/>
      <c r="E83" s="275"/>
      <c r="F83" s="242"/>
      <c r="G83" s="242"/>
      <c r="H83" s="260"/>
      <c r="I83" s="16"/>
      <c r="J83" s="17"/>
      <c r="K83" s="376" t="s">
        <v>186</v>
      </c>
      <c r="L83" s="277" t="s">
        <v>187</v>
      </c>
      <c r="M83" s="278">
        <f>IF(N69&gt;10000,N69*0.5%,IF(AND(N69&gt;1000,N69&lt;=10000),N69*1%,IF(AND(N69&gt;100,N69&lt;=1000),N69*3%,IF(AND(N69&gt;10,N69&lt;=100),N69*5%,N69*8%))))</f>
        <v>1093.94</v>
      </c>
      <c r="N83" s="191">
        <f>ROUND(M83,1)</f>
        <v>1093.9000000000001</v>
      </c>
      <c r="O83" s="279"/>
      <c r="P83" s="17"/>
      <c r="Q83" s="17"/>
      <c r="R83" s="17"/>
      <c r="S83" s="17"/>
      <c r="T83" s="17"/>
      <c r="U83" s="17"/>
      <c r="V83" s="17"/>
    </row>
    <row r="84" spans="1:26" ht="12.75">
      <c r="A84" s="263" t="s">
        <v>188</v>
      </c>
      <c r="B84" s="280" t="s">
        <v>189</v>
      </c>
      <c r="C84" s="281">
        <v>2000</v>
      </c>
      <c r="D84" s="282" t="s">
        <v>112</v>
      </c>
      <c r="E84" s="283" t="s">
        <v>190</v>
      </c>
      <c r="F84" s="242"/>
      <c r="G84" s="242"/>
      <c r="H84" s="260"/>
      <c r="I84" s="16"/>
      <c r="J84" s="17"/>
      <c r="K84" s="376"/>
      <c r="L84" s="277" t="s">
        <v>191</v>
      </c>
      <c r="M84" s="278">
        <f>IF(N69&gt;2000,N69*0.5%,IF(AND(N69&gt;1000,N69&lt;=2000),N69*0.6%,IF(AND(N69&gt;500,N69&lt;=1000),N69*0.7%,IF(AND(N69&gt;200,N69&lt;=500),N69*0.8%,IF(AND(N69&gt;100,N69&lt;=200),N69*0.9%,IF(AND(N69&gt;50,N69&lt;=100),N69*1%,IF(AND(N69&gt;20,N69&lt;=50),N69*1.5%,IF(AND(N69&gt;10,N69&lt;=20),N69*2%,IF(AND(N69&gt;1,N69&lt;=10),N69*2.5%)))))))))</f>
        <v>1093.94</v>
      </c>
      <c r="N84" s="191">
        <f t="shared" ref="N84:N85" si="2">ROUND(M84,1)</f>
        <v>1093.9000000000001</v>
      </c>
      <c r="O84" s="17" t="s">
        <v>192</v>
      </c>
      <c r="P84" s="17"/>
      <c r="Q84" s="17"/>
      <c r="R84" s="17"/>
      <c r="S84" s="17"/>
      <c r="T84" s="17"/>
      <c r="U84" s="17"/>
      <c r="V84" s="17"/>
    </row>
    <row r="85" spans="1:26" ht="12.75">
      <c r="A85" s="263" t="s">
        <v>193</v>
      </c>
      <c r="B85" s="280" t="s">
        <v>194</v>
      </c>
      <c r="C85" s="284">
        <f>C81-C84</f>
        <v>123022</v>
      </c>
      <c r="D85" s="274" t="s">
        <v>112</v>
      </c>
      <c r="E85" s="275"/>
      <c r="F85" s="242"/>
      <c r="G85" s="242"/>
      <c r="H85" s="260"/>
      <c r="I85" s="16"/>
      <c r="J85" s="17"/>
      <c r="K85" s="376"/>
      <c r="L85" s="277" t="s">
        <v>195</v>
      </c>
      <c r="M85" s="278">
        <f>IF(N69&gt;1000,N69*0.1%,IF(AND(N69&gt;500,N69&lt;=1000),N69*0.5%,IF(AND(N69&gt;50,N69&lt;=500),N69*1%,IF(AND(N69&gt;1,N69&lt;=50),N69*1.5%))))</f>
        <v>218.78800000000001</v>
      </c>
      <c r="N85" s="191">
        <f t="shared" si="2"/>
        <v>218.8</v>
      </c>
      <c r="O85" s="17" t="s">
        <v>192</v>
      </c>
      <c r="P85" s="17"/>
      <c r="Q85" s="17"/>
      <c r="R85" s="17"/>
      <c r="S85" s="17"/>
      <c r="T85" s="17"/>
      <c r="U85" s="17"/>
      <c r="V85" s="17"/>
    </row>
    <row r="86" spans="1:26" ht="13.5" thickBot="1">
      <c r="A86" s="285" t="s">
        <v>196</v>
      </c>
      <c r="B86" s="286" t="s">
        <v>197</v>
      </c>
      <c r="C86" s="287">
        <f>IF(C85&lt;=0,0,ROUND(C85*D86,0))</f>
        <v>6889</v>
      </c>
      <c r="D86" s="288">
        <f>'[1]数据-取费表'!B41</f>
        <v>5.6000000000000001E-2</v>
      </c>
      <c r="E86" s="289"/>
      <c r="F86" s="242"/>
      <c r="G86" s="242"/>
      <c r="H86" s="260"/>
      <c r="I86" s="16"/>
      <c r="J86" s="17"/>
      <c r="K86" s="376"/>
      <c r="L86" s="277" t="s">
        <v>198</v>
      </c>
      <c r="M86" s="278">
        <f>N69*0.5%</f>
        <v>1093.94</v>
      </c>
      <c r="N86" s="191">
        <f>IF(M86&gt;0.5,0.5,ROUND(M86,0))</f>
        <v>0.5</v>
      </c>
      <c r="O86" s="17" t="s">
        <v>199</v>
      </c>
      <c r="P86" s="17"/>
      <c r="Q86" s="17"/>
      <c r="R86" s="17"/>
      <c r="S86" s="17"/>
      <c r="T86" s="17"/>
      <c r="U86" s="17"/>
      <c r="V86" s="17"/>
    </row>
    <row r="87" spans="1:26" s="72" customFormat="1" ht="14.25" customHeight="1">
      <c r="A87" s="290"/>
      <c r="B87" s="291"/>
      <c r="C87" s="292"/>
      <c r="D87" s="293"/>
      <c r="E87" s="294"/>
      <c r="F87" s="242"/>
      <c r="G87" s="242"/>
      <c r="H87" s="260"/>
      <c r="I87" s="16"/>
      <c r="J87" s="17"/>
      <c r="K87" s="376"/>
      <c r="L87" s="277" t="s">
        <v>200</v>
      </c>
      <c r="M87" s="278">
        <f>IF(N69&gt;=10000,(8.25+(N69-10000)*0.01%),IF(AND(N69&gt;=8000,N69&lt;10000),(7.85+(N69-8000)*0.02%),IF(AND(N69&gt;=5000,N69&lt;8000),(6.65+(N69-5000)*0.04%),IF(AND(N69&gt;=2000,N69&lt;5000),(4.25+(PN69-2000)*0.08%),IF(AND(N69&gt;=1000,N69&lt;2000),(2.75+(N69-1000)*0.15%),IF(AND(N69&gt;=100,N69&lt;1000),(0.5+(N69-100)*0.25%),IF(AND(N69&gt;0,N69&lt;100),N69*0.5%)))))))</f>
        <v>29.128800000000002</v>
      </c>
      <c r="N87" s="191">
        <f>ROUND(M87*0.9,1)</f>
        <v>26.2</v>
      </c>
      <c r="O87" s="279"/>
      <c r="P87" s="16"/>
      <c r="Q87" s="17"/>
      <c r="R87" s="17"/>
      <c r="S87" s="17"/>
      <c r="T87" s="17"/>
      <c r="U87" s="17"/>
      <c r="V87" s="17"/>
      <c r="W87" s="71"/>
      <c r="X87" s="71"/>
      <c r="Y87" s="71"/>
      <c r="Z87" s="71"/>
    </row>
    <row r="88" spans="1:26" s="299" customFormat="1" ht="15" thickBot="1">
      <c r="A88" s="366" t="s">
        <v>201</v>
      </c>
      <c r="B88" s="367"/>
      <c r="C88" s="367"/>
      <c r="D88" s="367"/>
      <c r="E88" s="367"/>
      <c r="F88" s="367"/>
      <c r="G88" s="367"/>
      <c r="H88" s="367"/>
      <c r="I88" s="295"/>
      <c r="J88" s="296"/>
      <c r="K88" s="376"/>
      <c r="L88" s="277" t="s">
        <v>202</v>
      </c>
      <c r="M88" s="278">
        <f>IF(N69&gt;10000,N69*0.5%,IF(AND(N69&gt;5000,N69&lt;=10000),N69*1%,IF(AND(N69&gt;1000,N69&lt;=5000),N69*2%,IF(AND(N69&gt;200,N69&lt;=1000),N69*3%,N69*5%))))</f>
        <v>1093.94</v>
      </c>
      <c r="N88" s="191">
        <f>ROUND(M88,1)</f>
        <v>1093.9000000000001</v>
      </c>
      <c r="O88" s="279"/>
      <c r="P88" s="186"/>
      <c r="Q88" s="297"/>
      <c r="R88" s="297"/>
      <c r="S88" s="297"/>
      <c r="T88" s="297"/>
      <c r="U88" s="297"/>
      <c r="V88" s="297"/>
      <c r="W88" s="298"/>
      <c r="X88" s="298"/>
      <c r="Y88" s="298"/>
      <c r="Z88" s="298"/>
    </row>
    <row r="89" spans="1:26" s="299" customFormat="1" ht="14.25">
      <c r="A89" s="368" t="s">
        <v>177</v>
      </c>
      <c r="B89" s="369"/>
      <c r="C89" s="261"/>
      <c r="D89" s="261" t="s">
        <v>178</v>
      </c>
      <c r="E89" s="300" t="s">
        <v>131</v>
      </c>
      <c r="F89" s="301"/>
      <c r="G89" s="301"/>
      <c r="H89" s="302"/>
      <c r="I89" s="303"/>
      <c r="J89" s="304"/>
      <c r="K89" s="376"/>
      <c r="L89" s="277" t="s">
        <v>203</v>
      </c>
      <c r="M89" s="305"/>
      <c r="N89" s="191">
        <f>ROUND(SUM(N83:N88),0)</f>
        <v>3527</v>
      </c>
      <c r="O89" s="306">
        <f>N89/N69</f>
        <v>1.6120628188017624E-2</v>
      </c>
      <c r="P89" s="297"/>
      <c r="Q89" s="297"/>
      <c r="R89" s="297"/>
      <c r="S89" s="297"/>
      <c r="T89" s="297"/>
      <c r="U89" s="297"/>
      <c r="V89" s="297"/>
      <c r="W89" s="298"/>
      <c r="X89" s="298"/>
      <c r="Y89" s="298"/>
      <c r="Z89" s="298"/>
    </row>
    <row r="90" spans="1:26" s="299" customFormat="1" ht="14.25">
      <c r="A90" s="263" t="s">
        <v>179</v>
      </c>
      <c r="B90" s="280" t="s">
        <v>204</v>
      </c>
      <c r="C90" s="284">
        <f>ROUND(D63/(1+'[1]数据-取费表'!C42),0)</f>
        <v>125022</v>
      </c>
      <c r="D90" s="274" t="s">
        <v>112</v>
      </c>
      <c r="E90" s="307"/>
      <c r="F90" s="308"/>
      <c r="G90" s="308"/>
      <c r="H90" s="309"/>
      <c r="I90" s="303"/>
      <c r="J90" s="304"/>
      <c r="K90" s="297"/>
      <c r="L90" s="297"/>
      <c r="M90" s="297"/>
      <c r="N90" s="297"/>
      <c r="O90" s="297"/>
      <c r="P90" s="297"/>
      <c r="Q90" s="297"/>
      <c r="R90" s="297"/>
      <c r="S90" s="297"/>
      <c r="T90" s="297"/>
      <c r="U90" s="297"/>
      <c r="V90" s="297"/>
      <c r="W90" s="298"/>
      <c r="X90" s="298"/>
      <c r="Y90" s="298"/>
      <c r="Z90" s="298"/>
    </row>
    <row r="91" spans="1:26" s="299" customFormat="1" ht="14.25">
      <c r="A91" s="263" t="s">
        <v>188</v>
      </c>
      <c r="B91" s="192" t="s">
        <v>205</v>
      </c>
      <c r="C91" s="284">
        <f>C92+C96</f>
        <v>3311</v>
      </c>
      <c r="D91" s="274" t="s">
        <v>112</v>
      </c>
      <c r="E91" s="307"/>
      <c r="F91" s="308"/>
      <c r="G91" s="308"/>
      <c r="H91" s="309"/>
      <c r="I91" s="303"/>
      <c r="J91" s="304"/>
      <c r="K91" s="297"/>
      <c r="L91" s="297"/>
      <c r="M91" s="297"/>
      <c r="N91" s="297"/>
      <c r="O91" s="297"/>
      <c r="P91" s="297"/>
      <c r="Q91" s="297"/>
      <c r="R91" s="297"/>
      <c r="S91" s="297"/>
      <c r="T91" s="297"/>
      <c r="U91" s="297"/>
      <c r="V91" s="297"/>
      <c r="W91" s="298"/>
      <c r="X91" s="298"/>
      <c r="Y91" s="298"/>
      <c r="Z91" s="298"/>
    </row>
    <row r="92" spans="1:26" s="299" customFormat="1" ht="24">
      <c r="A92" s="310" t="s">
        <v>182</v>
      </c>
      <c r="B92" s="272" t="s">
        <v>206</v>
      </c>
      <c r="C92" s="274">
        <f>ROUND(IF(G95="2016年5月1日后购买",C93/(1+'[1]数据-取费表'!C30)+C94+C95,C93+C94+C95),0)</f>
        <v>2561</v>
      </c>
      <c r="D92" s="274" t="s">
        <v>112</v>
      </c>
      <c r="E92" s="307"/>
      <c r="F92" s="308"/>
      <c r="G92" s="308"/>
      <c r="H92" s="309"/>
      <c r="I92" s="303"/>
      <c r="J92" s="304"/>
      <c r="K92" s="297"/>
      <c r="L92" s="297"/>
      <c r="M92" s="297"/>
      <c r="N92" s="297"/>
      <c r="O92" s="297"/>
      <c r="P92" s="297"/>
      <c r="Q92" s="297"/>
      <c r="R92" s="297"/>
      <c r="S92" s="297"/>
      <c r="T92" s="297"/>
      <c r="U92" s="297"/>
      <c r="V92" s="297"/>
      <c r="W92" s="298"/>
      <c r="X92" s="298"/>
      <c r="Y92" s="298"/>
      <c r="Z92" s="298"/>
    </row>
    <row r="93" spans="1:26" s="299" customFormat="1" ht="14.25">
      <c r="A93" s="310" t="s">
        <v>207</v>
      </c>
      <c r="B93" s="272" t="s">
        <v>208</v>
      </c>
      <c r="C93" s="311">
        <v>2000</v>
      </c>
      <c r="D93" s="274" t="s">
        <v>112</v>
      </c>
      <c r="E93" s="312" t="s">
        <v>209</v>
      </c>
      <c r="F93" s="313" t="s">
        <v>210</v>
      </c>
      <c r="G93" s="312" t="s">
        <v>211</v>
      </c>
      <c r="H93" s="314">
        <v>5</v>
      </c>
      <c r="I93" s="186"/>
      <c r="J93" s="297"/>
      <c r="K93" s="297"/>
      <c r="L93" s="297"/>
      <c r="M93" s="297"/>
      <c r="N93" s="297"/>
      <c r="O93" s="297"/>
      <c r="P93" s="297"/>
      <c r="Q93" s="297"/>
      <c r="R93" s="297"/>
      <c r="S93" s="297"/>
      <c r="T93" s="297"/>
      <c r="U93" s="297"/>
      <c r="V93" s="297"/>
      <c r="W93" s="298"/>
      <c r="X93" s="298"/>
      <c r="Y93" s="298"/>
      <c r="Z93" s="298"/>
    </row>
    <row r="94" spans="1:26" s="299" customFormat="1" ht="24.75" customHeight="1">
      <c r="A94" s="310" t="s">
        <v>212</v>
      </c>
      <c r="B94" s="315" t="s">
        <v>213</v>
      </c>
      <c r="C94" s="274">
        <f>IF(F93="购房发票",ROUND(C93*H93*5%,0),0)</f>
        <v>500</v>
      </c>
      <c r="D94" s="316">
        <v>0.05</v>
      </c>
      <c r="E94" s="377" t="s">
        <v>214</v>
      </c>
      <c r="F94" s="378"/>
      <c r="G94" s="378"/>
      <c r="H94" s="379"/>
      <c r="I94" s="303"/>
      <c r="J94" s="304"/>
      <c r="K94" s="297"/>
      <c r="L94" s="297"/>
      <c r="M94" s="297"/>
      <c r="N94" s="297"/>
      <c r="O94" s="297"/>
      <c r="P94" s="297"/>
      <c r="Q94" s="297"/>
      <c r="R94" s="297"/>
      <c r="S94" s="297"/>
      <c r="T94" s="297"/>
      <c r="U94" s="297"/>
      <c r="V94" s="297"/>
      <c r="W94" s="298"/>
      <c r="X94" s="298"/>
      <c r="Y94" s="298"/>
      <c r="Z94" s="298"/>
    </row>
    <row r="95" spans="1:26" s="299" customFormat="1" ht="24.75" customHeight="1">
      <c r="A95" s="310" t="s">
        <v>215</v>
      </c>
      <c r="B95" s="272" t="s">
        <v>216</v>
      </c>
      <c r="C95" s="274">
        <f>ROUND(IF(G95="个人买卖住房",0,IF(G95="2016年5月1日前购买",C93*D95,C93*D95/(1+'[1]数据-取费表'!C42))),0)</f>
        <v>61</v>
      </c>
      <c r="D95" s="317">
        <f>'[1]数据-取费表'!B48+'[1]数据-取费表'!B49</f>
        <v>3.0499999999999999E-2</v>
      </c>
      <c r="E95" s="318" t="s">
        <v>217</v>
      </c>
      <c r="F95" s="319"/>
      <c r="G95" s="320" t="s">
        <v>218</v>
      </c>
      <c r="H95" s="321" t="str">
        <f>IF(G95="个人买卖住房","免征印花税"," ")</f>
        <v xml:space="preserve"> </v>
      </c>
      <c r="I95" s="303"/>
      <c r="J95" s="304"/>
      <c r="K95" s="297"/>
      <c r="L95" s="297"/>
      <c r="M95" s="297"/>
      <c r="N95" s="297"/>
      <c r="O95" s="297"/>
      <c r="P95" s="297"/>
      <c r="Q95" s="297"/>
      <c r="R95" s="297"/>
      <c r="S95" s="297"/>
      <c r="T95" s="297"/>
      <c r="U95" s="297"/>
      <c r="V95" s="297"/>
      <c r="W95" s="298"/>
      <c r="X95" s="298"/>
      <c r="Y95" s="298"/>
      <c r="Z95" s="298"/>
    </row>
    <row r="96" spans="1:26" s="299" customFormat="1" ht="24.75" customHeight="1">
      <c r="A96" s="310" t="s">
        <v>184</v>
      </c>
      <c r="B96" s="272" t="s">
        <v>219</v>
      </c>
      <c r="C96" s="322">
        <f>ROUND(D63*D96/(1+'[1]数据-取费表'!C42),0)</f>
        <v>750</v>
      </c>
      <c r="D96" s="323">
        <f>'[1]数据-取费表'!B43</f>
        <v>6.000000000000001E-3</v>
      </c>
      <c r="E96" s="373" t="s">
        <v>220</v>
      </c>
      <c r="F96" s="371"/>
      <c r="G96" s="371"/>
      <c r="H96" s="372"/>
      <c r="I96" s="324"/>
      <c r="J96" s="325"/>
      <c r="K96" s="297"/>
      <c r="L96" s="297"/>
      <c r="M96" s="297"/>
      <c r="N96" s="297"/>
      <c r="O96" s="297"/>
      <c r="P96" s="297"/>
      <c r="Q96" s="297"/>
      <c r="R96" s="297"/>
      <c r="S96" s="297"/>
      <c r="T96" s="297"/>
      <c r="U96" s="297"/>
      <c r="V96" s="297"/>
      <c r="W96" s="298"/>
      <c r="X96" s="298"/>
      <c r="Y96" s="298"/>
      <c r="Z96" s="298"/>
    </row>
    <row r="97" spans="1:26" s="299" customFormat="1" ht="14.25">
      <c r="A97" s="326" t="s">
        <v>193</v>
      </c>
      <c r="B97" s="280" t="s">
        <v>221</v>
      </c>
      <c r="C97" s="284">
        <f>C90-C91</f>
        <v>121711</v>
      </c>
      <c r="D97" s="274" t="s">
        <v>112</v>
      </c>
      <c r="E97" s="307"/>
      <c r="F97" s="308"/>
      <c r="G97" s="308"/>
      <c r="H97" s="309"/>
      <c r="I97" s="303"/>
      <c r="J97" s="304"/>
      <c r="K97" s="297"/>
      <c r="L97" s="297"/>
      <c r="M97" s="297"/>
      <c r="N97" s="297"/>
      <c r="O97" s="297"/>
      <c r="P97" s="297"/>
      <c r="Q97" s="297"/>
      <c r="R97" s="297"/>
      <c r="S97" s="297"/>
      <c r="T97" s="297"/>
      <c r="U97" s="297"/>
      <c r="V97" s="297"/>
      <c r="W97" s="298"/>
      <c r="X97" s="298"/>
      <c r="Y97" s="298"/>
      <c r="Z97" s="298"/>
    </row>
    <row r="98" spans="1:26" s="299" customFormat="1" ht="24">
      <c r="A98" s="326" t="s">
        <v>196</v>
      </c>
      <c r="B98" s="280" t="s">
        <v>222</v>
      </c>
      <c r="C98" s="327">
        <f>IF(C97&lt;=0,0,C97/C91)</f>
        <v>36.759589247961344</v>
      </c>
      <c r="D98" s="274" t="s">
        <v>112</v>
      </c>
      <c r="E98" s="318" t="str">
        <f>IF(C98&gt;=200%,"增值额超过扣除项目金额200%",IF(C98&gt;=100%,"增值额超过扣除项目金额100%，未超过200%",IF(C98&gt;=50%,"增值额超过扣除项目金额50%，未超过100%",IF(C98&lt;50%,"增值额未超过扣除项目金额50%"))))</f>
        <v>增值额超过扣除项目金额200%</v>
      </c>
      <c r="F98" s="308"/>
      <c r="G98" s="308"/>
      <c r="H98" s="309"/>
      <c r="I98" s="303"/>
      <c r="J98" s="304"/>
      <c r="K98" s="297"/>
      <c r="L98" s="297"/>
      <c r="M98" s="297"/>
      <c r="N98" s="297"/>
      <c r="O98" s="297"/>
      <c r="P98" s="297"/>
      <c r="Q98" s="297"/>
      <c r="R98" s="297"/>
      <c r="S98" s="297"/>
      <c r="T98" s="297"/>
      <c r="U98" s="297"/>
      <c r="V98" s="297"/>
      <c r="W98" s="298"/>
      <c r="X98" s="298"/>
      <c r="Y98" s="298"/>
      <c r="Z98" s="298"/>
    </row>
    <row r="99" spans="1:26" s="299" customFormat="1" ht="24.75" thickBot="1">
      <c r="A99" s="328" t="s">
        <v>223</v>
      </c>
      <c r="B99" s="286" t="s">
        <v>224</v>
      </c>
      <c r="C99" s="329">
        <f>ROUND(IF(C97&lt;=0,0,IF(C98&gt;=200%,C97*60%-C91*35%,IF(C98&gt;=100%,C97*50%-C91*15%,IF(C98&gt;=50%,C97*40%-C91*5%,IF(C98&lt;50%,C97*30%,0))))),0)</f>
        <v>71868</v>
      </c>
      <c r="D99" s="330" t="s">
        <v>112</v>
      </c>
      <c r="E99" s="33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332"/>
      <c r="G99" s="332"/>
      <c r="H99" s="333"/>
      <c r="I99" s="303"/>
      <c r="J99" s="304"/>
      <c r="K99" s="297"/>
      <c r="L99" s="297"/>
      <c r="M99" s="297"/>
      <c r="N99" s="297"/>
      <c r="O99" s="297"/>
      <c r="P99" s="297"/>
      <c r="Q99" s="297"/>
      <c r="R99" s="297"/>
      <c r="S99" s="297"/>
      <c r="T99" s="297"/>
      <c r="U99" s="297"/>
      <c r="V99" s="297"/>
      <c r="W99" s="298"/>
      <c r="X99" s="298"/>
      <c r="Y99" s="298"/>
      <c r="Z99" s="298"/>
    </row>
    <row r="100" spans="1:26" s="299" customFormat="1" ht="7.5" customHeight="1">
      <c r="A100" s="334"/>
      <c r="B100" s="335"/>
      <c r="C100" s="186"/>
      <c r="D100" s="186"/>
      <c r="E100" s="335"/>
      <c r="F100" s="335"/>
      <c r="G100" s="335"/>
      <c r="H100" s="336"/>
      <c r="I100" s="324"/>
      <c r="J100" s="325"/>
      <c r="K100" s="297"/>
      <c r="L100" s="297"/>
      <c r="M100" s="297"/>
      <c r="N100" s="297"/>
      <c r="O100" s="297"/>
      <c r="P100" s="297"/>
      <c r="Q100" s="297"/>
      <c r="R100" s="297"/>
      <c r="S100" s="297"/>
      <c r="T100" s="297"/>
      <c r="U100" s="297"/>
      <c r="V100" s="297"/>
      <c r="W100" s="298"/>
      <c r="X100" s="298"/>
      <c r="Y100" s="298"/>
      <c r="Z100" s="298"/>
    </row>
    <row r="101" spans="1:26" s="299" customFormat="1" ht="15" thickBot="1">
      <c r="A101" s="366" t="s">
        <v>225</v>
      </c>
      <c r="B101" s="367"/>
      <c r="C101" s="367"/>
      <c r="D101" s="367"/>
      <c r="E101" s="367"/>
      <c r="F101" s="367"/>
      <c r="G101" s="367"/>
      <c r="H101" s="367"/>
      <c r="I101" s="186"/>
      <c r="J101" s="297"/>
      <c r="K101" s="297"/>
      <c r="L101" s="297"/>
      <c r="M101" s="297"/>
      <c r="N101" s="297"/>
      <c r="O101" s="297"/>
      <c r="P101" s="297"/>
      <c r="Q101" s="297"/>
      <c r="R101" s="297"/>
      <c r="S101" s="297"/>
      <c r="T101" s="297"/>
      <c r="U101" s="297"/>
      <c r="V101" s="297"/>
      <c r="W101" s="298"/>
      <c r="X101" s="298"/>
      <c r="Y101" s="298"/>
      <c r="Z101" s="298"/>
    </row>
    <row r="102" spans="1:26" s="299" customFormat="1" ht="14.25">
      <c r="A102" s="368" t="s">
        <v>177</v>
      </c>
      <c r="B102" s="369"/>
      <c r="C102" s="261"/>
      <c r="D102" s="261" t="s">
        <v>178</v>
      </c>
      <c r="E102" s="300" t="s">
        <v>131</v>
      </c>
      <c r="F102" s="301"/>
      <c r="G102" s="301"/>
      <c r="H102" s="337"/>
      <c r="I102" s="186"/>
      <c r="J102" s="297"/>
      <c r="K102" s="297"/>
      <c r="L102" s="297"/>
      <c r="M102" s="297"/>
      <c r="N102" s="297"/>
      <c r="O102" s="297"/>
      <c r="P102" s="297"/>
      <c r="Q102" s="297"/>
      <c r="R102" s="297"/>
      <c r="S102" s="297"/>
      <c r="T102" s="297"/>
      <c r="U102" s="297"/>
      <c r="V102" s="297"/>
      <c r="W102" s="298"/>
      <c r="X102" s="298"/>
      <c r="Y102" s="298"/>
      <c r="Z102" s="298"/>
    </row>
    <row r="103" spans="1:26" s="299" customFormat="1" ht="14.25">
      <c r="A103" s="263" t="s">
        <v>179</v>
      </c>
      <c r="B103" s="280" t="s">
        <v>204</v>
      </c>
      <c r="C103" s="284">
        <f>ROUND(D63/(1+'[1]数据-取费表'!C42),0)</f>
        <v>125022</v>
      </c>
      <c r="D103" s="274" t="s">
        <v>112</v>
      </c>
      <c r="E103" s="307"/>
      <c r="F103" s="308"/>
      <c r="G103" s="308"/>
      <c r="H103" s="338"/>
      <c r="I103" s="186"/>
      <c r="J103" s="297"/>
      <c r="K103" s="297"/>
      <c r="L103" s="297"/>
      <c r="M103" s="297"/>
      <c r="N103" s="297"/>
      <c r="O103" s="297"/>
      <c r="P103" s="297"/>
      <c r="Q103" s="297"/>
      <c r="R103" s="297"/>
      <c r="S103" s="297"/>
      <c r="T103" s="297"/>
      <c r="U103" s="297"/>
      <c r="V103" s="297"/>
      <c r="W103" s="298"/>
      <c r="X103" s="298"/>
      <c r="Y103" s="298"/>
      <c r="Z103" s="298"/>
    </row>
    <row r="104" spans="1:26" s="299" customFormat="1" ht="14.25">
      <c r="A104" s="263" t="s">
        <v>188</v>
      </c>
      <c r="B104" s="192" t="s">
        <v>205</v>
      </c>
      <c r="C104" s="284">
        <f>IF(H106="仅含出让金",C105+C108+C109+C110+C111+C112,C105+C109+C110+C111+C112)</f>
        <v>1440</v>
      </c>
      <c r="D104" s="339"/>
      <c r="E104" s="307"/>
      <c r="F104" s="308"/>
      <c r="G104" s="308"/>
      <c r="H104" s="338"/>
      <c r="I104" s="186"/>
      <c r="J104" s="297"/>
      <c r="K104" s="297"/>
      <c r="L104" s="297"/>
      <c r="M104" s="297"/>
      <c r="N104" s="297"/>
      <c r="O104" s="297"/>
      <c r="P104" s="297"/>
      <c r="Q104" s="297"/>
      <c r="R104" s="297"/>
      <c r="S104" s="297"/>
      <c r="T104" s="297"/>
      <c r="U104" s="297"/>
      <c r="V104" s="297"/>
      <c r="W104" s="298"/>
      <c r="X104" s="298"/>
      <c r="Y104" s="298"/>
      <c r="Z104" s="298"/>
    </row>
    <row r="105" spans="1:26" s="299" customFormat="1" ht="14.25">
      <c r="A105" s="310" t="s">
        <v>182</v>
      </c>
      <c r="B105" s="272" t="s">
        <v>226</v>
      </c>
      <c r="C105" s="322">
        <f>C106+C107</f>
        <v>572</v>
      </c>
      <c r="D105" s="323"/>
      <c r="E105" s="340"/>
      <c r="F105" s="341"/>
      <c r="G105" s="341"/>
      <c r="H105" s="342"/>
      <c r="I105" s="186"/>
      <c r="J105" s="297"/>
      <c r="K105" s="297"/>
      <c r="L105" s="297"/>
      <c r="M105" s="297"/>
      <c r="N105" s="297"/>
      <c r="O105" s="297"/>
      <c r="P105" s="297"/>
      <c r="Q105" s="297"/>
      <c r="R105" s="297"/>
      <c r="S105" s="297"/>
      <c r="T105" s="297"/>
      <c r="U105" s="297"/>
      <c r="V105" s="297"/>
      <c r="W105" s="298"/>
      <c r="X105" s="298"/>
      <c r="Y105" s="298"/>
      <c r="Z105" s="298"/>
    </row>
    <row r="106" spans="1:26" s="299" customFormat="1" ht="14.25">
      <c r="A106" s="310" t="s">
        <v>207</v>
      </c>
      <c r="B106" s="272" t="s">
        <v>227</v>
      </c>
      <c r="C106" s="343">
        <v>555</v>
      </c>
      <c r="D106" s="323"/>
      <c r="E106" s="344" t="s">
        <v>228</v>
      </c>
      <c r="F106" s="341"/>
      <c r="G106" s="345" t="s">
        <v>229</v>
      </c>
      <c r="H106" s="346" t="s">
        <v>230</v>
      </c>
      <c r="I106" s="186"/>
      <c r="J106" s="297"/>
      <c r="K106" s="297"/>
      <c r="L106" s="297"/>
      <c r="M106" s="297"/>
      <c r="N106" s="297"/>
      <c r="O106" s="297"/>
      <c r="P106" s="297"/>
      <c r="Q106" s="297"/>
      <c r="R106" s="297"/>
      <c r="S106" s="297"/>
      <c r="T106" s="297"/>
      <c r="U106" s="297"/>
      <c r="V106" s="297"/>
      <c r="W106" s="298"/>
      <c r="X106" s="298"/>
      <c r="Y106" s="298"/>
      <c r="Z106" s="298"/>
    </row>
    <row r="107" spans="1:26" s="299" customFormat="1" ht="14.25">
      <c r="A107" s="310" t="s">
        <v>212</v>
      </c>
      <c r="B107" s="272" t="s">
        <v>216</v>
      </c>
      <c r="C107" s="322">
        <f>ROUND(C106*D107,0)</f>
        <v>17</v>
      </c>
      <c r="D107" s="323">
        <f>'[1]数据-取费表'!B48+'[1]数据-取费表'!B49</f>
        <v>3.0499999999999999E-2</v>
      </c>
      <c r="E107" s="344" t="s">
        <v>231</v>
      </c>
      <c r="F107" s="341"/>
      <c r="G107" s="341"/>
      <c r="H107" s="342"/>
      <c r="I107" s="186"/>
      <c r="J107" s="297"/>
      <c r="K107" s="297"/>
      <c r="L107" s="297"/>
      <c r="M107" s="297"/>
      <c r="N107" s="297"/>
      <c r="O107" s="297"/>
      <c r="P107" s="297"/>
      <c r="Q107" s="297"/>
      <c r="R107" s="297"/>
      <c r="S107" s="297"/>
      <c r="T107" s="297"/>
      <c r="U107" s="297"/>
      <c r="V107" s="297"/>
      <c r="W107" s="298"/>
      <c r="X107" s="298"/>
      <c r="Y107" s="298"/>
      <c r="Z107" s="298"/>
    </row>
    <row r="108" spans="1:26" s="299" customFormat="1" ht="14.25">
      <c r="A108" s="310" t="s">
        <v>184</v>
      </c>
      <c r="B108" s="272" t="s">
        <v>232</v>
      </c>
      <c r="C108" s="343"/>
      <c r="D108" s="323"/>
      <c r="E108" s="344" t="str">
        <f>IF(H106="-","土地取得成本中已包含该笔费用"," ")</f>
        <v xml:space="preserve"> </v>
      </c>
      <c r="F108" s="341"/>
      <c r="G108" s="341"/>
      <c r="H108" s="342"/>
      <c r="I108" s="186"/>
      <c r="J108" s="297"/>
      <c r="K108" s="297"/>
      <c r="L108" s="297"/>
      <c r="M108" s="297"/>
      <c r="N108" s="297"/>
      <c r="O108" s="297"/>
      <c r="P108" s="297"/>
      <c r="Q108" s="297"/>
      <c r="R108" s="297"/>
      <c r="S108" s="297"/>
      <c r="T108" s="297"/>
      <c r="U108" s="297"/>
      <c r="V108" s="297"/>
      <c r="W108" s="298"/>
      <c r="X108" s="298"/>
      <c r="Y108" s="298"/>
      <c r="Z108" s="298"/>
    </row>
    <row r="109" spans="1:26" s="299" customFormat="1" ht="24" customHeight="1">
      <c r="A109" s="347" t="s">
        <v>233</v>
      </c>
      <c r="B109" s="272" t="s">
        <v>234</v>
      </c>
      <c r="C109" s="322">
        <f>IF(H109="——",IF(F1="现房",'[1]剩余法-现房'!C18,'[1]剩余法-待开发'!C18),I109)</f>
        <v>55</v>
      </c>
      <c r="D109" s="323"/>
      <c r="E109" s="370" t="s">
        <v>235</v>
      </c>
      <c r="F109" s="371"/>
      <c r="G109" s="371"/>
      <c r="H109" s="348" t="s">
        <v>236</v>
      </c>
      <c r="I109" s="349">
        <v>55</v>
      </c>
      <c r="J109" s="297"/>
      <c r="K109" s="297"/>
      <c r="L109" s="297"/>
      <c r="M109" s="297"/>
      <c r="N109" s="297"/>
      <c r="O109" s="297"/>
      <c r="P109" s="297"/>
      <c r="Q109" s="297"/>
      <c r="R109" s="297"/>
      <c r="S109" s="297"/>
      <c r="T109" s="297"/>
      <c r="U109" s="297"/>
      <c r="V109" s="297"/>
      <c r="W109" s="298"/>
      <c r="X109" s="298"/>
      <c r="Y109" s="298"/>
      <c r="Z109" s="298"/>
    </row>
    <row r="110" spans="1:26" s="299" customFormat="1" ht="25.5" customHeight="1">
      <c r="A110" s="347" t="s">
        <v>237</v>
      </c>
      <c r="B110" s="272" t="s">
        <v>238</v>
      </c>
      <c r="C110" s="322">
        <f>ROUND((C105+C108+C109)*D110,0)</f>
        <v>63</v>
      </c>
      <c r="D110" s="323">
        <v>0.1</v>
      </c>
      <c r="E110" s="370" t="s">
        <v>239</v>
      </c>
      <c r="F110" s="371"/>
      <c r="G110" s="371"/>
      <c r="H110" s="372"/>
      <c r="I110" s="186"/>
      <c r="J110" s="297"/>
      <c r="K110" s="297"/>
      <c r="L110" s="297"/>
      <c r="M110" s="297"/>
      <c r="N110" s="297"/>
      <c r="O110" s="297"/>
      <c r="P110" s="297"/>
      <c r="Q110" s="297"/>
      <c r="R110" s="297"/>
      <c r="S110" s="297"/>
      <c r="T110" s="297"/>
      <c r="U110" s="297"/>
      <c r="V110" s="297"/>
      <c r="W110" s="298"/>
      <c r="X110" s="298"/>
      <c r="Y110" s="298"/>
      <c r="Z110" s="298"/>
    </row>
    <row r="111" spans="1:26" s="299" customFormat="1" ht="25.5" customHeight="1">
      <c r="A111" s="347" t="s">
        <v>240</v>
      </c>
      <c r="B111" s="272" t="s">
        <v>219</v>
      </c>
      <c r="C111" s="322">
        <f>ROUND(D63*D111/(1+'[1]数据-取费表'!C42),0)</f>
        <v>750</v>
      </c>
      <c r="D111" s="323">
        <f>'[1]数据-取费表'!B43</f>
        <v>6.000000000000001E-3</v>
      </c>
      <c r="E111" s="373" t="s">
        <v>220</v>
      </c>
      <c r="F111" s="371"/>
      <c r="G111" s="371"/>
      <c r="H111" s="372"/>
      <c r="I111" s="186"/>
      <c r="J111" s="297"/>
      <c r="K111" s="297"/>
      <c r="L111" s="297"/>
      <c r="M111" s="297"/>
      <c r="N111" s="297"/>
      <c r="O111" s="297"/>
      <c r="P111" s="297"/>
      <c r="Q111" s="297"/>
      <c r="R111" s="297"/>
      <c r="S111" s="297"/>
      <c r="T111" s="297"/>
      <c r="U111" s="297"/>
      <c r="V111" s="297"/>
      <c r="W111" s="298"/>
      <c r="X111" s="298"/>
      <c r="Y111" s="298"/>
      <c r="Z111" s="298"/>
    </row>
    <row r="112" spans="1:26" s="299" customFormat="1" ht="25.5" customHeight="1">
      <c r="A112" s="347" t="s">
        <v>241</v>
      </c>
      <c r="B112" s="272" t="s">
        <v>242</v>
      </c>
      <c r="C112" s="322">
        <f>ROUND(C108*D112,0)</f>
        <v>0</v>
      </c>
      <c r="D112" s="323">
        <v>0.2</v>
      </c>
      <c r="E112" s="370" t="s">
        <v>243</v>
      </c>
      <c r="F112" s="371"/>
      <c r="G112" s="371"/>
      <c r="H112" s="372"/>
      <c r="I112" s="186"/>
      <c r="J112" s="297"/>
      <c r="K112" s="297"/>
      <c r="L112" s="297"/>
      <c r="M112" s="297"/>
      <c r="N112" s="297"/>
      <c r="O112" s="297"/>
      <c r="P112" s="297"/>
      <c r="Q112" s="297"/>
      <c r="R112" s="297"/>
      <c r="S112" s="297"/>
      <c r="T112" s="297"/>
      <c r="U112" s="297"/>
      <c r="V112" s="297"/>
      <c r="W112" s="298"/>
      <c r="X112" s="298"/>
      <c r="Y112" s="298"/>
      <c r="Z112" s="298"/>
    </row>
    <row r="113" spans="1:26" s="299" customFormat="1" ht="14.25">
      <c r="A113" s="326" t="s">
        <v>193</v>
      </c>
      <c r="B113" s="280" t="s">
        <v>221</v>
      </c>
      <c r="C113" s="284">
        <f>ROUND(C103-C104,0)</f>
        <v>123582</v>
      </c>
      <c r="D113" s="274" t="s">
        <v>112</v>
      </c>
      <c r="E113" s="307"/>
      <c r="F113" s="308"/>
      <c r="G113" s="308"/>
      <c r="H113" s="338"/>
      <c r="I113" s="186"/>
      <c r="J113" s="297"/>
      <c r="K113" s="297"/>
      <c r="L113" s="297"/>
      <c r="M113" s="297"/>
      <c r="N113" s="297"/>
      <c r="O113" s="297"/>
      <c r="P113" s="297"/>
      <c r="Q113" s="297"/>
      <c r="R113" s="297"/>
      <c r="S113" s="297"/>
      <c r="T113" s="297"/>
      <c r="U113" s="297"/>
      <c r="V113" s="297"/>
      <c r="W113" s="298"/>
      <c r="X113" s="298"/>
      <c r="Y113" s="298"/>
      <c r="Z113" s="298"/>
    </row>
    <row r="114" spans="1:26" s="299" customFormat="1" ht="24">
      <c r="A114" s="326" t="s">
        <v>196</v>
      </c>
      <c r="B114" s="280" t="s">
        <v>222</v>
      </c>
      <c r="C114" s="327">
        <f>IF(C113&lt;=0,0,C113/C104)</f>
        <v>85.82083333333334</v>
      </c>
      <c r="D114" s="274" t="s">
        <v>112</v>
      </c>
      <c r="E114" s="318" t="str">
        <f>IF(C114&gt;=200%,"增值额超过扣除项目金额200%",IF(C114&gt;=100%,"增值额超过扣除项目金额100%，未超过200%",IF(C114&gt;=50%,"增值额超过扣除项目金额50%，未超过100%",IF(C114&lt;50%,"增值额未超过扣除项目金额50%"))))</f>
        <v>增值额超过扣除项目金额200%</v>
      </c>
      <c r="F114" s="308"/>
      <c r="G114" s="308"/>
      <c r="H114" s="338"/>
      <c r="I114" s="186"/>
      <c r="J114" s="297"/>
      <c r="K114" s="297"/>
      <c r="L114" s="297"/>
      <c r="M114" s="297"/>
      <c r="N114" s="297"/>
      <c r="O114" s="297"/>
      <c r="P114" s="297"/>
      <c r="Q114" s="297"/>
      <c r="R114" s="297"/>
      <c r="S114" s="297"/>
      <c r="T114" s="297"/>
      <c r="U114" s="297"/>
      <c r="V114" s="297"/>
      <c r="W114" s="298"/>
      <c r="X114" s="298"/>
      <c r="Y114" s="298"/>
      <c r="Z114" s="298"/>
    </row>
    <row r="115" spans="1:26" s="299" customFormat="1" ht="24.75" thickBot="1">
      <c r="A115" s="328" t="s">
        <v>223</v>
      </c>
      <c r="B115" s="286" t="s">
        <v>224</v>
      </c>
      <c r="C115" s="329">
        <f>ROUND(IF(C113&lt;=0,0,IF(C114&gt;=200%,C113*60%-C104*35%,IF(C114&gt;=100%,C113*50%-C104*15%,IF(C114&gt;=50%,C113*40%-C104*5%,IF(C114&lt;50%,C113*30%,0))))),0)</f>
        <v>73645</v>
      </c>
      <c r="D115" s="330" t="s">
        <v>112</v>
      </c>
      <c r="E115" s="331" t="str">
        <f>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土地增值税税额=增值额×60%－扣除项目金额×35%</v>
      </c>
      <c r="F115" s="332"/>
      <c r="G115" s="332"/>
      <c r="H115" s="350"/>
      <c r="I115" s="186"/>
      <c r="J115" s="297"/>
      <c r="K115" s="297"/>
      <c r="L115" s="297"/>
      <c r="M115" s="297"/>
      <c r="N115" s="297"/>
      <c r="O115" s="297"/>
      <c r="P115" s="297"/>
      <c r="Q115" s="297"/>
      <c r="R115" s="297"/>
      <c r="S115" s="297"/>
      <c r="T115" s="297"/>
      <c r="U115" s="297"/>
      <c r="V115" s="297"/>
      <c r="W115" s="298"/>
      <c r="X115" s="298"/>
      <c r="Y115" s="298"/>
      <c r="Z115" s="298"/>
    </row>
    <row r="116" spans="1:26" s="351" customFormat="1" ht="21.75" customHeight="1">
      <c r="J116" s="352"/>
      <c r="K116" s="17"/>
      <c r="L116" s="17"/>
      <c r="M116" s="17"/>
      <c r="N116" s="17"/>
      <c r="O116" s="17"/>
    </row>
    <row r="117" spans="1:26" s="351" customFormat="1" ht="21.75" customHeight="1">
      <c r="J117" s="352"/>
    </row>
    <row r="118" spans="1:26" s="351" customFormat="1" ht="21.75" customHeight="1">
      <c r="J118" s="352"/>
    </row>
    <row r="119" spans="1:26" s="351" customFormat="1" ht="21.75" customHeight="1">
      <c r="J119" s="352"/>
    </row>
    <row r="120" spans="1:26" s="351" customFormat="1" ht="21.75" customHeight="1">
      <c r="J120" s="352"/>
    </row>
    <row r="121" spans="1:26" s="351" customFormat="1" ht="21.75" customHeight="1"/>
    <row r="122" spans="1:26" s="351" customFormat="1" ht="21.75" customHeight="1">
      <c r="J122" s="353"/>
    </row>
    <row r="123" spans="1:26" s="351" customFormat="1" ht="21.75" customHeight="1"/>
    <row r="124" spans="1:26" s="351" customFormat="1" ht="21.75" customHeight="1"/>
    <row r="125" spans="1:26" s="351" customFormat="1" ht="21.75" customHeight="1">
      <c r="J125" s="353"/>
    </row>
    <row r="126" spans="1:26" s="351" customFormat="1" ht="21.75" customHeight="1"/>
    <row r="127" spans="1:26" s="351" customFormat="1" ht="21.75" customHeight="1"/>
    <row r="128" spans="1:26" s="351" customFormat="1" ht="21.75" customHeight="1">
      <c r="J128" s="353"/>
    </row>
    <row r="129" spans="2:6" s="351" customFormat="1" ht="21.75" customHeight="1"/>
    <row r="130" spans="2:6" s="351" customFormat="1" ht="21.75" customHeight="1">
      <c r="B130" s="354"/>
      <c r="C130" s="355"/>
      <c r="D130" s="356"/>
      <c r="E130" s="356"/>
      <c r="F130" s="357"/>
    </row>
    <row r="131" spans="2:6" s="351" customFormat="1" ht="21.75" customHeight="1"/>
    <row r="132" spans="2:6" s="351" customFormat="1" ht="21.75" customHeight="1"/>
    <row r="133" spans="2:6" s="351" customFormat="1" ht="21.75" customHeight="1"/>
    <row r="134" spans="2:6" s="351" customFormat="1" ht="21.75" customHeight="1"/>
    <row r="135" spans="2:6" s="351" customFormat="1" ht="21.75" customHeight="1"/>
    <row r="136" spans="2:6" s="351" customFormat="1" ht="21.75" customHeight="1"/>
    <row r="137" spans="2:6" s="351" customFormat="1" ht="21.75" customHeight="1"/>
    <row r="138" spans="2:6" s="351" customFormat="1" ht="21.75" customHeight="1"/>
    <row r="139" spans="2:6" s="351" customFormat="1" ht="21.75" customHeight="1"/>
    <row r="140" spans="2:6" s="351" customFormat="1" ht="21.75" customHeight="1"/>
    <row r="141" spans="2:6" s="351" customFormat="1" ht="21.75" customHeight="1"/>
    <row r="142" spans="2:6" s="351" customFormat="1" ht="21.75" customHeight="1"/>
    <row r="143" spans="2:6" s="351" customFormat="1" ht="21.75" customHeight="1"/>
    <row r="144" spans="2:6" s="351" customFormat="1" ht="21.75" customHeight="1"/>
    <row r="145" s="351" customFormat="1" ht="21.75" customHeight="1"/>
    <row r="146" s="351" customFormat="1" ht="21.75" customHeight="1"/>
    <row r="147" s="351" customFormat="1" ht="21.75" customHeight="1"/>
    <row r="148" s="351" customFormat="1" ht="21.75" customHeight="1"/>
    <row r="149" s="351" customFormat="1" ht="21.75" customHeight="1"/>
    <row r="150" s="351" customFormat="1" ht="21.75" customHeight="1"/>
    <row r="151" s="351" customFormat="1" ht="21.75" customHeight="1"/>
    <row r="152" s="351" customFormat="1" ht="21.75" customHeight="1"/>
    <row r="153" s="351" customFormat="1" ht="21.75" customHeight="1"/>
    <row r="154" s="351" customFormat="1" ht="21.75" customHeight="1"/>
    <row r="155" s="351" customFormat="1" ht="21.75" customHeight="1"/>
    <row r="156" s="351" customFormat="1" ht="21.75" customHeight="1"/>
    <row r="157" s="351" customFormat="1" ht="21.75" customHeight="1"/>
    <row r="158" s="351" customFormat="1" ht="21.75" customHeight="1"/>
    <row r="159" s="351" customFormat="1" ht="21.75" customHeight="1"/>
    <row r="160" s="351" customFormat="1" ht="21.75" customHeight="1"/>
    <row r="161" s="351" customFormat="1" ht="21.75" customHeight="1"/>
    <row r="162" s="351" customFormat="1" ht="21.75" customHeight="1"/>
    <row r="163" s="351" customFormat="1" ht="21.75" customHeight="1"/>
    <row r="164" s="351" customFormat="1" ht="21.75" customHeight="1"/>
    <row r="165" s="351" customFormat="1" ht="21.75" customHeight="1"/>
    <row r="166" s="351" customFormat="1" ht="21.75" customHeight="1"/>
    <row r="167" s="351" customFormat="1" ht="21.75" customHeight="1"/>
    <row r="168" s="351" customFormat="1" ht="21.75" customHeight="1"/>
    <row r="169" s="351" customFormat="1" ht="21.75" customHeight="1"/>
    <row r="170" s="351" customFormat="1" ht="21.75" customHeight="1"/>
    <row r="171" s="351" customFormat="1" ht="21.75" customHeight="1"/>
    <row r="172" s="351" customFormat="1" ht="21.75" customHeight="1"/>
    <row r="173" s="351" customFormat="1" ht="21.75" customHeight="1"/>
    <row r="174" s="351" customFormat="1" ht="21.75" customHeight="1"/>
    <row r="175" s="351" customFormat="1" ht="21.75" customHeight="1"/>
    <row r="176" s="351" customFormat="1" ht="21.75" customHeight="1"/>
    <row r="177" spans="11:15" s="351" customFormat="1" ht="21.75" customHeight="1"/>
    <row r="178" spans="11:15" s="351" customFormat="1" ht="21.75" customHeight="1"/>
    <row r="179" spans="11:15" s="351" customFormat="1" ht="21.75" customHeight="1"/>
    <row r="180" spans="11:15" s="351" customFormat="1" ht="21.75" customHeight="1"/>
    <row r="181" spans="11:15" s="351" customFormat="1" ht="21.75" customHeight="1"/>
    <row r="182" spans="11:15" s="351" customFormat="1" ht="21.75" customHeight="1"/>
    <row r="183" spans="11:15" s="351" customFormat="1" ht="21.75" customHeight="1"/>
    <row r="184" spans="11:15" s="351" customFormat="1" ht="21.75" customHeight="1"/>
    <row r="185" spans="11:15" s="18" customFormat="1" ht="21.75" customHeight="1">
      <c r="K185" s="351"/>
      <c r="L185" s="351"/>
      <c r="M185" s="351"/>
      <c r="N185" s="351"/>
      <c r="O185" s="351"/>
    </row>
    <row r="186" spans="11:15" s="18" customFormat="1" ht="21.75" customHeight="1"/>
    <row r="187" spans="11:15" s="18" customFormat="1" ht="21.75" customHeight="1"/>
    <row r="188" spans="11:15" s="18" customFormat="1" ht="21.75" customHeight="1"/>
    <row r="189" spans="11:15" s="18" customFormat="1" ht="21.75" customHeight="1"/>
    <row r="190" spans="11:15" s="18" customFormat="1" ht="21.75" customHeight="1"/>
    <row r="191" spans="11:15" s="18" customFormat="1" ht="21.75" customHeight="1"/>
    <row r="192" spans="11:15" s="18" customFormat="1" ht="21.75" customHeight="1"/>
    <row r="193" s="18" customFormat="1" ht="21.75" customHeight="1"/>
    <row r="194" s="18" customFormat="1" ht="21.75" customHeight="1"/>
    <row r="195" s="18" customFormat="1" ht="21.75" customHeight="1"/>
    <row r="196" s="18" customFormat="1" ht="21.75" customHeight="1"/>
    <row r="197" s="18" customFormat="1" ht="21.75" customHeight="1"/>
    <row r="198" s="18" customFormat="1" ht="21.75" customHeight="1"/>
    <row r="199" s="18" customFormat="1" ht="21.75" customHeight="1"/>
    <row r="200" s="18" customFormat="1" ht="21.75" customHeight="1"/>
    <row r="201" s="18" customFormat="1" ht="21.75" customHeight="1"/>
    <row r="202" s="18" customFormat="1" ht="21.75" customHeight="1"/>
    <row r="203" s="18" customFormat="1" ht="21.75" customHeight="1"/>
    <row r="204" s="18" customFormat="1" ht="21.75" customHeight="1"/>
    <row r="205" s="18" customFormat="1" ht="21.75" customHeight="1"/>
    <row r="206" s="18" customFormat="1" ht="21.75" customHeight="1"/>
  </sheetData>
  <sheetProtection formatCells="0" formatColumns="0" formatRows="0"/>
  <mergeCells count="81">
    <mergeCell ref="A2:I2"/>
    <mergeCell ref="A3:I3"/>
    <mergeCell ref="E4:I4"/>
    <mergeCell ref="A5:A7"/>
    <mergeCell ref="B5:B7"/>
    <mergeCell ref="C5:C7"/>
    <mergeCell ref="D5:D7"/>
    <mergeCell ref="A8:A9"/>
    <mergeCell ref="B8:B9"/>
    <mergeCell ref="C8:C9"/>
    <mergeCell ref="D8:D9"/>
    <mergeCell ref="A10:A11"/>
    <mergeCell ref="B10:B11"/>
    <mergeCell ref="C10:C11"/>
    <mergeCell ref="D10:D11"/>
    <mergeCell ref="O35:O37"/>
    <mergeCell ref="A12:A13"/>
    <mergeCell ref="B12:B13"/>
    <mergeCell ref="C12:C13"/>
    <mergeCell ref="D12:D13"/>
    <mergeCell ref="A14:A16"/>
    <mergeCell ref="B14:B16"/>
    <mergeCell ref="C14:C16"/>
    <mergeCell ref="D14:D16"/>
    <mergeCell ref="A24:A25"/>
    <mergeCell ref="E33:E35"/>
    <mergeCell ref="K35:K37"/>
    <mergeCell ref="L35:L37"/>
    <mergeCell ref="N35:N37"/>
    <mergeCell ref="L66:M66"/>
    <mergeCell ref="K39:N39"/>
    <mergeCell ref="K40:N40"/>
    <mergeCell ref="K41:N41"/>
    <mergeCell ref="A42:B42"/>
    <mergeCell ref="A43:B43"/>
    <mergeCell ref="A44:B44"/>
    <mergeCell ref="A45:B45"/>
    <mergeCell ref="A46:B46"/>
    <mergeCell ref="A63:C63"/>
    <mergeCell ref="A64:G64"/>
    <mergeCell ref="A66:C66"/>
    <mergeCell ref="A73:C73"/>
    <mergeCell ref="L73:M73"/>
    <mergeCell ref="B67:C67"/>
    <mergeCell ref="G67:G69"/>
    <mergeCell ref="L67:M67"/>
    <mergeCell ref="B68:C68"/>
    <mergeCell ref="L68:M68"/>
    <mergeCell ref="B69:C69"/>
    <mergeCell ref="L69:M69"/>
    <mergeCell ref="B70:C70"/>
    <mergeCell ref="B71:C71"/>
    <mergeCell ref="L71:M71"/>
    <mergeCell ref="B72:C72"/>
    <mergeCell ref="L72:M72"/>
    <mergeCell ref="A74:C74"/>
    <mergeCell ref="L74:M74"/>
    <mergeCell ref="B75:C75"/>
    <mergeCell ref="L75:M75"/>
    <mergeCell ref="B76:C76"/>
    <mergeCell ref="L76:M76"/>
    <mergeCell ref="O76:P76"/>
    <mergeCell ref="A77:C77"/>
    <mergeCell ref="K77:K78"/>
    <mergeCell ref="L77:L78"/>
    <mergeCell ref="A79:E79"/>
    <mergeCell ref="K79:K80"/>
    <mergeCell ref="L79:L80"/>
    <mergeCell ref="A80:B80"/>
    <mergeCell ref="E112:H112"/>
    <mergeCell ref="L81:M81"/>
    <mergeCell ref="K83:K89"/>
    <mergeCell ref="A88:H88"/>
    <mergeCell ref="A89:B89"/>
    <mergeCell ref="E94:H94"/>
    <mergeCell ref="E96:H96"/>
    <mergeCell ref="A101:H101"/>
    <mergeCell ref="A102:B102"/>
    <mergeCell ref="E109:G109"/>
    <mergeCell ref="E110:H110"/>
    <mergeCell ref="E111:H111"/>
  </mergeCells>
  <phoneticPr fontId="3" type="noConversion"/>
  <conditionalFormatting sqref="C5:C7">
    <cfRule type="cellIs" dxfId="9" priority="10" stopIfTrue="1" operator="equal">
      <formula>25</formula>
    </cfRule>
  </conditionalFormatting>
  <conditionalFormatting sqref="C8:C9">
    <cfRule type="cellIs" dxfId="8" priority="9" stopIfTrue="1" operator="equal">
      <formula>15</formula>
    </cfRule>
  </conditionalFormatting>
  <conditionalFormatting sqref="C14:C16">
    <cfRule type="cellIs" dxfId="7" priority="8" stopIfTrue="1" operator="equal">
      <formula>30</formula>
    </cfRule>
  </conditionalFormatting>
  <conditionalFormatting sqref="D5:D7">
    <cfRule type="cellIs" dxfId="6" priority="7" stopIfTrue="1" operator="equal">
      <formula>25</formula>
    </cfRule>
  </conditionalFormatting>
  <conditionalFormatting sqref="D8:D9">
    <cfRule type="cellIs" dxfId="5" priority="6" stopIfTrue="1" operator="equal">
      <formula>15</formula>
    </cfRule>
  </conditionalFormatting>
  <conditionalFormatting sqref="C10:D13">
    <cfRule type="cellIs" dxfId="4" priority="5" stopIfTrue="1" operator="equal">
      <formula>15</formula>
    </cfRule>
  </conditionalFormatting>
  <conditionalFormatting sqref="D14:D16">
    <cfRule type="cellIs" dxfId="3" priority="4" stopIfTrue="1" operator="equal">
      <formula>30</formula>
    </cfRule>
  </conditionalFormatting>
  <conditionalFormatting sqref="C108">
    <cfRule type="expression" dxfId="2" priority="3" stopIfTrue="1">
      <formula>$H$106&lt;&gt;"仅含出让金"</formula>
    </cfRule>
  </conditionalFormatting>
  <conditionalFormatting sqref="C109">
    <cfRule type="expression" dxfId="1" priority="2" stopIfTrue="1">
      <formula>$H$109="由企业提供"</formula>
    </cfRule>
  </conditionalFormatting>
  <conditionalFormatting sqref="I33">
    <cfRule type="expression" dxfId="0" priority="1" stopIfTrue="1">
      <formula>$H$33="同一抵押权人同一抵押物续贷"</formula>
    </cfRule>
  </conditionalFormatting>
  <dataValidations count="20">
    <dataValidation type="list" allowBlank="1" showInputMessage="1" showErrorMessage="1" sqref="A43">
      <formula1>"2.估价师知悉的法定优先受偿款,2.估价师知悉的除抵押担保权以外的法定优先受偿款,——"</formula1>
    </dataValidation>
    <dataValidation type="list" allowBlank="1" showInputMessage="1" showErrorMessage="1" sqref="G43">
      <formula1>"设定,——"</formula1>
    </dataValidation>
    <dataValidation type="list" allowBlank="1" showInputMessage="1" showErrorMessage="1" sqref="H109">
      <formula1>"企业提供(在右侧录入),——"</formula1>
    </dataValidation>
    <dataValidation type="list" showInputMessage="1" showErrorMessage="1" sqref="F1">
      <formula1>"土地,现房"</formula1>
    </dataValidation>
    <dataValidation type="list" allowBlank="1" showInputMessage="1" showErrorMessage="1" sqref="D1">
      <formula1>"项目局部,项目全部"</formula1>
    </dataValidation>
    <dataValidation type="list" allowBlank="1" showInputMessage="1" showErrorMessage="1" sqref="N42">
      <formula1>"测算结果/万元,测算结果/（元/平方米）"</formula1>
    </dataValidation>
    <dataValidation type="list" allowBlank="1" showInputMessage="1" showErrorMessage="1" sqref="O42">
      <formula1>"最终结果/万元,最终结果/（元/平方米）"</formula1>
    </dataValidation>
    <dataValidation type="list" allowBlank="1" showInputMessage="1" showErrorMessage="1" sqref="L42">
      <formula1>"估价结果/万元,估价结果/（元/平方米）"</formula1>
    </dataValidation>
    <dataValidation type="list" allowBlank="1" showInputMessage="1" showErrorMessage="1" sqref="B25">
      <formula1>"楼面地价,单位面积地价"</formula1>
    </dataValidation>
    <dataValidation type="list" allowBlank="1" showInputMessage="1" showErrorMessage="1" sqref="H77">
      <formula1>"非个人房产,个人住宅,个人非住宅"</formula1>
    </dataValidation>
    <dataValidation type="list" allowBlank="1" showInputMessage="1" showErrorMessage="1" sqref="C47">
      <formula1>"无,有"</formula1>
    </dataValidation>
    <dataValidation type="list" allowBlank="1" showInputMessage="1" showErrorMessage="1" sqref="H33">
      <formula1>"同一抵押权人同一抵押物续贷,注销后放款,正常操作"</formula1>
    </dataValidation>
    <dataValidation type="list" allowBlank="1" showInputMessage="1" showErrorMessage="1" sqref="F93">
      <formula1>"买卖合同,购房发票"</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H106">
      <formula1>"仅含出让金,出让金+开发费"</formula1>
    </dataValidation>
    <dataValidation type="list" allowBlank="1" showInputMessage="1" showErrorMessage="1" sqref="F63">
      <formula1>"100%,80%,60%,64%"</formula1>
    </dataValidation>
    <dataValidation type="list" allowBlank="1" showInputMessage="1" showErrorMessage="1" sqref="H76">
      <formula1>"转让取得,自行开发建设"</formula1>
    </dataValidation>
    <dataValidation type="list" allowBlank="1" showInputMessage="1" showErrorMessage="1" sqref="H66">
      <formula1>"情况1,情况2,情况3,情况4"</formula1>
    </dataValidation>
    <dataValidation type="list" allowBlank="1" showInputMessage="1" showErrorMessage="1" sqref="H73:H74">
      <formula1>"个人住宅,正常"</formula1>
    </dataValidation>
    <dataValidation type="list" allowBlank="1" showInputMessage="1" showErrorMessage="1" sqref="C4:D4">
      <formula1>估价方法</formula1>
    </dataValidation>
  </dataValidations>
  <pageMargins left="0.43307086614173229" right="0.43307086614173229" top="0.35433070866141736" bottom="0.15748031496062992" header="0.31496062992125984" footer="0.31496062992125984"/>
  <pageSetup paperSize="9" scale="29" fitToHeight="0" orientation="portrait" r:id="rId1"/>
  <rowBreaks count="2" manualBreakCount="2">
    <brk id="60" max="8" man="1"/>
    <brk id="129"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abSelected="1" topLeftCell="C1" workbookViewId="0">
      <selection activeCell="Q11" sqref="Q11"/>
    </sheetView>
  </sheetViews>
  <sheetFormatPr defaultRowHeight="12.75"/>
  <cols>
    <col min="1" max="1" width="18.625" style="359" customWidth="1"/>
    <col min="2" max="2" width="9.125" style="359" customWidth="1"/>
    <col min="3" max="3" width="8.125" style="359" customWidth="1"/>
    <col min="4" max="4" width="14.375" style="359" customWidth="1"/>
    <col min="5" max="5" width="9.125" style="359" customWidth="1"/>
    <col min="6" max="6" width="7.125" style="359" customWidth="1"/>
    <col min="7" max="7" width="8.125" style="359" customWidth="1"/>
    <col min="8" max="8" width="7.5" style="359" customWidth="1"/>
    <col min="9" max="9" width="8.5" style="359" customWidth="1"/>
    <col min="10" max="10" width="7.875" style="359" customWidth="1"/>
    <col min="11" max="11" width="8.5" style="359" customWidth="1"/>
    <col min="12" max="16384" width="9" style="359"/>
  </cols>
  <sheetData>
    <row r="1" spans="1:17" ht="25.5" customHeight="1">
      <c r="A1" s="358" t="s">
        <v>244</v>
      </c>
      <c r="B1" s="358" t="s">
        <v>245</v>
      </c>
      <c r="C1" s="358" t="s">
        <v>246</v>
      </c>
      <c r="D1" s="358" t="s">
        <v>247</v>
      </c>
      <c r="E1" s="358" t="s">
        <v>248</v>
      </c>
      <c r="F1" s="455" t="s">
        <v>249</v>
      </c>
      <c r="G1" s="456"/>
      <c r="H1" s="457"/>
      <c r="I1" s="455" t="s">
        <v>250</v>
      </c>
      <c r="J1" s="456"/>
      <c r="K1" s="457"/>
      <c r="N1" s="359" t="s">
        <v>251</v>
      </c>
      <c r="O1" s="360" t="s">
        <v>252</v>
      </c>
      <c r="P1" s="360" t="s">
        <v>253</v>
      </c>
      <c r="Q1" s="360" t="s">
        <v>254</v>
      </c>
    </row>
    <row r="2" spans="1:17" ht="27" customHeight="1">
      <c r="A2" s="450" t="s">
        <v>255</v>
      </c>
      <c r="B2" s="450" t="s">
        <v>256</v>
      </c>
      <c r="C2" s="450">
        <f>[1]地块分布情况!C10</f>
        <v>38270.76</v>
      </c>
      <c r="D2" s="450">
        <v>6813</v>
      </c>
      <c r="E2" s="450">
        <v>1.65</v>
      </c>
      <c r="F2" s="450" t="s">
        <v>257</v>
      </c>
      <c r="G2" s="358" t="s">
        <v>258</v>
      </c>
      <c r="H2" s="358">
        <f>[1]A3总规划!F12</f>
        <v>59500</v>
      </c>
      <c r="I2" s="450" t="s">
        <v>257</v>
      </c>
      <c r="J2" s="358" t="s">
        <v>258</v>
      </c>
      <c r="K2" s="358">
        <f>ROUND($D$2/$C$2*H2,2)</f>
        <v>10592.25</v>
      </c>
      <c r="N2" s="359">
        <f>C2-D2</f>
        <v>31457.760000000002</v>
      </c>
      <c r="O2" s="359">
        <f>[1]系统读取表!F14</f>
        <v>29753</v>
      </c>
      <c r="P2" s="359">
        <f>ROUND(N2*O2/10000,0)</f>
        <v>93596</v>
      </c>
      <c r="Q2" s="359">
        <f>H10-K10</f>
        <v>135256.63</v>
      </c>
    </row>
    <row r="3" spans="1:17" ht="13.5" customHeight="1">
      <c r="A3" s="448"/>
      <c r="B3" s="448"/>
      <c r="C3" s="448"/>
      <c r="D3" s="448"/>
      <c r="E3" s="448"/>
      <c r="F3" s="448"/>
      <c r="G3" s="358" t="s">
        <v>259</v>
      </c>
      <c r="H3" s="358">
        <f>[1]A3总规划!F14</f>
        <v>3450</v>
      </c>
      <c r="I3" s="448"/>
      <c r="J3" s="358" t="s">
        <v>259</v>
      </c>
      <c r="K3" s="358">
        <f>ROUND($D$2/$C$2*H3,2)</f>
        <v>614.16999999999996</v>
      </c>
      <c r="N3" s="359" t="s">
        <v>260</v>
      </c>
    </row>
    <row r="4" spans="1:17" ht="13.5" customHeight="1">
      <c r="A4" s="448"/>
      <c r="B4" s="448"/>
      <c r="C4" s="448"/>
      <c r="D4" s="448"/>
      <c r="E4" s="448"/>
      <c r="F4" s="448"/>
      <c r="G4" s="358" t="s">
        <v>261</v>
      </c>
      <c r="H4" s="358">
        <f>[1]A3总规划!F17</f>
        <v>300</v>
      </c>
      <c r="I4" s="448"/>
      <c r="J4" s="358" t="s">
        <v>261</v>
      </c>
      <c r="K4" s="358">
        <f>ROUND($D$2/$C$2*H4,2)</f>
        <v>53.41</v>
      </c>
      <c r="N4" s="359">
        <f>C11-D11-D21</f>
        <v>7560</v>
      </c>
      <c r="O4" s="359">
        <f>[1]系统读取表!F15</f>
        <v>39102</v>
      </c>
      <c r="P4" s="359">
        <f>ROUND(N4*O4/10000,0)</f>
        <v>29561</v>
      </c>
      <c r="Q4" s="359">
        <f>H20-K20-K30</f>
        <v>23853.89</v>
      </c>
    </row>
    <row r="5" spans="1:17" ht="14.25">
      <c r="A5" s="448"/>
      <c r="B5" s="448"/>
      <c r="C5" s="448"/>
      <c r="D5" s="448"/>
      <c r="E5" s="448"/>
      <c r="F5" s="449"/>
      <c r="G5" s="358" t="s">
        <v>262</v>
      </c>
      <c r="H5" s="358">
        <f>[1]A3总规划!F18+[1]A3总规划!F27</f>
        <v>1300</v>
      </c>
      <c r="I5" s="449"/>
      <c r="J5" s="358" t="s">
        <v>262</v>
      </c>
      <c r="K5" s="358">
        <f>ROUND($D$2/$C$2*H5,2)</f>
        <v>231.43</v>
      </c>
      <c r="N5" s="359" t="s">
        <v>263</v>
      </c>
    </row>
    <row r="6" spans="1:17">
      <c r="A6" s="448"/>
      <c r="B6" s="448"/>
      <c r="C6" s="448"/>
      <c r="D6" s="448"/>
      <c r="E6" s="448"/>
      <c r="F6" s="451" t="s">
        <v>264</v>
      </c>
      <c r="G6" s="452"/>
      <c r="H6" s="361">
        <f>H2+H3+H4+H5</f>
        <v>64550</v>
      </c>
      <c r="I6" s="451" t="s">
        <v>264</v>
      </c>
      <c r="J6" s="452"/>
      <c r="K6" s="361">
        <f>K2+K3+K4+K5</f>
        <v>11491.26</v>
      </c>
      <c r="N6" s="359">
        <f>C31-D31</f>
        <v>2545</v>
      </c>
      <c r="O6" s="359">
        <f>[1]系统读取表!F16</f>
        <v>38981</v>
      </c>
      <c r="P6" s="359">
        <f>ROUND(N6*O6/10000,0)</f>
        <v>9921</v>
      </c>
      <c r="Q6" s="359">
        <f>H39-K39</f>
        <v>4358.5800000000017</v>
      </c>
    </row>
    <row r="7" spans="1:17" ht="14.25">
      <c r="A7" s="448"/>
      <c r="B7" s="448"/>
      <c r="C7" s="448"/>
      <c r="D7" s="448"/>
      <c r="E7" s="448"/>
      <c r="F7" s="450" t="s">
        <v>265</v>
      </c>
      <c r="G7" s="358" t="s">
        <v>266</v>
      </c>
      <c r="H7" s="358">
        <f>[1]A3总规划!F25</f>
        <v>59700</v>
      </c>
      <c r="I7" s="450" t="s">
        <v>265</v>
      </c>
      <c r="J7" s="358" t="s">
        <v>266</v>
      </c>
      <c r="K7" s="358">
        <f>ROUND($D$2/$C$2*H7,2)</f>
        <v>10627.86</v>
      </c>
      <c r="N7" s="359" t="s">
        <v>267</v>
      </c>
    </row>
    <row r="8" spans="1:17" ht="14.25">
      <c r="A8" s="448"/>
      <c r="B8" s="448"/>
      <c r="C8" s="448"/>
      <c r="D8" s="448"/>
      <c r="E8" s="448"/>
      <c r="F8" s="449"/>
      <c r="G8" s="358" t="s">
        <v>262</v>
      </c>
      <c r="H8" s="358">
        <f>[1]A3总规划!F26+[1]A3总规划!F28</f>
        <v>40300</v>
      </c>
      <c r="I8" s="449"/>
      <c r="J8" s="358" t="s">
        <v>262</v>
      </c>
      <c r="K8" s="358">
        <f>ROUND($D$2/$C$2*H8,2)</f>
        <v>7174.25</v>
      </c>
      <c r="N8" s="359">
        <f>C40-D40</f>
        <v>15171</v>
      </c>
      <c r="O8" s="359">
        <f>[1]系统读取表!F17</f>
        <v>18641</v>
      </c>
      <c r="P8" s="359">
        <f>ROUND(N8*O8/10000,0)</f>
        <v>28280</v>
      </c>
      <c r="Q8" s="359">
        <f>H48-K48</f>
        <v>95471.4</v>
      </c>
    </row>
    <row r="9" spans="1:17">
      <c r="A9" s="448"/>
      <c r="B9" s="448"/>
      <c r="C9" s="448"/>
      <c r="D9" s="448"/>
      <c r="E9" s="448"/>
      <c r="F9" s="451" t="s">
        <v>264</v>
      </c>
      <c r="G9" s="452"/>
      <c r="H9" s="361">
        <f>H7+H8</f>
        <v>100000</v>
      </c>
      <c r="I9" s="451" t="s">
        <v>264</v>
      </c>
      <c r="J9" s="452"/>
      <c r="K9" s="361">
        <f>K7+K8</f>
        <v>17802.11</v>
      </c>
      <c r="N9" s="360" t="s">
        <v>268</v>
      </c>
    </row>
    <row r="10" spans="1:17">
      <c r="A10" s="449"/>
      <c r="B10" s="449"/>
      <c r="C10" s="449"/>
      <c r="D10" s="449"/>
      <c r="E10" s="449"/>
      <c r="F10" s="451" t="s">
        <v>269</v>
      </c>
      <c r="G10" s="452"/>
      <c r="H10" s="361">
        <f>H6+H9</f>
        <v>164550</v>
      </c>
      <c r="I10" s="451" t="s">
        <v>269</v>
      </c>
      <c r="J10" s="452"/>
      <c r="K10" s="361">
        <f>K6+K9</f>
        <v>29293.370000000003</v>
      </c>
      <c r="N10" s="359">
        <f>C76-D76</f>
        <v>36598.300000000003</v>
      </c>
      <c r="O10" s="359">
        <f>[1]系统读取表!F20</f>
        <v>15692</v>
      </c>
      <c r="P10" s="359">
        <f>ROUND(N10*O10/10000,0)</f>
        <v>57430</v>
      </c>
      <c r="Q10" s="359">
        <f>J82-K80</f>
        <v>73196.600000000006</v>
      </c>
    </row>
    <row r="11" spans="1:17" ht="29.25" customHeight="1">
      <c r="A11" s="453" t="s">
        <v>270</v>
      </c>
      <c r="B11" s="453" t="s">
        <v>271</v>
      </c>
      <c r="C11" s="453">
        <f>[1]地块分布情况!C12</f>
        <v>23925</v>
      </c>
      <c r="D11" s="453">
        <v>6862</v>
      </c>
      <c r="E11" s="453">
        <v>2.68</v>
      </c>
      <c r="F11" s="453" t="s">
        <v>272</v>
      </c>
      <c r="G11" s="358" t="s">
        <v>273</v>
      </c>
      <c r="H11" s="358">
        <f>[1]F总规划!F12</f>
        <v>51750</v>
      </c>
      <c r="I11" s="453" t="s">
        <v>272</v>
      </c>
      <c r="J11" s="358" t="s">
        <v>273</v>
      </c>
      <c r="K11" s="358">
        <f>ROUND($D$11/$C$11*H11,2)</f>
        <v>14842.57</v>
      </c>
      <c r="N11" s="359">
        <f>N2+N4+N6+N8+N10</f>
        <v>93332.06</v>
      </c>
      <c r="P11" s="359">
        <f>P2+P4+P6+P8+P10</f>
        <v>218788</v>
      </c>
      <c r="Q11" s="359">
        <f>Q2+Q4+Q6+Q8+Q10</f>
        <v>332137.10000000003</v>
      </c>
    </row>
    <row r="12" spans="1:17" ht="14.25">
      <c r="A12" s="453"/>
      <c r="B12" s="453"/>
      <c r="C12" s="453"/>
      <c r="D12" s="453"/>
      <c r="E12" s="453"/>
      <c r="F12" s="453"/>
      <c r="G12" s="358" t="s">
        <v>274</v>
      </c>
      <c r="H12" s="358">
        <f>[1]F总规划!F24</f>
        <v>580</v>
      </c>
      <c r="I12" s="453"/>
      <c r="J12" s="358" t="s">
        <v>274</v>
      </c>
      <c r="K12" s="358">
        <f t="shared" ref="K12:K15" si="0">ROUND($D$11/$C$11*H12,2)</f>
        <v>166.35</v>
      </c>
    </row>
    <row r="13" spans="1:17" ht="14.25">
      <c r="A13" s="453"/>
      <c r="B13" s="453"/>
      <c r="C13" s="453"/>
      <c r="D13" s="453"/>
      <c r="E13" s="453"/>
      <c r="F13" s="453"/>
      <c r="G13" s="358" t="s">
        <v>259</v>
      </c>
      <c r="H13" s="358">
        <f>[1]F总规划!F16</f>
        <v>500</v>
      </c>
      <c r="I13" s="453"/>
      <c r="J13" s="358" t="s">
        <v>259</v>
      </c>
      <c r="K13" s="358">
        <f t="shared" si="0"/>
        <v>143.41</v>
      </c>
    </row>
    <row r="14" spans="1:17" ht="14.25">
      <c r="A14" s="453"/>
      <c r="B14" s="453"/>
      <c r="C14" s="453"/>
      <c r="D14" s="453"/>
      <c r="E14" s="453"/>
      <c r="F14" s="453"/>
      <c r="G14" s="358" t="s">
        <v>262</v>
      </c>
      <c r="H14" s="358">
        <f>[1]F总规划!F18+[1]F总规划!F19+[1]F总规划!F27</f>
        <v>2390</v>
      </c>
      <c r="I14" s="453"/>
      <c r="J14" s="358" t="s">
        <v>262</v>
      </c>
      <c r="K14" s="358">
        <f t="shared" si="0"/>
        <v>685.48</v>
      </c>
    </row>
    <row r="15" spans="1:17" ht="14.25">
      <c r="A15" s="453"/>
      <c r="B15" s="453"/>
      <c r="C15" s="453"/>
      <c r="D15" s="453"/>
      <c r="E15" s="453"/>
      <c r="F15" s="453"/>
      <c r="G15" s="358" t="s">
        <v>261</v>
      </c>
      <c r="H15" s="358">
        <f>[1]F总规划!F17</f>
        <v>270</v>
      </c>
      <c r="I15" s="453"/>
      <c r="J15" s="358" t="s">
        <v>261</v>
      </c>
      <c r="K15" s="358">
        <f t="shared" si="0"/>
        <v>77.44</v>
      </c>
    </row>
    <row r="16" spans="1:17" ht="14.25">
      <c r="A16" s="453"/>
      <c r="B16" s="453"/>
      <c r="C16" s="453"/>
      <c r="D16" s="453"/>
      <c r="E16" s="453"/>
      <c r="F16" s="362" t="s">
        <v>264</v>
      </c>
      <c r="G16" s="363"/>
      <c r="H16" s="364">
        <f>H11+H12+H13+H14+H15</f>
        <v>55490</v>
      </c>
      <c r="I16" s="454" t="s">
        <v>264</v>
      </c>
      <c r="J16" s="454"/>
      <c r="K16" s="361">
        <f>K11+K12+K13+K14+K15</f>
        <v>15915.25</v>
      </c>
    </row>
    <row r="17" spans="1:11" ht="14.25">
      <c r="A17" s="453"/>
      <c r="B17" s="453"/>
      <c r="C17" s="453"/>
      <c r="D17" s="453"/>
      <c r="E17" s="453"/>
      <c r="F17" s="453" t="s">
        <v>265</v>
      </c>
      <c r="G17" s="358" t="s">
        <v>266</v>
      </c>
      <c r="H17" s="358">
        <f>[1]F总规划!F25</f>
        <v>19600</v>
      </c>
      <c r="I17" s="453" t="s">
        <v>265</v>
      </c>
      <c r="J17" s="358" t="s">
        <v>266</v>
      </c>
      <c r="K17" s="358">
        <f>ROUND($D$11/$C$11*H17,2)</f>
        <v>5621.53</v>
      </c>
    </row>
    <row r="18" spans="1:11" ht="14.25">
      <c r="A18" s="453"/>
      <c r="B18" s="453"/>
      <c r="C18" s="453"/>
      <c r="D18" s="453"/>
      <c r="E18" s="453"/>
      <c r="F18" s="453"/>
      <c r="G18" s="358" t="s">
        <v>262</v>
      </c>
      <c r="H18" s="358">
        <f>[1]F总规划!F26</f>
        <v>400</v>
      </c>
      <c r="I18" s="453"/>
      <c r="J18" s="358" t="s">
        <v>262</v>
      </c>
      <c r="K18" s="358">
        <f>ROUND($D$11/$C$11*H18,2)</f>
        <v>114.73</v>
      </c>
    </row>
    <row r="19" spans="1:11" ht="14.25">
      <c r="A19" s="453"/>
      <c r="B19" s="453"/>
      <c r="C19" s="453"/>
      <c r="D19" s="453"/>
      <c r="E19" s="453"/>
      <c r="F19" s="362" t="s">
        <v>264</v>
      </c>
      <c r="G19" s="363"/>
      <c r="H19" s="364">
        <f>H17+H18</f>
        <v>20000</v>
      </c>
      <c r="I19" s="454" t="s">
        <v>264</v>
      </c>
      <c r="J19" s="454"/>
      <c r="K19" s="361">
        <f>K17+K18</f>
        <v>5736.2599999999993</v>
      </c>
    </row>
    <row r="20" spans="1:11">
      <c r="A20" s="453"/>
      <c r="B20" s="453"/>
      <c r="C20" s="453"/>
      <c r="D20" s="453"/>
      <c r="E20" s="453"/>
      <c r="F20" s="454" t="s">
        <v>269</v>
      </c>
      <c r="G20" s="454"/>
      <c r="H20" s="361">
        <f>H16+H19</f>
        <v>75490</v>
      </c>
      <c r="I20" s="454" t="s">
        <v>269</v>
      </c>
      <c r="J20" s="454"/>
      <c r="K20" s="361">
        <f>K16+K19</f>
        <v>21651.51</v>
      </c>
    </row>
    <row r="21" spans="1:11" ht="25.5" customHeight="1">
      <c r="A21" s="453" t="s">
        <v>275</v>
      </c>
      <c r="B21" s="453"/>
      <c r="C21" s="453"/>
      <c r="D21" s="453">
        <v>9503</v>
      </c>
      <c r="E21" s="453"/>
      <c r="F21" s="358"/>
      <c r="G21" s="358"/>
      <c r="H21" s="358"/>
      <c r="I21" s="453" t="s">
        <v>272</v>
      </c>
      <c r="J21" s="358" t="s">
        <v>273</v>
      </c>
      <c r="K21" s="358">
        <f>ROUND($D$21/$C$11*H11,2)</f>
        <v>20555.080000000002</v>
      </c>
    </row>
    <row r="22" spans="1:11" ht="14.25">
      <c r="A22" s="453"/>
      <c r="B22" s="453"/>
      <c r="C22" s="453"/>
      <c r="D22" s="453"/>
      <c r="E22" s="453"/>
      <c r="F22" s="358"/>
      <c r="G22" s="358"/>
      <c r="H22" s="358"/>
      <c r="I22" s="453"/>
      <c r="J22" s="358" t="s">
        <v>274</v>
      </c>
      <c r="K22" s="358">
        <f t="shared" ref="K22:K25" si="1">ROUND($D$21/$C$11*H12,2)</f>
        <v>230.38</v>
      </c>
    </row>
    <row r="23" spans="1:11" ht="14.25">
      <c r="A23" s="453"/>
      <c r="B23" s="453"/>
      <c r="C23" s="453"/>
      <c r="D23" s="453"/>
      <c r="E23" s="453"/>
      <c r="F23" s="358"/>
      <c r="G23" s="358"/>
      <c r="H23" s="358"/>
      <c r="I23" s="453"/>
      <c r="J23" s="358" t="s">
        <v>259</v>
      </c>
      <c r="K23" s="358">
        <f t="shared" si="1"/>
        <v>198.6</v>
      </c>
    </row>
    <row r="24" spans="1:11" ht="14.25">
      <c r="A24" s="453"/>
      <c r="B24" s="453"/>
      <c r="C24" s="453"/>
      <c r="D24" s="453"/>
      <c r="E24" s="453"/>
      <c r="F24" s="365"/>
      <c r="G24" s="365"/>
      <c r="H24" s="365"/>
      <c r="I24" s="453"/>
      <c r="J24" s="358" t="s">
        <v>262</v>
      </c>
      <c r="K24" s="358">
        <f t="shared" si="1"/>
        <v>949.31</v>
      </c>
    </row>
    <row r="25" spans="1:11" ht="14.25">
      <c r="A25" s="453"/>
      <c r="B25" s="453"/>
      <c r="C25" s="453"/>
      <c r="D25" s="453"/>
      <c r="E25" s="453"/>
      <c r="F25" s="365"/>
      <c r="G25" s="365"/>
      <c r="H25" s="365"/>
      <c r="I25" s="453"/>
      <c r="J25" s="358" t="s">
        <v>261</v>
      </c>
      <c r="K25" s="358">
        <f t="shared" si="1"/>
        <v>107.24</v>
      </c>
    </row>
    <row r="26" spans="1:11">
      <c r="A26" s="453"/>
      <c r="B26" s="453"/>
      <c r="C26" s="453"/>
      <c r="D26" s="453"/>
      <c r="E26" s="453"/>
      <c r="F26" s="365"/>
      <c r="G26" s="365"/>
      <c r="H26" s="365"/>
      <c r="I26" s="454" t="s">
        <v>264</v>
      </c>
      <c r="J26" s="454"/>
      <c r="K26" s="361">
        <f>K21+K22+K23+K24+K25</f>
        <v>22040.610000000004</v>
      </c>
    </row>
    <row r="27" spans="1:11" ht="14.25">
      <c r="A27" s="453"/>
      <c r="B27" s="453"/>
      <c r="C27" s="453"/>
      <c r="D27" s="453"/>
      <c r="E27" s="453"/>
      <c r="F27" s="365"/>
      <c r="G27" s="365"/>
      <c r="H27" s="365"/>
      <c r="I27" s="453" t="s">
        <v>265</v>
      </c>
      <c r="J27" s="358" t="s">
        <v>266</v>
      </c>
      <c r="K27" s="358">
        <f>ROUND($D$21/$C$11*H17,2)</f>
        <v>7785.11</v>
      </c>
    </row>
    <row r="28" spans="1:11" ht="12.75" customHeight="1">
      <c r="A28" s="453"/>
      <c r="B28" s="453"/>
      <c r="C28" s="453"/>
      <c r="D28" s="453"/>
      <c r="E28" s="453"/>
      <c r="F28" s="365"/>
      <c r="G28" s="365"/>
      <c r="H28" s="365"/>
      <c r="I28" s="453"/>
      <c r="J28" s="358" t="s">
        <v>262</v>
      </c>
      <c r="K28" s="358">
        <f>ROUND($D$21/$C$11*H18,2)</f>
        <v>158.88</v>
      </c>
    </row>
    <row r="29" spans="1:11">
      <c r="A29" s="453"/>
      <c r="B29" s="453"/>
      <c r="C29" s="453"/>
      <c r="D29" s="453"/>
      <c r="E29" s="453"/>
      <c r="F29" s="365"/>
      <c r="G29" s="365"/>
      <c r="H29" s="365"/>
      <c r="I29" s="454" t="s">
        <v>264</v>
      </c>
      <c r="J29" s="454"/>
      <c r="K29" s="361">
        <f>K27+K28</f>
        <v>7943.99</v>
      </c>
    </row>
    <row r="30" spans="1:11">
      <c r="A30" s="453"/>
      <c r="B30" s="453"/>
      <c r="C30" s="453"/>
      <c r="D30" s="453"/>
      <c r="E30" s="453"/>
      <c r="F30" s="358"/>
      <c r="G30" s="358"/>
      <c r="H30" s="358"/>
      <c r="I30" s="454" t="s">
        <v>269</v>
      </c>
      <c r="J30" s="454"/>
      <c r="K30" s="361">
        <f>K26+K29</f>
        <v>29984.600000000006</v>
      </c>
    </row>
    <row r="31" spans="1:11" ht="25.5" customHeight="1">
      <c r="A31" s="450" t="s">
        <v>276</v>
      </c>
      <c r="B31" s="450" t="s">
        <v>277</v>
      </c>
      <c r="C31" s="450">
        <f>[1]地块分布情况!C16</f>
        <v>9367</v>
      </c>
      <c r="D31" s="450">
        <v>6822</v>
      </c>
      <c r="E31" s="450">
        <v>1.04</v>
      </c>
      <c r="F31" s="450" t="s">
        <v>272</v>
      </c>
      <c r="G31" s="358" t="s">
        <v>273</v>
      </c>
      <c r="H31" s="358">
        <f>[1]C总规划!F12</f>
        <v>6512</v>
      </c>
      <c r="I31" s="358" t="s">
        <v>272</v>
      </c>
      <c r="J31" s="358" t="s">
        <v>273</v>
      </c>
      <c r="K31" s="358">
        <f>ROUND($D$31/$C$31*H31,2)</f>
        <v>4742.7</v>
      </c>
    </row>
    <row r="32" spans="1:11" ht="14.25">
      <c r="A32" s="448"/>
      <c r="B32" s="448"/>
      <c r="C32" s="448"/>
      <c r="D32" s="448"/>
      <c r="E32" s="448"/>
      <c r="F32" s="448"/>
      <c r="G32" s="358" t="s">
        <v>274</v>
      </c>
      <c r="H32" s="358">
        <f>[1]C总规划!F24</f>
        <v>3160</v>
      </c>
      <c r="I32" s="358"/>
      <c r="J32" s="358" t="s">
        <v>274</v>
      </c>
      <c r="K32" s="358">
        <f t="shared" ref="K32:K34" si="2">ROUND($D$31/$C$31*H32,2)</f>
        <v>2301.4299999999998</v>
      </c>
    </row>
    <row r="33" spans="1:11" ht="14.25">
      <c r="A33" s="448"/>
      <c r="B33" s="448"/>
      <c r="C33" s="448"/>
      <c r="D33" s="448"/>
      <c r="E33" s="448"/>
      <c r="F33" s="448"/>
      <c r="G33" s="358" t="s">
        <v>261</v>
      </c>
      <c r="H33" s="358">
        <f>[1]C总规划!F17</f>
        <v>50</v>
      </c>
      <c r="I33" s="358"/>
      <c r="J33" s="358" t="s">
        <v>261</v>
      </c>
      <c r="K33" s="358">
        <f t="shared" si="2"/>
        <v>36.42</v>
      </c>
    </row>
    <row r="34" spans="1:11" ht="14.25">
      <c r="A34" s="448"/>
      <c r="B34" s="448"/>
      <c r="C34" s="448"/>
      <c r="D34" s="448"/>
      <c r="E34" s="448"/>
      <c r="F34" s="449"/>
      <c r="G34" s="358" t="s">
        <v>262</v>
      </c>
      <c r="H34" s="358">
        <f>[1]C总规划!F18</f>
        <v>20</v>
      </c>
      <c r="I34" s="358"/>
      <c r="J34" s="358" t="s">
        <v>278</v>
      </c>
      <c r="K34" s="358">
        <f t="shared" si="2"/>
        <v>14.57</v>
      </c>
    </row>
    <row r="35" spans="1:11" ht="14.25">
      <c r="A35" s="448"/>
      <c r="B35" s="448"/>
      <c r="C35" s="448"/>
      <c r="D35" s="448"/>
      <c r="E35" s="448"/>
      <c r="F35" s="451" t="s">
        <v>279</v>
      </c>
      <c r="G35" s="452"/>
      <c r="H35" s="361">
        <f>H31+H32+H33+H34</f>
        <v>9742</v>
      </c>
      <c r="I35" s="358" t="s">
        <v>280</v>
      </c>
      <c r="J35" s="358"/>
      <c r="K35" s="361">
        <f>K31+K32+K33+K34</f>
        <v>7095.119999999999</v>
      </c>
    </row>
    <row r="36" spans="1:11" ht="14.25">
      <c r="A36" s="448"/>
      <c r="B36" s="448"/>
      <c r="C36" s="448"/>
      <c r="D36" s="448"/>
      <c r="E36" s="448"/>
      <c r="F36" s="450" t="s">
        <v>281</v>
      </c>
      <c r="G36" s="358" t="s">
        <v>282</v>
      </c>
      <c r="H36" s="358">
        <f>[1]C总规划!F25</f>
        <v>6000</v>
      </c>
      <c r="I36" s="358" t="s">
        <v>265</v>
      </c>
      <c r="J36" s="358" t="s">
        <v>266</v>
      </c>
      <c r="K36" s="358">
        <f>ROUND($D$31/$C$31*H36,2)</f>
        <v>4369.8100000000004</v>
      </c>
    </row>
    <row r="37" spans="1:11" ht="14.25">
      <c r="A37" s="448"/>
      <c r="B37" s="448"/>
      <c r="C37" s="448"/>
      <c r="D37" s="448"/>
      <c r="E37" s="448"/>
      <c r="F37" s="449"/>
      <c r="G37" s="358" t="s">
        <v>262</v>
      </c>
      <c r="H37" s="358">
        <f>[1]C总规划!F26</f>
        <v>300</v>
      </c>
      <c r="I37" s="358"/>
      <c r="J37" s="358" t="s">
        <v>262</v>
      </c>
      <c r="K37" s="358">
        <f>ROUND($D$31/$C$31*H37,2)</f>
        <v>218.49</v>
      </c>
    </row>
    <row r="38" spans="1:11">
      <c r="A38" s="448"/>
      <c r="B38" s="448"/>
      <c r="C38" s="448"/>
      <c r="D38" s="448"/>
      <c r="E38" s="448"/>
      <c r="F38" s="451" t="s">
        <v>264</v>
      </c>
      <c r="G38" s="452"/>
      <c r="H38" s="361">
        <f>H36+H37</f>
        <v>6300</v>
      </c>
      <c r="I38" s="451" t="s">
        <v>264</v>
      </c>
      <c r="J38" s="452"/>
      <c r="K38" s="361">
        <f>K36+K37</f>
        <v>4588.3</v>
      </c>
    </row>
    <row r="39" spans="1:11">
      <c r="A39" s="449"/>
      <c r="B39" s="449"/>
      <c r="C39" s="449"/>
      <c r="D39" s="449"/>
      <c r="E39" s="449"/>
      <c r="F39" s="451" t="s">
        <v>269</v>
      </c>
      <c r="G39" s="452"/>
      <c r="H39" s="361">
        <f>H35+H38</f>
        <v>16042</v>
      </c>
      <c r="I39" s="451" t="s">
        <v>269</v>
      </c>
      <c r="J39" s="452"/>
      <c r="K39" s="361">
        <f>K35+K38</f>
        <v>11683.419999999998</v>
      </c>
    </row>
    <row r="40" spans="1:11" ht="25.5" customHeight="1">
      <c r="A40" s="450" t="s">
        <v>283</v>
      </c>
      <c r="B40" s="450" t="s">
        <v>284</v>
      </c>
      <c r="C40" s="450">
        <f>[1]地块分布情况!C6</f>
        <v>22838</v>
      </c>
      <c r="D40" s="450">
        <v>7667</v>
      </c>
      <c r="E40" s="450">
        <v>3.07</v>
      </c>
      <c r="F40" s="450" t="s">
        <v>272</v>
      </c>
      <c r="G40" s="358" t="s">
        <v>273</v>
      </c>
      <c r="H40" s="358">
        <f>[1]E2总规划!F12</f>
        <v>66390</v>
      </c>
      <c r="I40" s="450" t="s">
        <v>272</v>
      </c>
      <c r="J40" s="358" t="s">
        <v>273</v>
      </c>
      <c r="K40" s="358">
        <f>ROUND($D$40/$C$40*H40,2)</f>
        <v>22287.95</v>
      </c>
    </row>
    <row r="41" spans="1:11" ht="14.25">
      <c r="A41" s="448"/>
      <c r="B41" s="448"/>
      <c r="C41" s="448"/>
      <c r="D41" s="448"/>
      <c r="E41" s="448"/>
      <c r="F41" s="448"/>
      <c r="G41" s="358" t="s">
        <v>259</v>
      </c>
      <c r="H41" s="358">
        <f>[1]E2总规划!F14</f>
        <v>3450</v>
      </c>
      <c r="I41" s="448"/>
      <c r="J41" s="358" t="s">
        <v>259</v>
      </c>
      <c r="K41" s="358">
        <f t="shared" ref="K41:K43" si="3">ROUND($D$40/$C$40*H41,2)</f>
        <v>1158.21</v>
      </c>
    </row>
    <row r="42" spans="1:11" ht="14.25">
      <c r="A42" s="448"/>
      <c r="B42" s="448"/>
      <c r="C42" s="448"/>
      <c r="D42" s="448"/>
      <c r="E42" s="448"/>
      <c r="F42" s="448"/>
      <c r="G42" s="358" t="s">
        <v>261</v>
      </c>
      <c r="H42" s="358">
        <f>[1]E2总规划!F17</f>
        <v>350</v>
      </c>
      <c r="I42" s="448"/>
      <c r="J42" s="358" t="s">
        <v>261</v>
      </c>
      <c r="K42" s="358">
        <f t="shared" si="3"/>
        <v>117.5</v>
      </c>
    </row>
    <row r="43" spans="1:11" ht="14.25">
      <c r="A43" s="448"/>
      <c r="B43" s="448"/>
      <c r="C43" s="448"/>
      <c r="D43" s="448"/>
      <c r="E43" s="448"/>
      <c r="F43" s="449"/>
      <c r="G43" s="358" t="s">
        <v>262</v>
      </c>
      <c r="H43" s="358">
        <f>[1]E2总规划!F18+[1]E2总规划!F27</f>
        <v>630</v>
      </c>
      <c r="I43" s="449"/>
      <c r="J43" s="358" t="s">
        <v>262</v>
      </c>
      <c r="K43" s="358">
        <f t="shared" si="3"/>
        <v>211.5</v>
      </c>
    </row>
    <row r="44" spans="1:11">
      <c r="A44" s="448"/>
      <c r="B44" s="448"/>
      <c r="C44" s="448"/>
      <c r="D44" s="448"/>
      <c r="E44" s="448"/>
      <c r="F44" s="451" t="s">
        <v>264</v>
      </c>
      <c r="G44" s="452"/>
      <c r="H44" s="361">
        <f>H40+H41+H42+H43</f>
        <v>70820</v>
      </c>
      <c r="I44" s="451" t="s">
        <v>264</v>
      </c>
      <c r="J44" s="452"/>
      <c r="K44" s="361">
        <f>K40+K41+K42+K43</f>
        <v>23775.16</v>
      </c>
    </row>
    <row r="45" spans="1:11" ht="14.25">
      <c r="A45" s="448"/>
      <c r="B45" s="448"/>
      <c r="C45" s="448"/>
      <c r="D45" s="448"/>
      <c r="E45" s="448"/>
      <c r="F45" s="450" t="s">
        <v>265</v>
      </c>
      <c r="G45" s="358" t="s">
        <v>266</v>
      </c>
      <c r="H45" s="358">
        <f>[1]E2总规划!F25</f>
        <v>52000</v>
      </c>
      <c r="I45" s="450" t="s">
        <v>265</v>
      </c>
      <c r="J45" s="358" t="s">
        <v>266</v>
      </c>
      <c r="K45" s="358">
        <f>ROUND($D$40/$C$40*H45,2)</f>
        <v>17457.05</v>
      </c>
    </row>
    <row r="46" spans="1:11" ht="14.25">
      <c r="A46" s="448"/>
      <c r="B46" s="448"/>
      <c r="C46" s="448"/>
      <c r="D46" s="448"/>
      <c r="E46" s="448"/>
      <c r="F46" s="449"/>
      <c r="G46" s="358" t="s">
        <v>262</v>
      </c>
      <c r="H46" s="358">
        <f>[1]E2总规划!F26+[1]E2总规划!F28</f>
        <v>20900</v>
      </c>
      <c r="I46" s="449"/>
      <c r="J46" s="358" t="s">
        <v>262</v>
      </c>
      <c r="K46" s="358">
        <f>ROUND($D$40/$C$40*H46,2)</f>
        <v>7016.39</v>
      </c>
    </row>
    <row r="47" spans="1:11">
      <c r="A47" s="448"/>
      <c r="B47" s="448"/>
      <c r="C47" s="448"/>
      <c r="D47" s="448"/>
      <c r="E47" s="448"/>
      <c r="F47" s="451" t="s">
        <v>264</v>
      </c>
      <c r="G47" s="452"/>
      <c r="H47" s="361">
        <f>H45+H46</f>
        <v>72900</v>
      </c>
      <c r="I47" s="451" t="s">
        <v>264</v>
      </c>
      <c r="J47" s="452"/>
      <c r="K47" s="361">
        <f>K45+K46</f>
        <v>24473.439999999999</v>
      </c>
    </row>
    <row r="48" spans="1:11">
      <c r="A48" s="449"/>
      <c r="B48" s="449"/>
      <c r="C48" s="449"/>
      <c r="D48" s="449"/>
      <c r="E48" s="449"/>
      <c r="F48" s="451" t="s">
        <v>269</v>
      </c>
      <c r="G48" s="452"/>
      <c r="H48" s="361">
        <f>H44+H47</f>
        <v>143720</v>
      </c>
      <c r="I48" s="451" t="s">
        <v>269</v>
      </c>
      <c r="J48" s="452"/>
      <c r="K48" s="361">
        <f>K44+K47</f>
        <v>48248.6</v>
      </c>
    </row>
    <row r="49" spans="1:11" ht="25.5" customHeight="1">
      <c r="A49" s="450" t="s">
        <v>285</v>
      </c>
      <c r="B49" s="450" t="s">
        <v>286</v>
      </c>
      <c r="C49" s="450">
        <f>D49+D58+D67</f>
        <v>71798</v>
      </c>
      <c r="D49" s="450">
        <v>43740</v>
      </c>
      <c r="E49" s="450">
        <f>ROUND(H57/C49,2)</f>
        <v>6.24</v>
      </c>
      <c r="F49" s="450" t="s">
        <v>272</v>
      </c>
      <c r="G49" s="358" t="s">
        <v>273</v>
      </c>
      <c r="H49" s="358">
        <f>[1]B总规划!F12+[1]G总规划!F12</f>
        <v>203635</v>
      </c>
      <c r="I49" s="450" t="s">
        <v>272</v>
      </c>
      <c r="J49" s="358" t="s">
        <v>273</v>
      </c>
      <c r="K49" s="358">
        <f>ROUND($D$49/$C$49*H49,2)</f>
        <v>124056.31</v>
      </c>
    </row>
    <row r="50" spans="1:11" ht="14.25">
      <c r="A50" s="448"/>
      <c r="B50" s="448"/>
      <c r="C50" s="448"/>
      <c r="D50" s="448"/>
      <c r="E50" s="448"/>
      <c r="F50" s="448"/>
      <c r="G50" s="358" t="s">
        <v>274</v>
      </c>
      <c r="H50" s="358">
        <f>[1]B总规划!F24+[1]G总规划!F24</f>
        <v>74812</v>
      </c>
      <c r="I50" s="448"/>
      <c r="J50" s="358" t="s">
        <v>274</v>
      </c>
      <c r="K50" s="358">
        <f t="shared" ref="K50:K52" si="4">ROUND($D$49/$C$49*H50,2)</f>
        <v>45576.160000000003</v>
      </c>
    </row>
    <row r="51" spans="1:11" ht="14.25">
      <c r="A51" s="448"/>
      <c r="B51" s="448"/>
      <c r="C51" s="448"/>
      <c r="D51" s="448"/>
      <c r="E51" s="448"/>
      <c r="F51" s="448"/>
      <c r="G51" s="358" t="s">
        <v>261</v>
      </c>
      <c r="H51" s="358">
        <f>[1]B总规划!F17+[1]G总规划!F17</f>
        <v>1235</v>
      </c>
      <c r="I51" s="448"/>
      <c r="J51" s="358" t="s">
        <v>261</v>
      </c>
      <c r="K51" s="358">
        <f t="shared" si="4"/>
        <v>752.37</v>
      </c>
    </row>
    <row r="52" spans="1:11" ht="14.25">
      <c r="A52" s="448"/>
      <c r="B52" s="448"/>
      <c r="C52" s="448"/>
      <c r="D52" s="448"/>
      <c r="E52" s="448"/>
      <c r="F52" s="449"/>
      <c r="G52" s="358" t="s">
        <v>262</v>
      </c>
      <c r="H52" s="358">
        <f>[1]B总规划!F18+[1]B总规划!F27+[1]G总规划!F18+[1]G总规划!F21+[1]G总规划!F22+[1]G总规划!F23+[1]G总规划!F27</f>
        <v>5955</v>
      </c>
      <c r="I52" s="449"/>
      <c r="J52" s="358" t="s">
        <v>262</v>
      </c>
      <c r="K52" s="358">
        <f t="shared" si="4"/>
        <v>3627.84</v>
      </c>
    </row>
    <row r="53" spans="1:11">
      <c r="A53" s="448"/>
      <c r="B53" s="448"/>
      <c r="C53" s="448"/>
      <c r="D53" s="448"/>
      <c r="E53" s="448"/>
      <c r="F53" s="451" t="s">
        <v>264</v>
      </c>
      <c r="G53" s="452"/>
      <c r="H53" s="361">
        <f>H49+H50+H51+H52</f>
        <v>285637</v>
      </c>
      <c r="I53" s="451" t="s">
        <v>264</v>
      </c>
      <c r="J53" s="452"/>
      <c r="K53" s="361">
        <f>K49+K50+K51+K52</f>
        <v>174012.68</v>
      </c>
    </row>
    <row r="54" spans="1:11" ht="14.25">
      <c r="A54" s="448"/>
      <c r="B54" s="448"/>
      <c r="C54" s="448"/>
      <c r="D54" s="448"/>
      <c r="E54" s="448"/>
      <c r="F54" s="450" t="s">
        <v>265</v>
      </c>
      <c r="G54" s="358" t="s">
        <v>266</v>
      </c>
      <c r="H54" s="358">
        <f>[1]B总规划!F25+[1]G总规划!F25</f>
        <v>159800</v>
      </c>
      <c r="I54" s="450" t="s">
        <v>265</v>
      </c>
      <c r="J54" s="358" t="s">
        <v>266</v>
      </c>
      <c r="K54" s="358">
        <f>ROUND($D$49/$C$49*H54,2)</f>
        <v>97351.63</v>
      </c>
    </row>
    <row r="55" spans="1:11" ht="14.25">
      <c r="A55" s="448"/>
      <c r="B55" s="448"/>
      <c r="C55" s="448"/>
      <c r="D55" s="448"/>
      <c r="E55" s="448"/>
      <c r="F55" s="449"/>
      <c r="G55" s="358" t="s">
        <v>262</v>
      </c>
      <c r="H55" s="358">
        <f>[1]B总规划!F26+[1]G总规划!F26</f>
        <v>2350</v>
      </c>
      <c r="I55" s="449"/>
      <c r="J55" s="358" t="s">
        <v>262</v>
      </c>
      <c r="K55" s="358">
        <f>ROUND($D$49/$C$49*H55,2)</f>
        <v>1431.64</v>
      </c>
    </row>
    <row r="56" spans="1:11">
      <c r="A56" s="448"/>
      <c r="B56" s="448"/>
      <c r="C56" s="448"/>
      <c r="D56" s="448"/>
      <c r="E56" s="448"/>
      <c r="F56" s="451" t="s">
        <v>264</v>
      </c>
      <c r="G56" s="452"/>
      <c r="H56" s="361">
        <f>H54+H55</f>
        <v>162150</v>
      </c>
      <c r="I56" s="451" t="s">
        <v>264</v>
      </c>
      <c r="J56" s="452"/>
      <c r="K56" s="361">
        <f>K54+K55</f>
        <v>98783.27</v>
      </c>
    </row>
    <row r="57" spans="1:11">
      <c r="A57" s="449"/>
      <c r="B57" s="448"/>
      <c r="C57" s="448"/>
      <c r="D57" s="449"/>
      <c r="E57" s="448"/>
      <c r="F57" s="451" t="s">
        <v>269</v>
      </c>
      <c r="G57" s="452"/>
      <c r="H57" s="361">
        <f>H53+H56</f>
        <v>447787</v>
      </c>
      <c r="I57" s="451" t="s">
        <v>269</v>
      </c>
      <c r="J57" s="452"/>
      <c r="K57" s="361">
        <f>K53+K56</f>
        <v>272795.95</v>
      </c>
    </row>
    <row r="58" spans="1:11" ht="25.5" customHeight="1">
      <c r="A58" s="450" t="s">
        <v>287</v>
      </c>
      <c r="B58" s="448"/>
      <c r="C58" s="448"/>
      <c r="D58" s="450">
        <v>16428</v>
      </c>
      <c r="E58" s="448"/>
      <c r="F58" s="358"/>
      <c r="G58" s="358"/>
      <c r="H58" s="358"/>
      <c r="I58" s="450" t="s">
        <v>272</v>
      </c>
      <c r="J58" s="358" t="s">
        <v>273</v>
      </c>
      <c r="K58" s="358">
        <f>ROUND($D$58/$C$49*H49,2)</f>
        <v>46593.440000000002</v>
      </c>
    </row>
    <row r="59" spans="1:11" ht="14.25">
      <c r="A59" s="448"/>
      <c r="B59" s="448"/>
      <c r="C59" s="448"/>
      <c r="D59" s="448"/>
      <c r="E59" s="448"/>
      <c r="F59" s="358"/>
      <c r="G59" s="358"/>
      <c r="H59" s="358"/>
      <c r="I59" s="448"/>
      <c r="J59" s="358" t="s">
        <v>274</v>
      </c>
      <c r="K59" s="358">
        <f t="shared" ref="K59:K61" si="5">ROUND($D$58/$C$49*H50,2)</f>
        <v>17117.63</v>
      </c>
    </row>
    <row r="60" spans="1:11" ht="14.25">
      <c r="A60" s="448"/>
      <c r="B60" s="448"/>
      <c r="C60" s="448"/>
      <c r="D60" s="448"/>
      <c r="E60" s="448"/>
      <c r="F60" s="358"/>
      <c r="G60" s="358"/>
      <c r="H60" s="358"/>
      <c r="I60" s="448"/>
      <c r="J60" s="358" t="s">
        <v>261</v>
      </c>
      <c r="K60" s="358">
        <f t="shared" si="5"/>
        <v>282.58</v>
      </c>
    </row>
    <row r="61" spans="1:11" ht="14.25">
      <c r="A61" s="448"/>
      <c r="B61" s="448"/>
      <c r="C61" s="448"/>
      <c r="D61" s="448"/>
      <c r="E61" s="448"/>
      <c r="F61" s="358"/>
      <c r="G61" s="358"/>
      <c r="H61" s="358"/>
      <c r="I61" s="449"/>
      <c r="J61" s="358" t="s">
        <v>262</v>
      </c>
      <c r="K61" s="358">
        <f t="shared" si="5"/>
        <v>1362.56</v>
      </c>
    </row>
    <row r="62" spans="1:11">
      <c r="A62" s="448"/>
      <c r="B62" s="448"/>
      <c r="C62" s="448"/>
      <c r="D62" s="448"/>
      <c r="E62" s="448"/>
      <c r="F62" s="358"/>
      <c r="G62" s="358"/>
      <c r="H62" s="358"/>
      <c r="I62" s="451" t="s">
        <v>264</v>
      </c>
      <c r="J62" s="452"/>
      <c r="K62" s="361">
        <f>K58+K59+K60+K61</f>
        <v>65356.210000000006</v>
      </c>
    </row>
    <row r="63" spans="1:11" ht="14.25">
      <c r="A63" s="448"/>
      <c r="B63" s="448"/>
      <c r="C63" s="448"/>
      <c r="D63" s="448"/>
      <c r="E63" s="448"/>
      <c r="F63" s="358"/>
      <c r="G63" s="358"/>
      <c r="H63" s="358"/>
      <c r="I63" s="450" t="s">
        <v>265</v>
      </c>
      <c r="J63" s="358" t="s">
        <v>266</v>
      </c>
      <c r="K63" s="358">
        <f>ROUND($D$58/$C$49*H54,2)</f>
        <v>36563.61</v>
      </c>
    </row>
    <row r="64" spans="1:11" ht="14.25">
      <c r="A64" s="448"/>
      <c r="B64" s="448"/>
      <c r="C64" s="448"/>
      <c r="D64" s="448"/>
      <c r="E64" s="448"/>
      <c r="F64" s="358"/>
      <c r="G64" s="358"/>
      <c r="H64" s="358"/>
      <c r="I64" s="449"/>
      <c r="J64" s="358" t="s">
        <v>262</v>
      </c>
      <c r="K64" s="358">
        <f>ROUND($D$58/$C$49*H55,2)</f>
        <v>537.70000000000005</v>
      </c>
    </row>
    <row r="65" spans="1:11">
      <c r="A65" s="448"/>
      <c r="B65" s="448"/>
      <c r="C65" s="448"/>
      <c r="D65" s="448"/>
      <c r="E65" s="448"/>
      <c r="F65" s="358"/>
      <c r="G65" s="358"/>
      <c r="H65" s="358"/>
      <c r="I65" s="451" t="s">
        <v>264</v>
      </c>
      <c r="J65" s="452"/>
      <c r="K65" s="361">
        <f>K63+K64</f>
        <v>37101.31</v>
      </c>
    </row>
    <row r="66" spans="1:11">
      <c r="A66" s="449"/>
      <c r="B66" s="448"/>
      <c r="C66" s="448"/>
      <c r="D66" s="449"/>
      <c r="E66" s="448"/>
      <c r="F66" s="358"/>
      <c r="G66" s="358"/>
      <c r="H66" s="358"/>
      <c r="I66" s="451" t="s">
        <v>269</v>
      </c>
      <c r="J66" s="452"/>
      <c r="K66" s="361">
        <f>K62+K65</f>
        <v>102457.52</v>
      </c>
    </row>
    <row r="67" spans="1:11" ht="25.5" customHeight="1">
      <c r="A67" s="450" t="s">
        <v>288</v>
      </c>
      <c r="B67" s="448"/>
      <c r="C67" s="448"/>
      <c r="D67" s="450">
        <v>11630</v>
      </c>
      <c r="E67" s="448"/>
      <c r="F67" s="358"/>
      <c r="G67" s="358"/>
      <c r="H67" s="358"/>
      <c r="I67" s="450" t="s">
        <v>272</v>
      </c>
      <c r="J67" s="358" t="s">
        <v>273</v>
      </c>
      <c r="K67" s="358">
        <f>ROUND($D$67/$C$49*H49,2)</f>
        <v>32985.25</v>
      </c>
    </row>
    <row r="68" spans="1:11" ht="14.25">
      <c r="A68" s="448"/>
      <c r="B68" s="448"/>
      <c r="C68" s="448"/>
      <c r="D68" s="448"/>
      <c r="E68" s="448"/>
      <c r="F68" s="358"/>
      <c r="G68" s="358"/>
      <c r="H68" s="358"/>
      <c r="I68" s="448"/>
      <c r="J68" s="358" t="s">
        <v>274</v>
      </c>
      <c r="K68" s="358">
        <f t="shared" ref="K68:K70" si="6">ROUND($D$67/$C$49*H50,2)</f>
        <v>12118.21</v>
      </c>
    </row>
    <row r="69" spans="1:11" ht="14.25">
      <c r="A69" s="448"/>
      <c r="B69" s="448"/>
      <c r="C69" s="448"/>
      <c r="D69" s="448"/>
      <c r="E69" s="448"/>
      <c r="F69" s="358"/>
      <c r="G69" s="358"/>
      <c r="H69" s="358"/>
      <c r="I69" s="448"/>
      <c r="J69" s="358" t="s">
        <v>261</v>
      </c>
      <c r="K69" s="358">
        <f t="shared" si="6"/>
        <v>200.05</v>
      </c>
    </row>
    <row r="70" spans="1:11" ht="14.25">
      <c r="A70" s="448"/>
      <c r="B70" s="448"/>
      <c r="C70" s="448"/>
      <c r="D70" s="448"/>
      <c r="E70" s="448"/>
      <c r="F70" s="358"/>
      <c r="G70" s="358"/>
      <c r="H70" s="358"/>
      <c r="I70" s="449"/>
      <c r="J70" s="358" t="s">
        <v>262</v>
      </c>
      <c r="K70" s="358">
        <f t="shared" si="6"/>
        <v>964.6</v>
      </c>
    </row>
    <row r="71" spans="1:11">
      <c r="A71" s="448"/>
      <c r="B71" s="448"/>
      <c r="C71" s="448"/>
      <c r="D71" s="448"/>
      <c r="E71" s="448"/>
      <c r="F71" s="358"/>
      <c r="G71" s="358"/>
      <c r="H71" s="358"/>
      <c r="I71" s="451" t="s">
        <v>264</v>
      </c>
      <c r="J71" s="452"/>
      <c r="K71" s="361">
        <f>K67+K68+K69+K70</f>
        <v>46268.11</v>
      </c>
    </row>
    <row r="72" spans="1:11" ht="14.25">
      <c r="A72" s="448"/>
      <c r="B72" s="448"/>
      <c r="C72" s="448"/>
      <c r="D72" s="448"/>
      <c r="E72" s="448"/>
      <c r="F72" s="358"/>
      <c r="G72" s="358"/>
      <c r="H72" s="358"/>
      <c r="I72" s="450" t="s">
        <v>265</v>
      </c>
      <c r="J72" s="358" t="s">
        <v>266</v>
      </c>
      <c r="K72" s="358">
        <f>ROUND($D$67/$C$49*H54,2)</f>
        <v>25884.76</v>
      </c>
    </row>
    <row r="73" spans="1:11" ht="14.25">
      <c r="A73" s="448"/>
      <c r="B73" s="448"/>
      <c r="C73" s="448"/>
      <c r="D73" s="448"/>
      <c r="E73" s="448"/>
      <c r="F73" s="358"/>
      <c r="G73" s="358"/>
      <c r="H73" s="358"/>
      <c r="I73" s="449"/>
      <c r="J73" s="358" t="s">
        <v>262</v>
      </c>
      <c r="K73" s="358">
        <f>ROUND($D$67/$C$49*H55,2)</f>
        <v>380.66</v>
      </c>
    </row>
    <row r="74" spans="1:11">
      <c r="A74" s="448"/>
      <c r="B74" s="448"/>
      <c r="C74" s="448"/>
      <c r="D74" s="448"/>
      <c r="E74" s="448"/>
      <c r="F74" s="358"/>
      <c r="G74" s="358"/>
      <c r="H74" s="358"/>
      <c r="I74" s="451" t="s">
        <v>264</v>
      </c>
      <c r="J74" s="452"/>
      <c r="K74" s="361">
        <f>K72+K73</f>
        <v>26265.42</v>
      </c>
    </row>
    <row r="75" spans="1:11">
      <c r="A75" s="449"/>
      <c r="B75" s="449"/>
      <c r="C75" s="449"/>
      <c r="D75" s="449"/>
      <c r="E75" s="449"/>
      <c r="F75" s="358"/>
      <c r="G75" s="358"/>
      <c r="H75" s="358"/>
      <c r="I75" s="451" t="s">
        <v>269</v>
      </c>
      <c r="J75" s="452"/>
      <c r="K75" s="361">
        <f>K71+K74</f>
        <v>72533.53</v>
      </c>
    </row>
    <row r="76" spans="1:11" ht="25.5" customHeight="1">
      <c r="A76" s="447" t="s">
        <v>289</v>
      </c>
      <c r="B76" s="450" t="s">
        <v>290</v>
      </c>
      <c r="C76" s="450">
        <v>45356.3</v>
      </c>
      <c r="D76" s="450">
        <v>8758</v>
      </c>
      <c r="E76" s="450">
        <v>2</v>
      </c>
      <c r="F76" s="358"/>
      <c r="G76" s="358"/>
      <c r="H76" s="358"/>
      <c r="I76" s="358" t="s">
        <v>272</v>
      </c>
      <c r="J76" s="358" t="s">
        <v>274</v>
      </c>
      <c r="K76" s="358">
        <f>D76*E76</f>
        <v>17516</v>
      </c>
    </row>
    <row r="77" spans="1:11">
      <c r="A77" s="448"/>
      <c r="B77" s="448"/>
      <c r="C77" s="448"/>
      <c r="D77" s="448"/>
      <c r="E77" s="448"/>
      <c r="F77" s="358"/>
      <c r="G77" s="358"/>
      <c r="H77" s="358"/>
      <c r="I77" s="451" t="s">
        <v>264</v>
      </c>
      <c r="J77" s="452"/>
      <c r="K77" s="361">
        <f>K76</f>
        <v>17516</v>
      </c>
    </row>
    <row r="78" spans="1:11" ht="14.25">
      <c r="A78" s="448"/>
      <c r="B78" s="448"/>
      <c r="C78" s="448"/>
      <c r="D78" s="448"/>
      <c r="E78" s="448"/>
      <c r="F78" s="358"/>
      <c r="G78" s="358"/>
      <c r="H78" s="358"/>
      <c r="I78" s="358" t="s">
        <v>265</v>
      </c>
      <c r="J78" s="358" t="s">
        <v>291</v>
      </c>
      <c r="K78" s="358">
        <v>0</v>
      </c>
    </row>
    <row r="79" spans="1:11">
      <c r="A79" s="448"/>
      <c r="B79" s="448"/>
      <c r="C79" s="448"/>
      <c r="D79" s="448"/>
      <c r="E79" s="448"/>
      <c r="F79" s="358"/>
      <c r="G79" s="358"/>
      <c r="H79" s="358"/>
      <c r="I79" s="451" t="s">
        <v>264</v>
      </c>
      <c r="J79" s="452"/>
      <c r="K79" s="361">
        <v>0</v>
      </c>
    </row>
    <row r="80" spans="1:11">
      <c r="A80" s="449"/>
      <c r="B80" s="449"/>
      <c r="C80" s="449"/>
      <c r="D80" s="449"/>
      <c r="E80" s="449"/>
      <c r="F80" s="358"/>
      <c r="G80" s="358"/>
      <c r="H80" s="358"/>
      <c r="I80" s="451" t="s">
        <v>269</v>
      </c>
      <c r="J80" s="452"/>
      <c r="K80" s="361">
        <f>K77+K79</f>
        <v>17516</v>
      </c>
    </row>
    <row r="81" spans="1:11">
      <c r="K81" s="359">
        <f>K10+K20+K30+K39+K48+K57+K66+K75+K80</f>
        <v>606164.5</v>
      </c>
    </row>
    <row r="82" spans="1:11" ht="28.5">
      <c r="A82" s="359" t="s">
        <v>273</v>
      </c>
      <c r="B82" s="359" t="s">
        <v>292</v>
      </c>
      <c r="C82" s="359" t="s">
        <v>293</v>
      </c>
      <c r="J82" s="359">
        <f>C76*E76</f>
        <v>90712.6</v>
      </c>
    </row>
    <row r="83" spans="1:11" ht="55.5">
      <c r="A83" s="359" t="s">
        <v>274</v>
      </c>
      <c r="B83" s="359" t="s">
        <v>292</v>
      </c>
      <c r="C83" s="359" t="s">
        <v>294</v>
      </c>
    </row>
    <row r="84" spans="1:11" ht="28.5">
      <c r="A84" s="359" t="s">
        <v>295</v>
      </c>
      <c r="B84" s="359" t="s">
        <v>292</v>
      </c>
      <c r="C84" s="359" t="s">
        <v>296</v>
      </c>
    </row>
  </sheetData>
  <mergeCells count="101">
    <mergeCell ref="A2:A10"/>
    <mergeCell ref="B2:B10"/>
    <mergeCell ref="C2:C10"/>
    <mergeCell ref="D2:D10"/>
    <mergeCell ref="E2:E10"/>
    <mergeCell ref="F2:F5"/>
    <mergeCell ref="I2:I5"/>
    <mergeCell ref="F6:G6"/>
    <mergeCell ref="I6:J6"/>
    <mergeCell ref="F7:F8"/>
    <mergeCell ref="I7:I8"/>
    <mergeCell ref="F9:G9"/>
    <mergeCell ref="I9:J9"/>
    <mergeCell ref="F10:G10"/>
    <mergeCell ref="I10:J10"/>
    <mergeCell ref="F1:H1"/>
    <mergeCell ref="I1:K1"/>
    <mergeCell ref="A31:A39"/>
    <mergeCell ref="B31:B39"/>
    <mergeCell ref="C31:C39"/>
    <mergeCell ref="D31:D39"/>
    <mergeCell ref="E31:E39"/>
    <mergeCell ref="I11:I15"/>
    <mergeCell ref="I16:J16"/>
    <mergeCell ref="F17:F18"/>
    <mergeCell ref="I17:I18"/>
    <mergeCell ref="I19:J19"/>
    <mergeCell ref="F20:G20"/>
    <mergeCell ref="I20:J20"/>
    <mergeCell ref="A11:A20"/>
    <mergeCell ref="B11:B30"/>
    <mergeCell ref="C11:C30"/>
    <mergeCell ref="D11:D20"/>
    <mergeCell ref="E11:E30"/>
    <mergeCell ref="F11:F15"/>
    <mergeCell ref="A21:A30"/>
    <mergeCell ref="D21:D30"/>
    <mergeCell ref="F31:F34"/>
    <mergeCell ref="F35:G35"/>
    <mergeCell ref="F36:F37"/>
    <mergeCell ref="F38:G38"/>
    <mergeCell ref="I38:J38"/>
    <mergeCell ref="F39:G39"/>
    <mergeCell ref="I39:J39"/>
    <mergeCell ref="I21:I25"/>
    <mergeCell ref="I26:J26"/>
    <mergeCell ref="I27:I28"/>
    <mergeCell ref="I29:J29"/>
    <mergeCell ref="I30:J30"/>
    <mergeCell ref="I40:I43"/>
    <mergeCell ref="F44:G44"/>
    <mergeCell ref="I44:J44"/>
    <mergeCell ref="F45:F46"/>
    <mergeCell ref="I45:I46"/>
    <mergeCell ref="F47:G47"/>
    <mergeCell ref="I47:J47"/>
    <mergeCell ref="A40:A48"/>
    <mergeCell ref="B40:B48"/>
    <mergeCell ref="C40:C48"/>
    <mergeCell ref="D40:D48"/>
    <mergeCell ref="E40:E48"/>
    <mergeCell ref="F40:F43"/>
    <mergeCell ref="F48:G48"/>
    <mergeCell ref="I48:J48"/>
    <mergeCell ref="A49:A57"/>
    <mergeCell ref="B49:B75"/>
    <mergeCell ref="C49:C75"/>
    <mergeCell ref="D49:D57"/>
    <mergeCell ref="E49:E75"/>
    <mergeCell ref="F49:F52"/>
    <mergeCell ref="I49:I52"/>
    <mergeCell ref="F53:G53"/>
    <mergeCell ref="I53:J53"/>
    <mergeCell ref="A58:A66"/>
    <mergeCell ref="D58:D66"/>
    <mergeCell ref="I58:I61"/>
    <mergeCell ref="I62:J62"/>
    <mergeCell ref="I63:I64"/>
    <mergeCell ref="I65:J65"/>
    <mergeCell ref="I66:J66"/>
    <mergeCell ref="F54:F55"/>
    <mergeCell ref="I54:I55"/>
    <mergeCell ref="F56:G56"/>
    <mergeCell ref="I56:J56"/>
    <mergeCell ref="F57:G57"/>
    <mergeCell ref="I57:J57"/>
    <mergeCell ref="A76:A80"/>
    <mergeCell ref="B76:B80"/>
    <mergeCell ref="C76:C80"/>
    <mergeCell ref="D76:D80"/>
    <mergeCell ref="E76:E80"/>
    <mergeCell ref="I77:J77"/>
    <mergeCell ref="I79:J79"/>
    <mergeCell ref="I80:J80"/>
    <mergeCell ref="A67:A75"/>
    <mergeCell ref="D67:D75"/>
    <mergeCell ref="I67:I70"/>
    <mergeCell ref="I71:J71"/>
    <mergeCell ref="I72:I73"/>
    <mergeCell ref="I74:J74"/>
    <mergeCell ref="I75:J75"/>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系统读取表</vt:lpstr>
      <vt:lpstr>结果表</vt:lpstr>
      <vt:lpstr>面积表</vt: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2019-05-29T06:56:48Z</dcterms:modified>
</cp:coreProperties>
</file>